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75" firstSheet="12"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G48" i="39" l="1"/>
  <c r="E120" i="39"/>
  <c r="F120" i="39" s="1"/>
  <c r="G120" i="39" s="1"/>
  <c r="H120" i="39" s="1"/>
  <c r="D120" i="39"/>
  <c r="E29" i="39"/>
  <c r="E27" i="39"/>
  <c r="E23" i="39"/>
  <c r="E17" i="39"/>
  <c r="G40" i="39"/>
  <c r="G9" i="39"/>
  <c r="I8" i="39"/>
  <c r="I7" i="39"/>
  <c r="G8" i="39"/>
  <c r="G7" i="39"/>
  <c r="E8" i="39"/>
  <c r="E7" i="39"/>
  <c r="I9" i="39"/>
  <c r="E9" i="39"/>
  <c r="I40" i="39"/>
  <c r="E40" i="39"/>
  <c r="I48" i="39"/>
  <c r="E48" i="39"/>
  <c r="AK28" i="68"/>
  <c r="AK26" i="68"/>
  <c r="C33" i="21"/>
  <c r="I7" i="21" l="1"/>
  <c r="G7" i="21"/>
  <c r="E7" i="21"/>
  <c r="A3" i="3"/>
  <c r="AD13" i="3"/>
  <c r="L3" i="59" l="1"/>
  <c r="K3" i="59"/>
  <c r="J3" i="59"/>
  <c r="I3" i="59"/>
  <c r="AH5" i="59"/>
  <c r="AG5" i="59"/>
  <c r="AE5" i="59"/>
  <c r="AF5" i="59" s="1"/>
  <c r="AD5" i="59"/>
  <c r="Q5" i="59"/>
  <c r="Q6" i="59"/>
  <c r="P5" i="59"/>
  <c r="P6" i="59"/>
  <c r="O5" i="59"/>
  <c r="O6" i="59"/>
  <c r="N5" i="59"/>
  <c r="N6" i="59"/>
  <c r="AH6" i="59"/>
  <c r="AG6" i="59"/>
  <c r="AE6" i="59"/>
  <c r="AF6" i="59"/>
  <c r="AD6" i="59"/>
  <c r="Q7" i="59"/>
  <c r="P7" i="59"/>
  <c r="O7" i="59"/>
  <c r="N7" i="59"/>
  <c r="M19" i="46"/>
  <c r="J50" i="15"/>
  <c r="J51" i="15" s="1"/>
  <c r="D9" i="59"/>
  <c r="AH7" i="59"/>
  <c r="AG7" i="59"/>
  <c r="AE7" i="59"/>
  <c r="AF7" i="59" s="1"/>
  <c r="AD7" i="59"/>
  <c r="AE8" i="59"/>
  <c r="AF8" i="59"/>
  <c r="AG8" i="59"/>
  <c r="AH8" i="59"/>
  <c r="AD8" i="59"/>
  <c r="Q8" i="59"/>
  <c r="P8" i="59"/>
  <c r="O8" i="59"/>
  <c r="N8" i="59"/>
  <c r="N9" i="59"/>
  <c r="Q9" i="59"/>
  <c r="P9" i="59"/>
  <c r="O9" i="59"/>
  <c r="K59" i="15"/>
  <c r="P62" i="15"/>
  <c r="P75" i="15"/>
  <c r="Q74" i="44"/>
  <c r="Q61" i="44"/>
  <c r="Q60" i="44"/>
  <c r="Q53" i="44"/>
  <c r="J51" i="44"/>
  <c r="J52" i="44" s="1"/>
  <c r="M48" i="44"/>
  <c r="A16" i="55"/>
  <c r="B67" i="63" s="1"/>
  <c r="A15" i="55"/>
  <c r="B66" i="63" s="1"/>
  <c r="A10" i="55"/>
  <c r="A9" i="55"/>
  <c r="B60" i="63" s="1"/>
  <c r="A8" i="55"/>
  <c r="B59" i="63" s="1"/>
  <c r="A6" i="54"/>
  <c r="A8" i="54"/>
  <c r="B53" i="63" s="1"/>
  <c r="A7" i="54"/>
  <c r="A27" i="51"/>
  <c r="B20" i="63" s="1"/>
  <c r="D5" i="46"/>
  <c r="Q10" i="59"/>
  <c r="O10" i="59"/>
  <c r="N11" i="59"/>
  <c r="O11" i="59"/>
  <c r="P11" i="59"/>
  <c r="Q11" i="59"/>
  <c r="N10" i="59"/>
  <c r="P10"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B8" i="59"/>
  <c r="B7" i="59" s="1"/>
  <c r="B6" i="59" s="1"/>
  <c r="B5" i="59" s="1"/>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8" i="59"/>
  <c r="C7" i="59" s="1"/>
  <c r="C3" i="65"/>
  <c r="C1" i="65"/>
  <c r="N1" i="65" s="1"/>
  <c r="T8" i="59"/>
  <c r="D8" i="59"/>
  <c r="H1" i="65"/>
  <c r="B76" i="63"/>
  <c r="M5" i="54"/>
  <c r="B41" i="63" s="1"/>
  <c r="A23" i="51"/>
  <c r="B17" i="63" s="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K40" i="9" s="1"/>
  <c r="A44" i="9"/>
  <c r="C57" i="10"/>
  <c r="A28" i="51" s="1"/>
  <c r="B21" i="63" s="1"/>
  <c r="C56" i="10"/>
  <c r="A26" i="64" s="1"/>
  <c r="C55" i="10"/>
  <c r="C54" i="10"/>
  <c r="B49" i="63"/>
  <c r="B44" i="63"/>
  <c r="B40" i="63"/>
  <c r="B30" i="63"/>
  <c r="B27" i="63"/>
  <c r="B25" i="63"/>
  <c r="A11" i="51"/>
  <c r="B10" i="63" s="1"/>
  <c r="A26" i="51"/>
  <c r="B19" i="63" s="1"/>
  <c r="K39" i="9"/>
  <c r="B58" i="63"/>
  <c r="B51" i="63"/>
  <c r="A46" i="9"/>
  <c r="K41" i="9" s="1"/>
  <c r="B8" i="63"/>
  <c r="A21" i="55"/>
  <c r="B71" i="63"/>
  <c r="A20" i="55"/>
  <c r="B69" i="63"/>
  <c r="B26" i="63"/>
  <c r="B28" i="63"/>
  <c r="B29" i="63"/>
  <c r="B31" i="63"/>
  <c r="B33" i="63"/>
  <c r="B35" i="63"/>
  <c r="B36" i="63"/>
  <c r="B37" i="63"/>
  <c r="B63" i="63"/>
  <c r="B64" i="63"/>
  <c r="B68" i="63"/>
  <c r="D51" i="10"/>
  <c r="B61" i="63"/>
  <c r="B51" i="10"/>
  <c r="A15" i="51"/>
  <c r="B12" i="63" s="1"/>
  <c r="A14" i="51"/>
  <c r="B11" i="63" s="1"/>
  <c r="A4" i="55"/>
  <c r="B57" i="63" s="1"/>
  <c r="G5" i="54"/>
  <c r="B34" i="63" s="1"/>
  <c r="E5" i="54"/>
  <c r="B32" i="63" s="1"/>
  <c r="R2" i="54"/>
  <c r="B24" i="63" s="1"/>
  <c r="B49" i="50"/>
  <c r="B5" i="63" s="1"/>
  <c r="B40" i="50"/>
  <c r="B3" i="63" s="1"/>
  <c r="I19" i="46"/>
  <c r="Q12" i="59"/>
  <c r="F12" i="59" s="1"/>
  <c r="P12" i="59"/>
  <c r="O12" i="59"/>
  <c r="C12" i="59" s="1"/>
  <c r="N12" i="59"/>
  <c r="D73" i="59"/>
  <c r="F72" i="59"/>
  <c r="F71" i="59" s="1"/>
  <c r="E72" i="59"/>
  <c r="E71" i="59"/>
  <c r="E70" i="59" s="1"/>
  <c r="C72" i="59"/>
  <c r="D72" i="59" s="1"/>
  <c r="B72" i="59"/>
  <c r="B71" i="59" s="1"/>
  <c r="F70" i="59"/>
  <c r="B70" i="59"/>
  <c r="D69" i="59"/>
  <c r="F68" i="59"/>
  <c r="F67" i="59" s="1"/>
  <c r="E68" i="59"/>
  <c r="E67" i="59"/>
  <c r="E66" i="59" s="1"/>
  <c r="C68" i="59"/>
  <c r="D68" i="59" s="1"/>
  <c r="B68" i="59"/>
  <c r="B67" i="59" s="1"/>
  <c r="F66" i="59"/>
  <c r="B66"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B51" i="59"/>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N25" i="59"/>
  <c r="B26" i="59"/>
  <c r="B27" i="59" s="1"/>
  <c r="B28" i="59" s="1"/>
  <c r="S28" i="59" s="1"/>
  <c r="D25" i="59"/>
  <c r="Q24" i="59"/>
  <c r="P24" i="59"/>
  <c r="O24" i="59"/>
  <c r="N24" i="59"/>
  <c r="Q23" i="59"/>
  <c r="AB23" i="59"/>
  <c r="P23" i="59"/>
  <c r="O23" i="59"/>
  <c r="Y23" i="59" s="1"/>
  <c r="Z23" i="59" s="1"/>
  <c r="N23" i="59"/>
  <c r="X23" i="59"/>
  <c r="Q22" i="59"/>
  <c r="AB22" i="59" s="1"/>
  <c r="P22" i="59"/>
  <c r="AA22" i="59" s="1"/>
  <c r="O22" i="59"/>
  <c r="Y22" i="59" s="1"/>
  <c r="N22" i="59"/>
  <c r="X22" i="59" s="1"/>
  <c r="Q21" i="59"/>
  <c r="AB21" i="59" s="1"/>
  <c r="F22" i="59"/>
  <c r="P21" i="59"/>
  <c r="AA21" i="59" s="1"/>
  <c r="O21" i="59"/>
  <c r="Y21" i="59" s="1"/>
  <c r="Z21" i="59" s="1"/>
  <c r="C22" i="59"/>
  <c r="N21" i="59"/>
  <c r="X21" i="59" s="1"/>
  <c r="B22" i="59"/>
  <c r="B23" i="59"/>
  <c r="B24" i="59" s="1"/>
  <c r="S24" i="59" s="1"/>
  <c r="D21" i="59"/>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N18" i="59"/>
  <c r="X18" i="59" s="1"/>
  <c r="Q17" i="59"/>
  <c r="AB17" i="59" s="1"/>
  <c r="P17" i="59"/>
  <c r="AA17" i="59" s="1"/>
  <c r="O17" i="59"/>
  <c r="Y17" i="59" s="1"/>
  <c r="Z17" i="59" s="1"/>
  <c r="C18" i="59"/>
  <c r="N17" i="59"/>
  <c r="X17" i="59" s="1"/>
  <c r="B18" i="59"/>
  <c r="B19" i="59" s="1"/>
  <c r="B20" i="59" s="1"/>
  <c r="S20" i="59" s="1"/>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AB13" i="59" s="1"/>
  <c r="F14" i="59"/>
  <c r="P13" i="59"/>
  <c r="AA13" i="59" s="1"/>
  <c r="O13" i="59"/>
  <c r="Y13" i="59" s="1"/>
  <c r="Z13" i="59" s="1"/>
  <c r="C14" i="59"/>
  <c r="N13" i="59"/>
  <c r="X13" i="59" s="1"/>
  <c r="B14" i="59"/>
  <c r="D1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B15" i="59"/>
  <c r="B16" i="59"/>
  <c r="S16" i="59" s="1"/>
  <c r="E14" i="59"/>
  <c r="E15" i="59" s="1"/>
  <c r="E16" i="59" s="1"/>
  <c r="U16" i="59" s="1"/>
  <c r="S52" i="59"/>
  <c r="Z22" i="59"/>
  <c r="AA23" i="59"/>
  <c r="F15" i="59"/>
  <c r="F16" i="59"/>
  <c r="V16" i="59" s="1"/>
  <c r="F23" i="59"/>
  <c r="F24" i="59"/>
  <c r="V24" i="59" s="1"/>
  <c r="F31" i="59"/>
  <c r="F32" i="59"/>
  <c r="V32" i="59" s="1"/>
  <c r="F43" i="59"/>
  <c r="F44" i="59"/>
  <c r="V44" i="59" s="1"/>
  <c r="C15" i="59"/>
  <c r="D14" i="59"/>
  <c r="C23" i="59"/>
  <c r="D22" i="59"/>
  <c r="C27" i="59"/>
  <c r="D26" i="59"/>
  <c r="C39" i="59"/>
  <c r="D38" i="59"/>
  <c r="C47" i="59"/>
  <c r="D46" i="59"/>
  <c r="C19" i="59"/>
  <c r="D18" i="59"/>
  <c r="E50" i="59"/>
  <c r="N51" i="59"/>
  <c r="B50" i="59"/>
  <c r="Q51" i="59"/>
  <c r="T52" i="59"/>
  <c r="O52" i="59"/>
  <c r="D52" i="59"/>
  <c r="C51" i="59"/>
  <c r="P52" i="59"/>
  <c r="U52" i="59"/>
  <c r="Q52" i="59"/>
  <c r="C55" i="59"/>
  <c r="E55" i="59"/>
  <c r="E54" i="59" s="1"/>
  <c r="D56" i="59"/>
  <c r="C59" i="59"/>
  <c r="E59" i="59"/>
  <c r="E58" i="59" s="1"/>
  <c r="D60" i="59"/>
  <c r="C63" i="59"/>
  <c r="E63" i="59"/>
  <c r="E62" i="59" s="1"/>
  <c r="D64" i="59"/>
  <c r="C67" i="59"/>
  <c r="C71" i="59"/>
  <c r="U16" i="4"/>
  <c r="S16" i="4"/>
  <c r="Q16" i="4"/>
  <c r="O16" i="4"/>
  <c r="M16" i="4"/>
  <c r="N16" i="4" s="1"/>
  <c r="K16" i="4"/>
  <c r="P49" i="59"/>
  <c r="P50" i="59"/>
  <c r="D71" i="59"/>
  <c r="C70" i="59"/>
  <c r="D70" i="59" s="1"/>
  <c r="D63" i="59"/>
  <c r="C62" i="59"/>
  <c r="D62" i="59"/>
  <c r="D55" i="59"/>
  <c r="C54" i="59"/>
  <c r="D54" i="59" s="1"/>
  <c r="C50" i="59"/>
  <c r="O50" i="59" s="1"/>
  <c r="O51" i="59"/>
  <c r="D51" i="59"/>
  <c r="D67" i="59"/>
  <c r="C66" i="59"/>
  <c r="D66" i="59" s="1"/>
  <c r="D59" i="59"/>
  <c r="C58" i="59"/>
  <c r="D58" i="59"/>
  <c r="N49" i="59"/>
  <c r="N50" i="59"/>
  <c r="C20" i="59"/>
  <c r="D19" i="59"/>
  <c r="C48" i="59"/>
  <c r="D47" i="59"/>
  <c r="C40" i="59"/>
  <c r="D39" i="59"/>
  <c r="C28" i="59"/>
  <c r="D27" i="59"/>
  <c r="C24" i="59"/>
  <c r="D23" i="59"/>
  <c r="C16" i="59"/>
  <c r="D15" i="59"/>
  <c r="T16" i="59"/>
  <c r="D16" i="59"/>
  <c r="T24" i="59"/>
  <c r="D24" i="59"/>
  <c r="T28" i="59"/>
  <c r="D28" i="59"/>
  <c r="T40" i="59"/>
  <c r="D40" i="59"/>
  <c r="T48" i="59"/>
  <c r="D48" i="59"/>
  <c r="T20" i="59"/>
  <c r="D20" i="59"/>
  <c r="D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S31" i="39"/>
  <c r="C31" i="39"/>
  <c r="B74" i="46"/>
  <c r="E66" i="36"/>
  <c r="H18" i="35"/>
  <c r="J18" i="35"/>
  <c r="H21" i="37"/>
  <c r="J21" i="37"/>
  <c r="E84" i="34"/>
  <c r="F84" i="34" s="1"/>
  <c r="G84" i="34" s="1"/>
  <c r="J21" i="34"/>
  <c r="H21" i="34"/>
  <c r="F21" i="33"/>
  <c r="H21" i="33"/>
  <c r="J21" i="33"/>
  <c r="F83" i="21"/>
  <c r="H21" i="21"/>
  <c r="G83" i="21"/>
  <c r="J21" i="21"/>
  <c r="H27" i="40"/>
  <c r="H31" i="39"/>
  <c r="U31" i="39" s="1"/>
  <c r="F23" i="15"/>
  <c r="D24" i="15" s="1"/>
  <c r="G17" i="11"/>
  <c r="D23" i="15"/>
  <c r="F15" i="15"/>
  <c r="F17" i="15"/>
  <c r="F18" i="15"/>
  <c r="F20" i="15"/>
  <c r="F21" i="15"/>
  <c r="F33" i="15"/>
  <c r="F60" i="15" s="1"/>
  <c r="K2" i="4"/>
  <c r="A2" i="9"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D10" i="1"/>
  <c r="B2" i="1"/>
  <c r="C42" i="1"/>
  <c r="A12" i="1"/>
  <c r="R12" i="1"/>
  <c r="A13" i="1"/>
  <c r="B13" i="1"/>
  <c r="E13" i="1" s="1"/>
  <c r="A7" i="1"/>
  <c r="A8" i="1"/>
  <c r="A9" i="1"/>
  <c r="A10" i="1"/>
  <c r="R10" i="1"/>
  <c r="A11" i="1"/>
  <c r="A6" i="1"/>
  <c r="K1" i="43"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c r="F23" i="4"/>
  <c r="D19" i="4"/>
  <c r="I19" i="4"/>
  <c r="H19" i="4"/>
  <c r="G19" i="4"/>
  <c r="F9" i="1"/>
  <c r="F19" i="4"/>
  <c r="F8" i="1"/>
  <c r="AP8" i="1" s="1"/>
  <c r="E19" i="4"/>
  <c r="F7" i="1" s="1"/>
  <c r="AP7" i="1" s="1"/>
  <c r="B2" i="52"/>
  <c r="E17" i="52" s="1"/>
  <c r="I2" i="46"/>
  <c r="N12" i="46"/>
  <c r="A7" i="46"/>
  <c r="F41" i="4"/>
  <c r="J52" i="40" s="1"/>
  <c r="H61" i="49"/>
  <c r="H39" i="46"/>
  <c r="H38" i="46"/>
  <c r="H37" i="46"/>
  <c r="H36" i="46"/>
  <c r="H35" i="46"/>
  <c r="H34" i="46"/>
  <c r="H33" i="46"/>
  <c r="G20" i="46"/>
  <c r="J20" i="46"/>
  <c r="C18" i="46"/>
  <c r="G17" i="46"/>
  <c r="F15" i="46"/>
  <c r="E15" i="46"/>
  <c r="D15" i="46"/>
  <c r="C15" i="46"/>
  <c r="C10" i="46"/>
  <c r="C11" i="46" s="1"/>
  <c r="C9" i="4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G26"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W31" i="35" s="1"/>
  <c r="H31" i="35"/>
  <c r="F31" i="35"/>
  <c r="D87" i="35"/>
  <c r="E87" i="35"/>
  <c r="F87" i="35" s="1"/>
  <c r="G87" i="35" s="1"/>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E113" i="33" s="1"/>
  <c r="F113" i="33" s="1"/>
  <c r="F37" i="33"/>
  <c r="AA37" i="33"/>
  <c r="D111" i="33"/>
  <c r="E111" i="33"/>
  <c r="F111" i="33" s="1"/>
  <c r="G111" i="33"/>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B108" i="37"/>
  <c r="C23" i="37"/>
  <c r="C19" i="37"/>
  <c r="C17" i="37"/>
  <c r="C15" i="37"/>
  <c r="B112" i="37"/>
  <c r="F40" i="37" s="1"/>
  <c r="D107" i="37"/>
  <c r="E107" i="37"/>
  <c r="F107" i="37" s="1"/>
  <c r="D105" i="37"/>
  <c r="E105" i="37"/>
  <c r="F105" i="37" s="1"/>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H27" i="35"/>
  <c r="F27" i="35"/>
  <c r="AA27" i="35" s="1"/>
  <c r="J22" i="35"/>
  <c r="AC22" i="35" s="1"/>
  <c r="B101" i="35"/>
  <c r="H36" i="35" s="1"/>
  <c r="B99" i="35"/>
  <c r="B97" i="35"/>
  <c r="B77" i="35"/>
  <c r="B75" i="35"/>
  <c r="J24" i="35"/>
  <c r="B73" i="35"/>
  <c r="J23" i="35" s="1"/>
  <c r="B57" i="35"/>
  <c r="B61" i="35"/>
  <c r="B59" i="35"/>
  <c r="H12" i="35"/>
  <c r="B131" i="34"/>
  <c r="B129" i="34"/>
  <c r="B127" i="34"/>
  <c r="B99" i="34"/>
  <c r="B97" i="34"/>
  <c r="B95" i="34"/>
  <c r="B93" i="34"/>
  <c r="B75" i="34"/>
  <c r="B73" i="34"/>
  <c r="B71" i="34"/>
  <c r="B130" i="33"/>
  <c r="B128" i="33"/>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AA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s="1"/>
  <c r="C18" i="20"/>
  <c r="B70" i="46"/>
  <c r="C17" i="20"/>
  <c r="B58" i="46"/>
  <c r="C16" i="20"/>
  <c r="B47" i="46"/>
  <c r="C15" i="20"/>
  <c r="B69" i="46" s="1"/>
  <c r="E54" i="21"/>
  <c r="F54" i="21" s="1"/>
  <c r="I54" i="21"/>
  <c r="J54" i="21" s="1"/>
  <c r="G54" i="21"/>
  <c r="H54" i="21" s="1"/>
  <c r="D125" i="21"/>
  <c r="E125" i="21"/>
  <c r="F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W43" i="21" s="1"/>
  <c r="Q43" i="21"/>
  <c r="Z43" i="21"/>
  <c r="Q44" i="21"/>
  <c r="Z44" i="21"/>
  <c r="Q45" i="21"/>
  <c r="Z45" i="21"/>
  <c r="Q46" i="21"/>
  <c r="Z46" i="21"/>
  <c r="P47" i="21"/>
  <c r="R47" i="21"/>
  <c r="T47" i="21"/>
  <c r="V47" i="21"/>
  <c r="P48" i="21"/>
  <c r="P49" i="21"/>
  <c r="F8" i="21"/>
  <c r="AA8" i="21" s="1"/>
  <c r="E13" i="11"/>
  <c r="E12" i="11"/>
  <c r="BB12" i="3"/>
  <c r="F9" i="12"/>
  <c r="E9" i="12"/>
  <c r="G9" i="12"/>
  <c r="K5" i="3"/>
  <c r="F20" i="6" s="1"/>
  <c r="E20" i="6" s="1"/>
  <c r="K7" i="1" s="1"/>
  <c r="M7" i="1" s="1"/>
  <c r="O7" i="1" s="1"/>
  <c r="J5" i="3"/>
  <c r="BE10" i="3"/>
  <c r="BD13" i="3"/>
  <c r="BE13" i="3"/>
  <c r="BF13" i="3"/>
  <c r="BF5" i="3" s="1"/>
  <c r="BG13" i="3"/>
  <c r="BH13" i="3"/>
  <c r="BI13" i="3"/>
  <c r="BJ13" i="3"/>
  <c r="BK13" i="3"/>
  <c r="BM13" i="3"/>
  <c r="BN13" i="3"/>
  <c r="BO13" i="3"/>
  <c r="BP13" i="3"/>
  <c r="BS13" i="3"/>
  <c r="BS5" i="3" s="1"/>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AA43" i="21" s="1"/>
  <c r="H38" i="21"/>
  <c r="AB38" i="21" s="1"/>
  <c r="H43" i="21"/>
  <c r="AB43" i="21" s="1"/>
  <c r="F32" i="21"/>
  <c r="AA32" i="21" s="1"/>
  <c r="F38" i="21"/>
  <c r="S38" i="21" s="1"/>
  <c r="F36" i="21"/>
  <c r="S36" i="21" s="1"/>
  <c r="F39" i="21"/>
  <c r="AA39" i="21" s="1"/>
  <c r="J40" i="21"/>
  <c r="W40" i="21"/>
  <c r="H35" i="21"/>
  <c r="AB35" i="21" s="1"/>
  <c r="J8" i="21"/>
  <c r="AC8" i="21" s="1"/>
  <c r="J9" i="21"/>
  <c r="AC9" i="21" s="1"/>
  <c r="H8" i="21"/>
  <c r="AB8" i="21" s="1"/>
  <c r="H9" i="21"/>
  <c r="AB9" i="21" s="1"/>
  <c r="H10" i="21"/>
  <c r="U10" i="21" s="1"/>
  <c r="H39" i="21"/>
  <c r="AB39" i="21" s="1"/>
  <c r="J34" i="21"/>
  <c r="W34" i="21" s="1"/>
  <c r="H36" i="21"/>
  <c r="F35" i="21"/>
  <c r="AA35" i="21" s="1"/>
  <c r="J10" i="21"/>
  <c r="AC10" i="21" s="1"/>
  <c r="H26" i="21"/>
  <c r="F19" i="21"/>
  <c r="H19" i="21"/>
  <c r="AB19" i="21" s="1"/>
  <c r="J19" i="21"/>
  <c r="W19" i="21" s="1"/>
  <c r="J12" i="21"/>
  <c r="J26" i="21"/>
  <c r="W26" i="21"/>
  <c r="F26" i="21"/>
  <c r="AA26" i="21"/>
  <c r="W41" i="21"/>
  <c r="S10" i="39"/>
  <c r="U30" i="37"/>
  <c r="F103" i="37"/>
  <c r="F29" i="36"/>
  <c r="AA29" i="36" s="1"/>
  <c r="F16" i="36"/>
  <c r="AA16" i="36" s="1"/>
  <c r="U22" i="36"/>
  <c r="W23" i="36"/>
  <c r="W22" i="36"/>
  <c r="U26" i="36"/>
  <c r="AC31" i="36"/>
  <c r="W33" i="36"/>
  <c r="U31" i="35"/>
  <c r="W36" i="35"/>
  <c r="S31" i="35"/>
  <c r="U34" i="35"/>
  <c r="F36" i="34"/>
  <c r="S36" i="34"/>
  <c r="S34" i="34"/>
  <c r="W39" i="34"/>
  <c r="H39" i="33"/>
  <c r="AB39" i="33" s="1"/>
  <c r="F26" i="33"/>
  <c r="AA26" i="33" s="1"/>
  <c r="U33" i="33"/>
  <c r="W38" i="33"/>
  <c r="S40" i="33"/>
  <c r="S33" i="33"/>
  <c r="W33" i="33"/>
  <c r="U38" i="33"/>
  <c r="S8" i="21"/>
  <c r="S10" i="40"/>
  <c r="W10" i="40"/>
  <c r="S11" i="40"/>
  <c r="U11" i="40"/>
  <c r="S36" i="40"/>
  <c r="U36" i="40"/>
  <c r="S36" i="39"/>
  <c r="AC40" i="21"/>
  <c r="AC35" i="21"/>
  <c r="C29" i="39"/>
  <c r="C23" i="39"/>
  <c r="U36" i="39"/>
  <c r="S42" i="39"/>
  <c r="H32" i="33"/>
  <c r="AB32" i="33"/>
  <c r="F86" i="40"/>
  <c r="G86" i="40" s="1"/>
  <c r="AA12" i="33"/>
  <c r="U9" i="21"/>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W8" i="35"/>
  <c r="AC8" i="35"/>
  <c r="F35" i="37"/>
  <c r="E101" i="37"/>
  <c r="F101" i="37" s="1"/>
  <c r="G101" i="37"/>
  <c r="H101" i="37" s="1"/>
  <c r="I101" i="37" s="1"/>
  <c r="J101" i="37" s="1"/>
  <c r="K101" i="37" s="1"/>
  <c r="L101" i="37" s="1"/>
  <c r="M101" i="37" s="1"/>
  <c r="J34" i="37"/>
  <c r="W34" i="37"/>
  <c r="H43" i="34"/>
  <c r="U42" i="34"/>
  <c r="E114" i="34"/>
  <c r="H36" i="34"/>
  <c r="U36" i="34"/>
  <c r="F37" i="34"/>
  <c r="AA37" i="34"/>
  <c r="F33" i="34"/>
  <c r="S33" i="34"/>
  <c r="F19" i="34"/>
  <c r="AA19" i="34" s="1"/>
  <c r="J10" i="34"/>
  <c r="AC10" i="34" s="1"/>
  <c r="U9" i="34"/>
  <c r="J28" i="34"/>
  <c r="W28" i="34" s="1"/>
  <c r="S38" i="33"/>
  <c r="F36" i="33"/>
  <c r="S36" i="33" s="1"/>
  <c r="F19" i="33"/>
  <c r="S19" i="33" s="1"/>
  <c r="J19" i="33"/>
  <c r="W40" i="33"/>
  <c r="G125" i="21"/>
  <c r="AB30" i="36"/>
  <c r="S22" i="35"/>
  <c r="H29" i="35"/>
  <c r="U34" i="37"/>
  <c r="AA34" i="37"/>
  <c r="AB42" i="34"/>
  <c r="AB40" i="34"/>
  <c r="W36" i="34"/>
  <c r="J19" i="34"/>
  <c r="AC19" i="34"/>
  <c r="G113" i="33"/>
  <c r="H113" i="33" s="1"/>
  <c r="I113" i="33"/>
  <c r="J113" i="33" s="1"/>
  <c r="K113" i="33" s="1"/>
  <c r="L113" i="33" s="1"/>
  <c r="M113" i="33" s="1"/>
  <c r="H37" i="33"/>
  <c r="AB37" i="33"/>
  <c r="S37" i="33"/>
  <c r="W43" i="34"/>
  <c r="W42" i="34"/>
  <c r="AA42" i="34"/>
  <c r="S42" i="34"/>
  <c r="W38" i="34"/>
  <c r="S38" i="34"/>
  <c r="J37" i="33"/>
  <c r="W37" i="33"/>
  <c r="J42" i="21"/>
  <c r="AC42" i="21" s="1"/>
  <c r="J44" i="34"/>
  <c r="AC44" i="34"/>
  <c r="F44" i="34"/>
  <c r="S44" i="34"/>
  <c r="J10" i="35"/>
  <c r="W10" i="35"/>
  <c r="AL5" i="3"/>
  <c r="BQ13" i="3"/>
  <c r="F14" i="21"/>
  <c r="AA14" i="21" s="1"/>
  <c r="H14" i="21"/>
  <c r="H28" i="21"/>
  <c r="F28" i="21"/>
  <c r="S28" i="21" s="1"/>
  <c r="AC28" i="21"/>
  <c r="J44" i="21"/>
  <c r="AC44" i="21" s="1"/>
  <c r="H44" i="21"/>
  <c r="U44" i="21" s="1"/>
  <c r="F44" i="21"/>
  <c r="AA44" i="21" s="1"/>
  <c r="H46" i="21"/>
  <c r="J46" i="21"/>
  <c r="W46" i="21" s="1"/>
  <c r="F46" i="21"/>
  <c r="AA46" i="21" s="1"/>
  <c r="H26" i="33"/>
  <c r="U26" i="33" s="1"/>
  <c r="H28" i="33"/>
  <c r="F33" i="35"/>
  <c r="S33" i="35"/>
  <c r="J33" i="35"/>
  <c r="W33" i="35"/>
  <c r="F30" i="35"/>
  <c r="AA30"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J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A28" i="21"/>
  <c r="W14" i="21"/>
  <c r="U36" i="37"/>
  <c r="AB31" i="33"/>
  <c r="AB27" i="33"/>
  <c r="AB44" i="21"/>
  <c r="G529" i="3"/>
  <c r="G517" i="3"/>
  <c r="G508" i="3"/>
  <c r="G493" i="3"/>
  <c r="G17" i="3"/>
  <c r="G561" i="3"/>
  <c r="G549" i="3"/>
  <c r="G539"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s="1"/>
  <c r="U23" i="37"/>
  <c r="AC41" i="34"/>
  <c r="F123" i="33"/>
  <c r="G123" i="33" s="1"/>
  <c r="H123" i="33" s="1"/>
  <c r="I123" i="33" s="1"/>
  <c r="J123" i="33" s="1"/>
  <c r="K123" i="33" s="1"/>
  <c r="L123" i="33" s="1"/>
  <c r="M123" i="33" s="1"/>
  <c r="H42" i="33"/>
  <c r="U42" i="33" s="1"/>
  <c r="J43" i="33"/>
  <c r="AC43" i="33" s="1"/>
  <c r="G79" i="37"/>
  <c r="J23" i="37"/>
  <c r="W23" i="37"/>
  <c r="F17" i="37"/>
  <c r="AA17" i="37" s="1"/>
  <c r="AB43" i="33"/>
  <c r="D3" i="21"/>
  <c r="AC33" i="36"/>
  <c r="AC12" i="35"/>
  <c r="W23" i="35"/>
  <c r="AC23" i="37"/>
  <c r="S27" i="37"/>
  <c r="AC8" i="37"/>
  <c r="S25" i="37"/>
  <c r="AC36" i="34"/>
  <c r="AB8" i="34"/>
  <c r="AC37" i="33"/>
  <c r="AA13" i="33"/>
  <c r="S39" i="33"/>
  <c r="F43" i="33"/>
  <c r="AA43" i="33" s="1"/>
  <c r="AA23" i="37"/>
  <c r="S10" i="35"/>
  <c r="AB44" i="33"/>
  <c r="G107"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c r="I60" i="40"/>
  <c r="C60" i="40" s="1"/>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C29" i="33"/>
  <c r="AC11" i="36"/>
  <c r="AC10" i="36"/>
  <c r="AB45" i="34"/>
  <c r="AC14" i="37"/>
  <c r="AB35" i="35"/>
  <c r="S25" i="35"/>
  <c r="W44" i="33"/>
  <c r="AC30" i="33"/>
  <c r="W30" i="33"/>
  <c r="AC29" i="37"/>
  <c r="W32" i="36"/>
  <c r="AC32" i="36"/>
  <c r="U28" i="33"/>
  <c r="AB28" i="33"/>
  <c r="J33" i="34"/>
  <c r="AC33" i="34" s="1"/>
  <c r="AB36" i="34"/>
  <c r="J40" i="34"/>
  <c r="W40" i="34"/>
  <c r="F16" i="35"/>
  <c r="AA16" i="35"/>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s="1"/>
  <c r="J43" i="39"/>
  <c r="W43" i="39" s="1"/>
  <c r="F99" i="37"/>
  <c r="AC27" i="37"/>
  <c r="U25" i="35"/>
  <c r="S45" i="34"/>
  <c r="U31" i="34"/>
  <c r="AC40" i="37"/>
  <c r="W40" i="37"/>
  <c r="W27" i="33"/>
  <c r="AC45" i="21"/>
  <c r="S14" i="21"/>
  <c r="AA44" i="34"/>
  <c r="AB29" i="35"/>
  <c r="U29" i="35"/>
  <c r="AC19" i="33"/>
  <c r="W19" i="33"/>
  <c r="U43" i="34"/>
  <c r="AB43" i="34"/>
  <c r="AC34" i="37"/>
  <c r="S35" i="37"/>
  <c r="AA35" i="37"/>
  <c r="AB10" i="35"/>
  <c r="S32" i="21"/>
  <c r="BL571" i="3"/>
  <c r="BA571" i="3"/>
  <c r="AZ571" i="3" s="1"/>
  <c r="BL570" i="3"/>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U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F25" i="39"/>
  <c r="AA2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W35" i="40"/>
  <c r="AB32" i="40"/>
  <c r="AC47" i="39"/>
  <c r="S47" i="39"/>
  <c r="U37" i="34"/>
  <c r="AC41" i="40"/>
  <c r="W41" i="40"/>
  <c r="U41" i="40"/>
  <c r="J23" i="40"/>
  <c r="AC23" i="40"/>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U39" i="39"/>
  <c r="J29" i="39"/>
  <c r="AC29" i="39" s="1"/>
  <c r="U21" i="39"/>
  <c r="AB33" i="36"/>
  <c r="AA11" i="36"/>
  <c r="AA14" i="35"/>
  <c r="S14" i="35"/>
  <c r="G99" i="37"/>
  <c r="F33" i="37"/>
  <c r="AB19" i="39"/>
  <c r="U19" i="39"/>
  <c r="U46" i="34"/>
  <c r="AC30" i="34"/>
  <c r="AA14" i="34"/>
  <c r="W12" i="34"/>
  <c r="U29" i="33"/>
  <c r="AC13" i="33"/>
  <c r="U17" i="34"/>
  <c r="AA11" i="34"/>
  <c r="W32" i="33"/>
  <c r="H15" i="33"/>
  <c r="U15" i="33" s="1"/>
  <c r="AA11" i="33"/>
  <c r="AA40" i="21"/>
  <c r="U16" i="40"/>
  <c r="W34" i="40"/>
  <c r="AB34" i="40"/>
  <c r="AB42" i="40"/>
  <c r="AC16"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29" i="39"/>
  <c r="AB46" i="39"/>
  <c r="AB44"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AB20" i="35"/>
  <c r="W23" i="40"/>
  <c r="D73" i="9"/>
  <c r="N73" i="9" s="1"/>
  <c r="B11" i="1"/>
  <c r="E11" i="1" s="1"/>
  <c r="K11" i="1"/>
  <c r="M11" i="1" s="1"/>
  <c r="O11" i="1" s="1"/>
  <c r="B9" i="1"/>
  <c r="E9" i="1"/>
  <c r="K9" i="1"/>
  <c r="M9" i="1" s="1"/>
  <c r="O9" i="1" s="1"/>
  <c r="P9" i="1" s="1"/>
  <c r="B7" i="1"/>
  <c r="E7" i="1" s="1"/>
  <c r="F6" i="1"/>
  <c r="AP6" i="1" s="1"/>
  <c r="M22" i="44"/>
  <c r="F32" i="15"/>
  <c r="F59" i="15" s="1"/>
  <c r="F29" i="12"/>
  <c r="F70" i="9"/>
  <c r="D86" i="9"/>
  <c r="M20" i="44"/>
  <c r="F31" i="43"/>
  <c r="F30" i="44"/>
  <c r="C30" i="44" s="1"/>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A37" i="21"/>
  <c r="AB37" i="21"/>
  <c r="W28" i="21"/>
  <c r="AC46" i="21"/>
  <c r="AC26" i="21"/>
  <c r="F85" i="21"/>
  <c r="G85" i="21"/>
  <c r="J23" i="21"/>
  <c r="W23" i="21" s="1"/>
  <c r="F23" i="21"/>
  <c r="S23" i="21" s="1"/>
  <c r="H23" i="21"/>
  <c r="U23" i="21" s="1"/>
  <c r="F15" i="21"/>
  <c r="S15" i="21" s="1"/>
  <c r="F77" i="21"/>
  <c r="G77" i="21"/>
  <c r="J15" i="21"/>
  <c r="W15" i="21" s="1"/>
  <c r="H15" i="21"/>
  <c r="AB15" i="21" s="1"/>
  <c r="W1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S14" i="39"/>
  <c r="AB15" i="39"/>
  <c r="U11" i="39"/>
  <c r="AB38" i="39"/>
  <c r="AB31" i="39"/>
  <c r="S38" i="39"/>
  <c r="S22" i="31"/>
  <c r="M20" i="15"/>
  <c r="D96" i="9"/>
  <c r="F28" i="15"/>
  <c r="C28" i="15" s="1"/>
  <c r="M18" i="15"/>
  <c r="A18" i="64"/>
  <c r="B74" i="63"/>
  <c r="C53" i="10"/>
  <c r="A25" i="64" s="1"/>
  <c r="A18" i="51"/>
  <c r="B14" i="63" s="1"/>
  <c r="BA16" i="3"/>
  <c r="BA17" i="3"/>
  <c r="AZ17" i="3"/>
  <c r="F3" i="35"/>
  <c r="G1" i="44"/>
  <c r="AZ15" i="3"/>
  <c r="BK5" i="3"/>
  <c r="BO5" i="3"/>
  <c r="BP5" i="3"/>
  <c r="BN5" i="3"/>
  <c r="BL18" i="3"/>
  <c r="AZ18" i="3" s="1"/>
  <c r="BC5" i="3"/>
  <c r="BD5" i="3"/>
  <c r="BQ5" i="3"/>
  <c r="BL16" i="3"/>
  <c r="H48" i="46"/>
  <c r="H52" i="46"/>
  <c r="H53" i="46"/>
  <c r="G28" i="12"/>
  <c r="D24" i="44"/>
  <c r="D26" i="44"/>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c r="B67" i="46" s="1"/>
  <c r="E47" i="46"/>
  <c r="B45" i="46" s="1"/>
  <c r="E58" i="46"/>
  <c r="H58" i="46"/>
  <c r="H61" i="46"/>
  <c r="H62" i="46"/>
  <c r="H71" i="46"/>
  <c r="H75" i="46"/>
  <c r="H76" i="46"/>
  <c r="I100" i="46"/>
  <c r="B56" i="46"/>
  <c r="C24" i="46"/>
  <c r="N100" i="46"/>
  <c r="H100" i="46"/>
  <c r="F108" i="46"/>
  <c r="H80" i="46"/>
  <c r="E100" i="46"/>
  <c r="G100" i="46"/>
  <c r="H84" i="46"/>
  <c r="H65" i="46"/>
  <c r="H66" i="46"/>
  <c r="C100" i="46"/>
  <c r="J100" i="46"/>
  <c r="M100" i="46"/>
  <c r="AA12" i="36"/>
  <c r="U12" i="35"/>
  <c r="AB12" i="35"/>
  <c r="W11" i="35"/>
  <c r="AA11" i="35"/>
  <c r="S14" i="37"/>
  <c r="U13" i="37"/>
  <c r="S13" i="21"/>
  <c r="C24" i="9"/>
  <c r="C25" i="9"/>
  <c r="I20" i="46"/>
  <c r="C20" i="46" s="1"/>
  <c r="L5" i="54"/>
  <c r="B39" i="63"/>
  <c r="K5" i="54"/>
  <c r="B38" i="63"/>
  <c r="T41" i="4"/>
  <c r="A17" i="64"/>
  <c r="B46" i="50"/>
  <c r="B4" i="63"/>
  <c r="C46" i="36"/>
  <c r="D46" i="36" s="1"/>
  <c r="C59" i="34"/>
  <c r="D59" i="34" s="1"/>
  <c r="C48" i="35"/>
  <c r="D48" i="35"/>
  <c r="C52" i="37"/>
  <c r="D52" i="37"/>
  <c r="E52" i="37" s="1"/>
  <c r="C67" i="40"/>
  <c r="D65" i="40"/>
  <c r="E65" i="40" s="1"/>
  <c r="P24" i="46"/>
  <c r="B68" i="40"/>
  <c r="P25" i="46"/>
  <c r="B73" i="39"/>
  <c r="P23" i="46"/>
  <c r="P21" i="46"/>
  <c r="P22" i="46"/>
  <c r="C72" i="39"/>
  <c r="D70" i="39"/>
  <c r="E70" i="39" s="1"/>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s="1"/>
  <c r="B12" i="1"/>
  <c r="E12" i="1" s="1"/>
  <c r="S12" i="1"/>
  <c r="G1" i="15"/>
  <c r="F66" i="36"/>
  <c r="H18" i="36"/>
  <c r="U16" i="36"/>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C37" i="21"/>
  <c r="AA29" i="21"/>
  <c r="U27" i="21"/>
  <c r="W31" i="21"/>
  <c r="S27" i="21"/>
  <c r="AA15" i="21"/>
  <c r="AC27" i="21"/>
  <c r="W29" i="21"/>
  <c r="G96" i="40"/>
  <c r="J27" i="40"/>
  <c r="W27" i="40" s="1"/>
  <c r="W37" i="40"/>
  <c r="S17" i="40"/>
  <c r="W30" i="40"/>
  <c r="S34" i="40"/>
  <c r="U17" i="40"/>
  <c r="U38" i="40"/>
  <c r="S40" i="40"/>
  <c r="S42" i="40"/>
  <c r="G105" i="39"/>
  <c r="J31" i="39"/>
  <c r="AC31" i="39" s="1"/>
  <c r="S45" i="39"/>
  <c r="AB43" i="39"/>
  <c r="AC46" i="39"/>
  <c r="W42" i="39"/>
  <c r="W36" i="39"/>
  <c r="AC37" i="39"/>
  <c r="U14" i="39"/>
  <c r="W16" i="39"/>
  <c r="S15" i="39"/>
  <c r="W45" i="39"/>
  <c r="AA44" i="39"/>
  <c r="AA46" i="39"/>
  <c r="W10" i="39"/>
  <c r="W11" i="39"/>
  <c r="S32" i="40"/>
  <c r="C27" i="39"/>
  <c r="C17" i="40"/>
  <c r="C19" i="40"/>
  <c r="C17" i="39"/>
  <c r="C19" i="39"/>
  <c r="C21" i="39"/>
  <c r="C23" i="40"/>
  <c r="B48" i="46"/>
  <c r="B51" i="46"/>
  <c r="B55" i="46"/>
  <c r="B59" i="46"/>
  <c r="B62" i="46"/>
  <c r="B66" i="46"/>
  <c r="B53" i="46"/>
  <c r="B6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s="1"/>
  <c r="A17" i="51"/>
  <c r="B13" i="63" s="1"/>
  <c r="AT6" i="3"/>
  <c r="G29" i="6"/>
  <c r="AZ16" i="3"/>
  <c r="H70" i="46"/>
  <c r="H72" i="46"/>
  <c r="A3" i="55"/>
  <c r="B56" i="63" s="1"/>
  <c r="E48" i="35"/>
  <c r="F48" i="35" s="1"/>
  <c r="D72" i="39"/>
  <c r="E4" i="4"/>
  <c r="C4" i="4"/>
  <c r="G66" i="36"/>
  <c r="J18" i="36"/>
  <c r="AE8" i="1"/>
  <c r="AE6" i="1"/>
  <c r="W18" i="36"/>
  <c r="AC18" i="36"/>
  <c r="AG6" i="1"/>
  <c r="L20" i="6"/>
  <c r="B21" i="55"/>
  <c r="B72" i="63" s="1"/>
  <c r="B20" i="55"/>
  <c r="B70" i="63" s="1"/>
  <c r="S8" i="1"/>
  <c r="S9" i="1"/>
  <c r="R9"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F31" i="15"/>
  <c r="M28" i="15"/>
  <c r="M8" i="44"/>
  <c r="B9" i="67"/>
  <c r="N7" i="65"/>
  <c r="M23" i="44"/>
  <c r="F39" i="44"/>
  <c r="J5" i="65"/>
  <c r="F8" i="44"/>
  <c r="M26" i="44"/>
  <c r="F9" i="67"/>
  <c r="I4" i="65"/>
  <c r="J7" i="65"/>
  <c r="F9" i="44"/>
  <c r="F8" i="67"/>
  <c r="F42" i="15"/>
  <c r="M8" i="15"/>
  <c r="F38" i="44"/>
  <c r="B8" i="67"/>
  <c r="J36" i="15"/>
  <c r="F43" i="44"/>
  <c r="F13" i="67"/>
  <c r="B12" i="67"/>
  <c r="M21" i="15"/>
  <c r="N5" i="65"/>
  <c r="M27" i="15"/>
  <c r="F38" i="15"/>
  <c r="L48" i="44"/>
  <c r="L48" i="15"/>
  <c r="I7" i="65"/>
  <c r="M10" i="44"/>
  <c r="E9" i="67"/>
  <c r="L49" i="44"/>
  <c r="F7" i="15"/>
  <c r="C19" i="44"/>
  <c r="I6" i="65"/>
  <c r="B10" i="67"/>
  <c r="J3" i="65"/>
  <c r="N3" i="65"/>
  <c r="F36" i="15"/>
  <c r="F37" i="15"/>
  <c r="F45" i="44"/>
  <c r="E8" i="67"/>
  <c r="B13" i="67"/>
  <c r="B11" i="67"/>
  <c r="E11" i="67"/>
  <c r="F43" i="15"/>
  <c r="F9" i="15"/>
  <c r="M23" i="15"/>
  <c r="M24" i="44"/>
  <c r="F46" i="44"/>
  <c r="F10" i="44"/>
  <c r="F26" i="15"/>
  <c r="J4" i="65"/>
  <c r="I5" i="65"/>
  <c r="F12" i="67"/>
  <c r="M30" i="44"/>
  <c r="L47" i="15"/>
  <c r="N6" i="65"/>
  <c r="J6" i="65"/>
  <c r="I3" i="65"/>
  <c r="M25" i="44"/>
  <c r="M31" i="44"/>
  <c r="F11" i="67"/>
  <c r="M29" i="44"/>
  <c r="J17" i="44"/>
  <c r="E10" i="67"/>
  <c r="M24" i="15"/>
  <c r="M6" i="15"/>
  <c r="F14" i="67"/>
  <c r="F6" i="15"/>
  <c r="B14" i="67"/>
  <c r="M9" i="15"/>
  <c r="F35" i="15"/>
  <c r="N4" i="65"/>
  <c r="M29" i="15"/>
  <c r="F40" i="15"/>
  <c r="F28" i="44"/>
  <c r="E13" i="67"/>
  <c r="F37" i="44"/>
  <c r="F10" i="67"/>
  <c r="M28" i="44"/>
  <c r="E14" i="67"/>
  <c r="M22" i="15"/>
  <c r="F18" i="44"/>
  <c r="F16" i="15"/>
  <c r="J15" i="15"/>
  <c r="F13" i="15"/>
  <c r="E12" i="67"/>
  <c r="F8" i="15"/>
  <c r="M11" i="44"/>
  <c r="M26" i="15"/>
  <c r="F11" i="44"/>
  <c r="F15" i="44"/>
  <c r="F40" i="44"/>
  <c r="U27" i="39" l="1"/>
  <c r="U42" i="39"/>
  <c r="AC43" i="39"/>
  <c r="AB17" i="39"/>
  <c r="F101" i="39"/>
  <c r="G101" i="39" s="1"/>
  <c r="J27" i="39"/>
  <c r="AC27" i="39" s="1"/>
  <c r="G31" i="39"/>
  <c r="I31" i="39"/>
  <c r="E31" i="39"/>
  <c r="F99" i="39"/>
  <c r="G99" i="39" s="1"/>
  <c r="J25" i="39"/>
  <c r="AC25" i="39" s="1"/>
  <c r="H83" i="39"/>
  <c r="I83" i="39" s="1"/>
  <c r="J83" i="39" s="1"/>
  <c r="K83" i="39" s="1"/>
  <c r="L83" i="39" s="1"/>
  <c r="M83" i="39" s="1"/>
  <c r="F13" i="39"/>
  <c r="H13" i="39"/>
  <c r="J13" i="39"/>
  <c r="AC13" i="39" s="1"/>
  <c r="U41" i="39"/>
  <c r="S41" i="39"/>
  <c r="M43" i="9"/>
  <c r="D18" i="9"/>
  <c r="M44" i="9" s="1"/>
  <c r="W41" i="39"/>
  <c r="S33" i="39"/>
  <c r="AC33" i="39"/>
  <c r="W31" i="39"/>
  <c r="U34" i="39"/>
  <c r="S34" i="39"/>
  <c r="W34" i="39"/>
  <c r="W29" i="39"/>
  <c r="S29" i="39"/>
  <c r="W27" i="39"/>
  <c r="S25" i="39"/>
  <c r="W23" i="39"/>
  <c r="S23" i="39"/>
  <c r="U23" i="39"/>
  <c r="AC21" i="39"/>
  <c r="AC17" i="39"/>
  <c r="S41" i="21"/>
  <c r="AB41" i="21"/>
  <c r="S39" i="21"/>
  <c r="AC36" i="21"/>
  <c r="AA36" i="21"/>
  <c r="S35" i="21"/>
  <c r="U35" i="21"/>
  <c r="U38" i="21"/>
  <c r="AA38" i="21"/>
  <c r="AC34" i="21"/>
  <c r="W42" i="21"/>
  <c r="S42" i="21"/>
  <c r="U39" i="21"/>
  <c r="AB34" i="21"/>
  <c r="W32" i="21"/>
  <c r="AB32" i="21"/>
  <c r="AC23" i="21"/>
  <c r="U19" i="21"/>
  <c r="S21" i="21"/>
  <c r="U17" i="21"/>
  <c r="AA17" i="21"/>
  <c r="AC15" i="21"/>
  <c r="AB23" i="21"/>
  <c r="AA23" i="21"/>
  <c r="W17" i="21"/>
  <c r="U15" i="21"/>
  <c r="G69" i="21"/>
  <c r="H11" i="21" s="1"/>
  <c r="AB10" i="21"/>
  <c r="W9" i="21"/>
  <c r="W8" i="21"/>
  <c r="F33" i="44"/>
  <c r="AZ484" i="3"/>
  <c r="I14" i="66"/>
  <c r="B8" i="66" s="1"/>
  <c r="R7" i="54"/>
  <c r="B52" i="63" s="1"/>
  <c r="D67" i="40"/>
  <c r="W32" i="40"/>
  <c r="AB37" i="39"/>
  <c r="S33" i="40"/>
  <c r="AC14" i="40"/>
  <c r="F71" i="9"/>
  <c r="F66" i="9"/>
  <c r="P72" i="9" s="1"/>
  <c r="AC13" i="36"/>
  <c r="S46" i="33"/>
  <c r="AC35" i="35"/>
  <c r="W35" i="35"/>
  <c r="AC46" i="33"/>
  <c r="W46" i="33"/>
  <c r="S27" i="33"/>
  <c r="AA27" i="33"/>
  <c r="U13" i="21"/>
  <c r="AB13" i="21"/>
  <c r="AB46" i="21"/>
  <c r="U46" i="21"/>
  <c r="AB28" i="21"/>
  <c r="U28" i="21"/>
  <c r="U36" i="21"/>
  <c r="AB36" i="21"/>
  <c r="BG5" i="3"/>
  <c r="AA10" i="21"/>
  <c r="S10" i="21"/>
  <c r="J9" i="33"/>
  <c r="H9" i="33"/>
  <c r="F9" i="33"/>
  <c r="AC9" i="34"/>
  <c r="W9" i="34"/>
  <c r="H45" i="33"/>
  <c r="J45" i="33"/>
  <c r="F45" i="33"/>
  <c r="W27" i="35"/>
  <c r="AC27" i="35"/>
  <c r="J9" i="36"/>
  <c r="H9" i="36"/>
  <c r="F9" i="36"/>
  <c r="J24" i="36"/>
  <c r="H24" i="36"/>
  <c r="F24" i="36"/>
  <c r="H34" i="36"/>
  <c r="J34" i="36"/>
  <c r="F34" i="36"/>
  <c r="J39" i="37"/>
  <c r="F39" i="37"/>
  <c r="H39" i="37"/>
  <c r="BL569" i="3"/>
  <c r="AZ569" i="3" s="1"/>
  <c r="BL561" i="3"/>
  <c r="AZ561" i="3" s="1"/>
  <c r="G540" i="3"/>
  <c r="G516" i="3"/>
  <c r="G504" i="3"/>
  <c r="G496" i="3"/>
  <c r="AZ392" i="3"/>
  <c r="U12" i="37"/>
  <c r="AC31" i="34"/>
  <c r="W31" i="34"/>
  <c r="U40" i="37"/>
  <c r="AB40" i="37"/>
  <c r="AA45" i="21"/>
  <c r="S45" i="21"/>
  <c r="U14" i="21"/>
  <c r="AB14" i="21"/>
  <c r="AA19" i="21"/>
  <c r="S19" i="21"/>
  <c r="E32" i="6"/>
  <c r="C9" i="12"/>
  <c r="H5" i="3"/>
  <c r="BL572" i="3"/>
  <c r="AZ572" i="3" s="1"/>
  <c r="D9" i="12"/>
  <c r="F12" i="21"/>
  <c r="H12" i="21"/>
  <c r="H30" i="21"/>
  <c r="F30" i="21"/>
  <c r="J30" i="21"/>
  <c r="F28" i="33"/>
  <c r="J28" i="33"/>
  <c r="AC8" i="34"/>
  <c r="W8" i="34"/>
  <c r="S28" i="34"/>
  <c r="AA34" i="35"/>
  <c r="S34" i="35"/>
  <c r="AC24" i="35"/>
  <c r="W24" i="35"/>
  <c r="U27" i="35"/>
  <c r="AB27" i="35"/>
  <c r="G569" i="3"/>
  <c r="AZ395" i="3"/>
  <c r="AC5" i="3"/>
  <c r="BI5" i="3"/>
  <c r="BB5" i="3"/>
  <c r="E5" i="6" s="1"/>
  <c r="D12" i="11" s="1"/>
  <c r="C12" i="11" s="1"/>
  <c r="A30" i="64"/>
  <c r="A30" i="51"/>
  <c r="B22" i="63" s="1"/>
  <c r="AZ210" i="3"/>
  <c r="AZ226" i="3"/>
  <c r="AZ238" i="3"/>
  <c r="AZ242" i="3"/>
  <c r="AZ254" i="3"/>
  <c r="AZ258" i="3"/>
  <c r="AZ269" i="3"/>
  <c r="AZ272" i="3"/>
  <c r="BR5" i="3"/>
  <c r="G28" i="6" s="1"/>
  <c r="G30" i="6" s="1"/>
  <c r="G31" i="6" s="1"/>
  <c r="A2" i="55"/>
  <c r="B55" i="63" s="1"/>
  <c r="A11" i="55"/>
  <c r="B62" i="63" s="1"/>
  <c r="AZ400" i="3"/>
  <c r="AZ404" i="3"/>
  <c r="AZ416" i="3"/>
  <c r="AZ421" i="3"/>
  <c r="AZ435" i="3"/>
  <c r="AZ440" i="3"/>
  <c r="AZ453" i="3"/>
  <c r="AZ460" i="3"/>
  <c r="AZ464" i="3"/>
  <c r="AZ476" i="3"/>
  <c r="AZ480" i="3"/>
  <c r="AZ368" i="3"/>
  <c r="AZ384" i="3"/>
  <c r="AZ386" i="3"/>
  <c r="AZ214" i="3"/>
  <c r="AZ218" i="3"/>
  <c r="AZ279" i="3"/>
  <c r="AZ291" i="3"/>
  <c r="AZ294" i="3"/>
  <c r="AZ113" i="3"/>
  <c r="AZ116" i="3"/>
  <c r="AZ129" i="3"/>
  <c r="AZ132" i="3"/>
  <c r="AZ145" i="3"/>
  <c r="AZ148" i="3"/>
  <c r="AZ25" i="3"/>
  <c r="AZ21" i="3"/>
  <c r="AZ45" i="3"/>
  <c r="AZ49" i="3"/>
  <c r="AZ54" i="3"/>
  <c r="AZ64" i="3"/>
  <c r="AZ69" i="3"/>
  <c r="AZ80" i="3"/>
  <c r="AZ89" i="3"/>
  <c r="AZ100" i="3"/>
  <c r="AZ105" i="3"/>
  <c r="AZ29" i="3"/>
  <c r="AZ33" i="3"/>
  <c r="G10" i="1"/>
  <c r="C35" i="59"/>
  <c r="D34" i="59"/>
  <c r="C31" i="59"/>
  <c r="D31" i="59" s="1"/>
  <c r="D30" i="59"/>
  <c r="C43" i="59"/>
  <c r="D42" i="59"/>
  <c r="G11" i="1"/>
  <c r="D100" i="46"/>
  <c r="O49" i="59"/>
  <c r="E22" i="59"/>
  <c r="E23" i="59" s="1"/>
  <c r="E24" i="59" s="1"/>
  <c r="U24" i="59" s="1"/>
  <c r="B12" i="59"/>
  <c r="X7" i="59"/>
  <c r="X8" i="59"/>
  <c r="AA8" i="59"/>
  <c r="E12" i="59"/>
  <c r="AA7" i="59"/>
  <c r="AB5" i="59"/>
  <c r="X5" i="59"/>
  <c r="Y5" i="59"/>
  <c r="Z5" i="59" s="1"/>
  <c r="AA5" i="59"/>
  <c r="B54" i="46"/>
  <c r="C27" i="40"/>
  <c r="S27" i="40"/>
  <c r="S21" i="34"/>
  <c r="E18" i="59"/>
  <c r="E19" i="59" s="1"/>
  <c r="E20" i="59" s="1"/>
  <c r="U20" i="59" s="1"/>
  <c r="F18" i="59"/>
  <c r="F19" i="59" s="1"/>
  <c r="F20" i="59" s="1"/>
  <c r="V20" i="59" s="1"/>
  <c r="Q50" i="59"/>
  <c r="Q49" i="59"/>
  <c r="D12" i="59"/>
  <c r="T12" i="59"/>
  <c r="C11" i="59"/>
  <c r="F11" i="59"/>
  <c r="F10" i="59" s="1"/>
  <c r="V12" i="59"/>
  <c r="C6" i="59"/>
  <c r="D7" i="59"/>
  <c r="Y7" i="59"/>
  <c r="Z7" i="59" s="1"/>
  <c r="AB7" i="59"/>
  <c r="X6" i="59"/>
  <c r="A28" i="64"/>
  <c r="Y6" i="59"/>
  <c r="Z6" i="59" s="1"/>
  <c r="AA6" i="59"/>
  <c r="AB6" i="59"/>
  <c r="AD12" i="46"/>
  <c r="AH12" i="46"/>
  <c r="F8" i="59"/>
  <c r="E8" i="59"/>
  <c r="Y8" i="59"/>
  <c r="Z8" i="59" s="1"/>
  <c r="AB8" i="59"/>
  <c r="G9" i="1"/>
  <c r="L16" i="4"/>
  <c r="K17" i="4" s="1"/>
  <c r="A22" i="51" s="1"/>
  <c r="B16" i="63" s="1"/>
  <c r="G7" i="1"/>
  <c r="AP9" i="1"/>
  <c r="G8" i="1"/>
  <c r="G13" i="1"/>
  <c r="A4" i="64"/>
  <c r="A4" i="51"/>
  <c r="B6" i="63" s="1"/>
  <c r="C51" i="10"/>
  <c r="A9" i="51" s="1"/>
  <c r="B9" i="63" s="1"/>
  <c r="N4" i="63"/>
  <c r="F52" i="37"/>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F7" i="21"/>
  <c r="E72" i="39"/>
  <c r="F70" i="39"/>
  <c r="E46" i="36"/>
  <c r="F46" i="36" s="1"/>
  <c r="G46" i="36" s="1"/>
  <c r="H46" i="36" s="1"/>
  <c r="I46" i="36" s="1"/>
  <c r="J46" i="36" s="1"/>
  <c r="K46" i="36" s="1"/>
  <c r="L46" i="36" s="1"/>
  <c r="M46" i="36" s="1"/>
  <c r="N46" i="36" s="1"/>
  <c r="O46" i="36" s="1"/>
  <c r="H7" i="36"/>
  <c r="F7" i="36"/>
  <c r="E59" i="34"/>
  <c r="F59" i="34" s="1"/>
  <c r="G59" i="34" s="1"/>
  <c r="H59" i="34" s="1"/>
  <c r="I59" i="34" s="1"/>
  <c r="J59" i="34" s="1"/>
  <c r="K59" i="34" s="1"/>
  <c r="L59" i="34" s="1"/>
  <c r="M59" i="34" s="1"/>
  <c r="N59" i="34" s="1"/>
  <c r="O59" i="34" s="1"/>
  <c r="H7" i="34"/>
  <c r="F7" i="34"/>
  <c r="F65" i="40"/>
  <c r="E67" i="40"/>
  <c r="G48" i="35"/>
  <c r="H48" i="35" s="1"/>
  <c r="I48" i="35" s="1"/>
  <c r="J48" i="35" s="1"/>
  <c r="K48" i="35" s="1"/>
  <c r="L48" i="35" s="1"/>
  <c r="M48" i="35" s="1"/>
  <c r="N48" i="35" s="1"/>
  <c r="O48" i="35" s="1"/>
  <c r="E58" i="33"/>
  <c r="F58" i="33" s="1"/>
  <c r="G58" i="33" s="1"/>
  <c r="H58" i="33" s="1"/>
  <c r="I58" i="33" s="1"/>
  <c r="J58" i="33" s="1"/>
  <c r="K58" i="33" s="1"/>
  <c r="L58" i="33" s="1"/>
  <c r="M58" i="33" s="1"/>
  <c r="N58" i="33" s="1"/>
  <c r="O58" i="33" s="1"/>
  <c r="A25" i="51"/>
  <c r="B18" i="63" s="1"/>
  <c r="G6" i="1"/>
  <c r="AP10" i="1"/>
  <c r="AP11" i="1"/>
  <c r="G12" i="1"/>
  <c r="D22" i="15"/>
  <c r="G27" i="12"/>
  <c r="G21" i="43"/>
  <c r="G22" i="43"/>
  <c r="C2" i="65"/>
  <c r="I1" i="65" s="1"/>
  <c r="G23" i="43"/>
  <c r="S43" i="21"/>
  <c r="AC43" i="21"/>
  <c r="AB33" i="39"/>
  <c r="K6" i="1"/>
  <c r="M6" i="1" s="1"/>
  <c r="K1" i="12"/>
  <c r="F28" i="6"/>
  <c r="BL13" i="3"/>
  <c r="BL5" i="3" s="1"/>
  <c r="I4" i="6"/>
  <c r="G3" i="46" s="1"/>
  <c r="S6" i="46" s="1"/>
  <c r="G13" i="3"/>
  <c r="E8" i="6"/>
  <c r="E53" i="40" s="1"/>
  <c r="D21" i="12"/>
  <c r="C21" i="12" s="1"/>
  <c r="E28" i="6"/>
  <c r="O8" i="1"/>
  <c r="P8" i="1" s="1"/>
  <c r="O13" i="1"/>
  <c r="P13" i="1" s="1"/>
  <c r="E12" i="6"/>
  <c r="E10" i="6"/>
  <c r="E11" i="6"/>
  <c r="E14" i="6"/>
  <c r="E13" i="6"/>
  <c r="E15" i="6"/>
  <c r="O10" i="1"/>
  <c r="P10" i="1" s="1"/>
  <c r="P11" i="1"/>
  <c r="BM5" i="3"/>
  <c r="F29" i="6" s="1"/>
  <c r="E29" i="6" s="1"/>
  <c r="K15" i="1" s="1"/>
  <c r="P7" i="1"/>
  <c r="BA13" i="3"/>
  <c r="H16" i="1"/>
  <c r="E11" i="52"/>
  <c r="E14" i="52"/>
  <c r="E15" i="52"/>
  <c r="B15" i="52"/>
  <c r="E13" i="52"/>
  <c r="E5" i="52"/>
  <c r="B14" i="52"/>
  <c r="E9" i="52"/>
  <c r="E8" i="52"/>
  <c r="E6" i="52"/>
  <c r="E16" i="52"/>
  <c r="B4" i="52"/>
  <c r="B5" i="52"/>
  <c r="B7" i="52"/>
  <c r="B9" i="52"/>
  <c r="B11" i="52"/>
  <c r="B16" i="52"/>
  <c r="B6" i="52"/>
  <c r="B8" i="52"/>
  <c r="B10" i="52"/>
  <c r="B13" i="52"/>
  <c r="E4" i="52"/>
  <c r="E10" i="52"/>
  <c r="B22" i="52"/>
  <c r="E21" i="52"/>
  <c r="E7" i="52"/>
  <c r="E22" i="52"/>
  <c r="C36" i="44"/>
  <c r="F62" i="15"/>
  <c r="C61" i="15" s="1"/>
  <c r="C34" i="15"/>
  <c r="J22" i="44"/>
  <c r="J20" i="15"/>
  <c r="F65" i="15"/>
  <c r="F50" i="15"/>
  <c r="L58" i="15"/>
  <c r="L59" i="15"/>
  <c r="C8" i="44"/>
  <c r="F49" i="15"/>
  <c r="M7" i="15"/>
  <c r="J6" i="15" s="1"/>
  <c r="C29" i="44"/>
  <c r="F63" i="15"/>
  <c r="Q72" i="15"/>
  <c r="Q73" i="44"/>
  <c r="F70" i="15"/>
  <c r="F64" i="15"/>
  <c r="M9" i="44"/>
  <c r="J8" i="44" s="1"/>
  <c r="F67" i="15"/>
  <c r="C6" i="15"/>
  <c r="L60" i="44"/>
  <c r="L59" i="44"/>
  <c r="C27" i="15"/>
  <c r="J1" i="65"/>
  <c r="C4" i="65"/>
  <c r="B39" i="1" s="1"/>
  <c r="E20" i="46"/>
  <c r="I55" i="44"/>
  <c r="J60" i="44"/>
  <c r="L57" i="44"/>
  <c r="J54" i="44"/>
  <c r="J58" i="44"/>
  <c r="J56" i="44" s="1"/>
  <c r="J59" i="44" s="1"/>
  <c r="Q52" i="44" s="1"/>
  <c r="J61" i="44"/>
  <c r="Q50" i="44" s="1"/>
  <c r="J57" i="15"/>
  <c r="J55" i="15" s="1"/>
  <c r="J58" i="15" s="1"/>
  <c r="Q51" i="15" s="1"/>
  <c r="J53" i="15"/>
  <c r="I54" i="15"/>
  <c r="L56" i="15"/>
  <c r="M17" i="15"/>
  <c r="M19" i="44"/>
  <c r="F58" i="15"/>
  <c r="C18" i="44"/>
  <c r="E3" i="65"/>
  <c r="E2" i="65"/>
  <c r="C17" i="15"/>
  <c r="C16" i="15"/>
  <c r="W13" i="39" l="1"/>
  <c r="H25" i="39"/>
  <c r="U25" i="39" s="1"/>
  <c r="W25" i="39"/>
  <c r="S13" i="39"/>
  <c r="AA13" i="39"/>
  <c r="AB13" i="39"/>
  <c r="U13" i="39"/>
  <c r="U11" i="21"/>
  <c r="AB11" i="21"/>
  <c r="H69" i="21"/>
  <c r="I69" i="21" s="1"/>
  <c r="J69" i="21" s="1"/>
  <c r="K69" i="21" s="1"/>
  <c r="L69" i="21" s="1"/>
  <c r="M69" i="21" s="1"/>
  <c r="F11" i="21"/>
  <c r="J11" i="21"/>
  <c r="E7" i="59"/>
  <c r="E6" i="59" s="1"/>
  <c r="E5" i="59" s="1"/>
  <c r="U8" i="59"/>
  <c r="D6" i="59"/>
  <c r="C5" i="59"/>
  <c r="AA28" i="33"/>
  <c r="S28" i="33"/>
  <c r="S30" i="21"/>
  <c r="AA30" i="21"/>
  <c r="U12" i="21"/>
  <c r="AB12" i="21"/>
  <c r="L19" i="6"/>
  <c r="L27" i="6" s="1"/>
  <c r="AA39" i="37"/>
  <c r="S39" i="37"/>
  <c r="S34" i="36"/>
  <c r="AA34" i="36"/>
  <c r="AB34" i="36"/>
  <c r="U34" i="36"/>
  <c r="U24" i="36"/>
  <c r="AB24" i="36"/>
  <c r="AA9" i="36"/>
  <c r="S9" i="36"/>
  <c r="AC9" i="36"/>
  <c r="W9" i="36"/>
  <c r="AC45" i="33"/>
  <c r="W45" i="33"/>
  <c r="AA9" i="33"/>
  <c r="S9" i="33"/>
  <c r="AC9" i="33"/>
  <c r="W9" i="33"/>
  <c r="J7" i="34"/>
  <c r="J7" i="36"/>
  <c r="J7" i="21"/>
  <c r="F7" i="59"/>
  <c r="F6" i="59" s="1"/>
  <c r="F5" i="59" s="1"/>
  <c r="V8" i="59"/>
  <c r="D11" i="59"/>
  <c r="C10" i="59"/>
  <c r="D10" i="59" s="1"/>
  <c r="U12" i="59"/>
  <c r="E11" i="59"/>
  <c r="E10" i="59" s="1"/>
  <c r="S12" i="59"/>
  <c r="B11" i="59"/>
  <c r="B10" i="59" s="1"/>
  <c r="C44" i="59"/>
  <c r="D43" i="59"/>
  <c r="D35" i="59"/>
  <c r="C36" i="59"/>
  <c r="AC28" i="33"/>
  <c r="W28" i="33"/>
  <c r="W30" i="21"/>
  <c r="AC30" i="21"/>
  <c r="U30" i="21"/>
  <c r="AB30" i="21"/>
  <c r="S12" i="21"/>
  <c r="AA12" i="21"/>
  <c r="AB39" i="37"/>
  <c r="U39" i="37"/>
  <c r="W39" i="37"/>
  <c r="AC39" i="37"/>
  <c r="AC34" i="36"/>
  <c r="W34" i="36"/>
  <c r="AA24" i="36"/>
  <c r="S24" i="36"/>
  <c r="AC24" i="36"/>
  <c r="W24" i="36"/>
  <c r="AB9" i="36"/>
  <c r="U9" i="36"/>
  <c r="S45" i="33"/>
  <c r="AA45" i="33"/>
  <c r="AB45" i="33"/>
  <c r="U45" i="33"/>
  <c r="U9" i="33"/>
  <c r="AB9" i="33"/>
  <c r="O6" i="1"/>
  <c r="P6" i="1" s="1"/>
  <c r="C15" i="12" s="1"/>
  <c r="C15" i="43"/>
  <c r="A9" i="64"/>
  <c r="W7" i="21"/>
  <c r="AC7" i="21"/>
  <c r="G65" i="40"/>
  <c r="F67" i="40"/>
  <c r="W7" i="34"/>
  <c r="AC7" i="34"/>
  <c r="V49" i="34" s="1"/>
  <c r="I49" i="34" s="1"/>
  <c r="W7" i="36"/>
  <c r="AC7" i="36"/>
  <c r="V36" i="36" s="1"/>
  <c r="I36" i="36" s="1"/>
  <c r="J7" i="33"/>
  <c r="H7" i="33"/>
  <c r="F7" i="37"/>
  <c r="H7" i="35"/>
  <c r="J7" i="37"/>
  <c r="H7" i="21"/>
  <c r="H7" i="37"/>
  <c r="AA7" i="34"/>
  <c r="R49" i="34" s="1"/>
  <c r="S7" i="34"/>
  <c r="AA7" i="36"/>
  <c r="R36" i="36" s="1"/>
  <c r="S7" i="36"/>
  <c r="F72" i="39"/>
  <c r="G70" i="39"/>
  <c r="S7" i="21"/>
  <c r="AA7" i="21"/>
  <c r="AB7" i="34"/>
  <c r="T49" i="34" s="1"/>
  <c r="G49" i="34" s="1"/>
  <c r="U7" i="34"/>
  <c r="U7" i="36"/>
  <c r="AB7" i="36"/>
  <c r="T36" i="36" s="1"/>
  <c r="G36" i="36" s="1"/>
  <c r="F7" i="33"/>
  <c r="F7" i="35"/>
  <c r="J7" i="35"/>
  <c r="AE11" i="46"/>
  <c r="AE13" i="46" s="1"/>
  <c r="N104" i="45"/>
  <c r="C23" i="46"/>
  <c r="C21" i="46" s="1"/>
  <c r="S3" i="46"/>
  <c r="J101" i="46"/>
  <c r="J107" i="46" s="1"/>
  <c r="AP16" i="1"/>
  <c r="F22" i="11" s="1"/>
  <c r="G16" i="1"/>
  <c r="F12" i="39" s="1"/>
  <c r="AG11" i="46"/>
  <c r="AG13" i="46" s="1"/>
  <c r="AH11" i="46"/>
  <c r="AH13" i="46" s="1"/>
  <c r="Q16" i="1"/>
  <c r="F18" i="11" s="1"/>
  <c r="C18" i="11" s="1"/>
  <c r="G22" i="46"/>
  <c r="C101" i="46"/>
  <c r="C103" i="46" s="1"/>
  <c r="AC11" i="46"/>
  <c r="AC13" i="46" s="1"/>
  <c r="S5" i="46"/>
  <c r="G101" i="46"/>
  <c r="G105" i="46" s="1"/>
  <c r="K101" i="46"/>
  <c r="K107" i="46" s="1"/>
  <c r="S2" i="46"/>
  <c r="J22" i="46"/>
  <c r="E22" i="46"/>
  <c r="S4" i="46"/>
  <c r="E101" i="46"/>
  <c r="E106" i="46" s="1"/>
  <c r="S7" i="46"/>
  <c r="Y11" i="46"/>
  <c r="Y13" i="46" s="1"/>
  <c r="Z7" i="46"/>
  <c r="D101" i="46"/>
  <c r="D104" i="46" s="1"/>
  <c r="AF11" i="46"/>
  <c r="AF13" i="46" s="1"/>
  <c r="F22" i="46"/>
  <c r="AA11" i="46"/>
  <c r="AA13" i="46" s="1"/>
  <c r="B113" i="46"/>
  <c r="B116" i="46" s="1"/>
  <c r="C116" i="46" s="1"/>
  <c r="F101" i="46"/>
  <c r="F102" i="46" s="1"/>
  <c r="AI11" i="46"/>
  <c r="AI13" i="46" s="1"/>
  <c r="I101" i="46"/>
  <c r="I102" i="46" s="1"/>
  <c r="M101" i="46"/>
  <c r="M104" i="46" s="1"/>
  <c r="AD11" i="46"/>
  <c r="AD13" i="46" s="1"/>
  <c r="H101" i="46"/>
  <c r="H106" i="46" s="1"/>
  <c r="AJ11" i="46"/>
  <c r="AJ13" i="46" s="1"/>
  <c r="N101" i="46"/>
  <c r="N109" i="46" s="1"/>
  <c r="H22" i="46"/>
  <c r="L101" i="46"/>
  <c r="L103" i="46" s="1"/>
  <c r="Z11" i="46"/>
  <c r="Z13" i="46" s="1"/>
  <c r="AB11" i="46"/>
  <c r="AB13" i="46" s="1"/>
  <c r="G5" i="3"/>
  <c r="B3" i="3" s="1"/>
  <c r="E13" i="3" s="1"/>
  <c r="F27" i="6"/>
  <c r="E58" i="39"/>
  <c r="E62" i="40"/>
  <c r="E67" i="39"/>
  <c r="E30" i="6"/>
  <c r="K14" i="1"/>
  <c r="E16" i="6"/>
  <c r="AZ13" i="3"/>
  <c r="AZ5" i="3" s="1"/>
  <c r="BA5" i="3"/>
  <c r="E27" i="6" s="1"/>
  <c r="K25" i="6" s="1"/>
  <c r="M25" i="6" s="1"/>
  <c r="I25" i="6" s="1"/>
  <c r="S25" i="6" s="1"/>
  <c r="E66" i="39"/>
  <c r="E61" i="40"/>
  <c r="E63" i="39"/>
  <c r="E58" i="40"/>
  <c r="F30" i="6"/>
  <c r="E65" i="39"/>
  <c r="E60" i="40"/>
  <c r="E59" i="40"/>
  <c r="E64" i="39"/>
  <c r="G107" i="46"/>
  <c r="J105" i="46"/>
  <c r="J104" i="46"/>
  <c r="H104" i="46"/>
  <c r="B115" i="46"/>
  <c r="L47" i="44"/>
  <c r="F17" i="11"/>
  <c r="C17" i="11" s="1"/>
  <c r="B40" i="1"/>
  <c r="F11" i="15"/>
  <c r="F13" i="44"/>
  <c r="C12" i="44" s="1"/>
  <c r="C7" i="44" s="1"/>
  <c r="M11" i="15"/>
  <c r="J10" i="15" s="1"/>
  <c r="J5" i="15" s="1"/>
  <c r="M13" i="44"/>
  <c r="J12" i="44" s="1"/>
  <c r="J7" i="44" s="1"/>
  <c r="Q63" i="44"/>
  <c r="Q76" i="44"/>
  <c r="Q62" i="15"/>
  <c r="Q75" i="15"/>
  <c r="C48" i="15"/>
  <c r="F1" i="15"/>
  <c r="Q53" i="15"/>
  <c r="Q54" i="44"/>
  <c r="F1" i="44"/>
  <c r="O17" i="46"/>
  <c r="M17" i="46"/>
  <c r="P17" i="46"/>
  <c r="N17" i="46"/>
  <c r="Q75" i="44"/>
  <c r="Q62" i="44"/>
  <c r="Q74" i="15"/>
  <c r="Q61" i="15"/>
  <c r="AE7" i="1"/>
  <c r="AB25" i="39" l="1"/>
  <c r="S11" i="21"/>
  <c r="AA11" i="21"/>
  <c r="W11" i="21"/>
  <c r="AC11" i="21"/>
  <c r="D44" i="59"/>
  <c r="T44" i="59"/>
  <c r="D5" i="59"/>
  <c r="M20" i="46"/>
  <c r="C19" i="46" s="1"/>
  <c r="T3" i="46"/>
  <c r="V3" i="46" s="1"/>
  <c r="C29" i="46"/>
  <c r="D36" i="59"/>
  <c r="T36" i="59"/>
  <c r="S7" i="33"/>
  <c r="AA7" i="33"/>
  <c r="R48" i="33" s="1"/>
  <c r="E36" i="36"/>
  <c r="R37" i="36"/>
  <c r="AA7" i="35"/>
  <c r="R38" i="35" s="1"/>
  <c r="S7" i="35"/>
  <c r="G40" i="36"/>
  <c r="H40" i="36" s="1"/>
  <c r="G41" i="36"/>
  <c r="H41" i="36" s="1"/>
  <c r="I53" i="34"/>
  <c r="J53" i="34" s="1"/>
  <c r="W7" i="35"/>
  <c r="AC7" i="35"/>
  <c r="V38" i="35" s="1"/>
  <c r="I38" i="35" s="1"/>
  <c r="G54" i="34"/>
  <c r="H54" i="34" s="1"/>
  <c r="G53" i="34"/>
  <c r="H53" i="34" s="1"/>
  <c r="R50" i="34"/>
  <c r="E49" i="34"/>
  <c r="W7" i="37"/>
  <c r="AC7" i="37"/>
  <c r="V42" i="37" s="1"/>
  <c r="I42" i="37" s="1"/>
  <c r="W7" i="33"/>
  <c r="AC7" i="33"/>
  <c r="V48" i="33" s="1"/>
  <c r="I48" i="33" s="1"/>
  <c r="H65" i="40"/>
  <c r="G67" i="40"/>
  <c r="AB7" i="21"/>
  <c r="U7" i="21"/>
  <c r="S7" i="37"/>
  <c r="AA7" i="37"/>
  <c r="R42" i="37" s="1"/>
  <c r="AB7" i="37"/>
  <c r="T42" i="37" s="1"/>
  <c r="G42" i="37" s="1"/>
  <c r="U7" i="37"/>
  <c r="U7" i="35"/>
  <c r="AB7" i="35"/>
  <c r="T38" i="35" s="1"/>
  <c r="G38" i="35" s="1"/>
  <c r="G72" i="39"/>
  <c r="H70" i="39"/>
  <c r="AB7" i="33"/>
  <c r="T48" i="33" s="1"/>
  <c r="G48" i="33" s="1"/>
  <c r="U7" i="33"/>
  <c r="I40" i="36"/>
  <c r="J40" i="36" s="1"/>
  <c r="I41" i="36"/>
  <c r="J41" i="36" s="1"/>
  <c r="H12" i="39"/>
  <c r="U12" i="39" s="1"/>
  <c r="I116" i="46"/>
  <c r="J116" i="46" s="1"/>
  <c r="K116" i="46" s="1"/>
  <c r="L116" i="46" s="1"/>
  <c r="M116" i="46" s="1"/>
  <c r="L109" i="46"/>
  <c r="E107" i="46"/>
  <c r="J103" i="46"/>
  <c r="J102" i="46"/>
  <c r="G118" i="46"/>
  <c r="H118" i="46" s="1"/>
  <c r="L102" i="46"/>
  <c r="E104" i="46"/>
  <c r="J109" i="46"/>
  <c r="B117" i="46"/>
  <c r="C117" i="46" s="1"/>
  <c r="D102" i="46"/>
  <c r="E109" i="46"/>
  <c r="J106" i="46"/>
  <c r="M109" i="46"/>
  <c r="F12" i="40"/>
  <c r="S12" i="40" s="1"/>
  <c r="N104" i="46"/>
  <c r="D22" i="46"/>
  <c r="C102" i="46"/>
  <c r="H12" i="40"/>
  <c r="U12" i="40" s="1"/>
  <c r="G104" i="46"/>
  <c r="J12" i="39"/>
  <c r="AC12" i="39" s="1"/>
  <c r="J12" i="40"/>
  <c r="AC12" i="40" s="1"/>
  <c r="I104" i="46"/>
  <c r="C105" i="46"/>
  <c r="K102" i="46"/>
  <c r="G102" i="46"/>
  <c r="F31" i="6"/>
  <c r="F24" i="43"/>
  <c r="C26" i="43" s="1"/>
  <c r="D24" i="43" s="1"/>
  <c r="F33" i="12"/>
  <c r="C34" i="12" s="1"/>
  <c r="D33" i="12" s="1"/>
  <c r="D118" i="46"/>
  <c r="E118" i="46" s="1"/>
  <c r="F118" i="46" s="1"/>
  <c r="I115" i="46"/>
  <c r="J115" i="46" s="1"/>
  <c r="K115" i="46" s="1"/>
  <c r="L115" i="46" s="1"/>
  <c r="M115" i="46" s="1"/>
  <c r="D109" i="46"/>
  <c r="L107" i="46"/>
  <c r="H107" i="46"/>
  <c r="E102" i="46"/>
  <c r="E105" i="46"/>
  <c r="C106" i="46"/>
  <c r="C104" i="46"/>
  <c r="K105" i="46"/>
  <c r="K103" i="46"/>
  <c r="F103" i="46"/>
  <c r="D116" i="46"/>
  <c r="E116" i="46" s="1"/>
  <c r="F116" i="46" s="1"/>
  <c r="G116" i="46" s="1"/>
  <c r="H116" i="46" s="1"/>
  <c r="D105" i="46"/>
  <c r="L106" i="46"/>
  <c r="H109" i="46"/>
  <c r="E103" i="46"/>
  <c r="C109" i="46"/>
  <c r="C107" i="46"/>
  <c r="K106" i="46"/>
  <c r="K104" i="46"/>
  <c r="K109" i="46"/>
  <c r="F104" i="46"/>
  <c r="F105" i="46"/>
  <c r="G106" i="46"/>
  <c r="G109" i="46"/>
  <c r="F107" i="46"/>
  <c r="F106" i="46"/>
  <c r="N105" i="46"/>
  <c r="M106" i="46"/>
  <c r="G103" i="46"/>
  <c r="N103" i="46"/>
  <c r="N107" i="46"/>
  <c r="N106" i="46"/>
  <c r="N102" i="46"/>
  <c r="M105" i="46"/>
  <c r="M103" i="46"/>
  <c r="I105" i="46"/>
  <c r="M107" i="46"/>
  <c r="M102" i="46"/>
  <c r="F109" i="46"/>
  <c r="B118" i="46"/>
  <c r="C118" i="46" s="1"/>
  <c r="I118" i="46"/>
  <c r="J118" i="46" s="1"/>
  <c r="K118" i="46" s="1"/>
  <c r="L118" i="46" s="1"/>
  <c r="M118" i="46" s="1"/>
  <c r="D117" i="46"/>
  <c r="E117" i="46" s="1"/>
  <c r="F117" i="46" s="1"/>
  <c r="G117" i="46" s="1"/>
  <c r="H117" i="46" s="1"/>
  <c r="D107" i="46"/>
  <c r="D103" i="46"/>
  <c r="L104" i="46"/>
  <c r="L105" i="46"/>
  <c r="H102" i="46"/>
  <c r="H105" i="46"/>
  <c r="I106" i="46"/>
  <c r="I107" i="46"/>
  <c r="I103" i="46"/>
  <c r="I117" i="46"/>
  <c r="J117" i="46" s="1"/>
  <c r="K117" i="46" s="1"/>
  <c r="L117" i="46" s="1"/>
  <c r="M117" i="46" s="1"/>
  <c r="D115" i="46"/>
  <c r="E115" i="46" s="1"/>
  <c r="F115" i="46" s="1"/>
  <c r="G115" i="46" s="1"/>
  <c r="H115" i="46" s="1"/>
  <c r="D106" i="46"/>
  <c r="H103" i="46"/>
  <c r="I109" i="46"/>
  <c r="E86" i="3"/>
  <c r="E278" i="3"/>
  <c r="E304" i="3"/>
  <c r="E218" i="3"/>
  <c r="E398" i="3"/>
  <c r="E264" i="3"/>
  <c r="E386" i="3"/>
  <c r="E385" i="3"/>
  <c r="E501" i="3"/>
  <c r="E358" i="3"/>
  <c r="E100" i="3"/>
  <c r="E63" i="3"/>
  <c r="E467" i="3"/>
  <c r="E302" i="3"/>
  <c r="E159" i="3"/>
  <c r="E421" i="3"/>
  <c r="E391" i="3"/>
  <c r="E476" i="3"/>
  <c r="E195" i="3"/>
  <c r="E103" i="3"/>
  <c r="E415" i="3"/>
  <c r="E136" i="3"/>
  <c r="E365" i="3"/>
  <c r="E440" i="3"/>
  <c r="E183" i="3"/>
  <c r="E562" i="3"/>
  <c r="E316" i="3"/>
  <c r="E49" i="3"/>
  <c r="E369" i="3"/>
  <c r="E95" i="3"/>
  <c r="E20" i="3"/>
  <c r="E389" i="3"/>
  <c r="E141" i="3"/>
  <c r="E139" i="3"/>
  <c r="AR6" i="3"/>
  <c r="E150" i="3"/>
  <c r="E181" i="3"/>
  <c r="E318" i="3"/>
  <c r="E17" i="3"/>
  <c r="E567" i="3"/>
  <c r="E312" i="3"/>
  <c r="E212" i="3"/>
  <c r="E81" i="3"/>
  <c r="E271" i="3"/>
  <c r="E123" i="3"/>
  <c r="E448" i="3"/>
  <c r="E465" i="3"/>
  <c r="L6" i="3"/>
  <c r="E232" i="3"/>
  <c r="E184" i="3"/>
  <c r="E397" i="3"/>
  <c r="E170" i="3"/>
  <c r="E89" i="3"/>
  <c r="E472" i="3"/>
  <c r="E337" i="3"/>
  <c r="E265" i="3"/>
  <c r="E503" i="3"/>
  <c r="E112" i="3"/>
  <c r="E566" i="3"/>
  <c r="E219" i="3"/>
  <c r="E373" i="3"/>
  <c r="E325" i="3"/>
  <c r="E559" i="3"/>
  <c r="E281" i="3"/>
  <c r="Y6" i="3"/>
  <c r="E305" i="3"/>
  <c r="E245" i="3"/>
  <c r="E383" i="3"/>
  <c r="E357" i="3"/>
  <c r="E205" i="3"/>
  <c r="E454" i="3"/>
  <c r="E215" i="3"/>
  <c r="E31" i="3"/>
  <c r="E437" i="3"/>
  <c r="E395" i="3"/>
  <c r="E326" i="3"/>
  <c r="E240" i="3"/>
  <c r="E488" i="3"/>
  <c r="E516" i="3"/>
  <c r="E522" i="3"/>
  <c r="E364" i="3"/>
  <c r="E118" i="3"/>
  <c r="E339" i="3"/>
  <c r="E432" i="3"/>
  <c r="E436" i="3"/>
  <c r="E558" i="3"/>
  <c r="E355" i="3"/>
  <c r="E191" i="3"/>
  <c r="E229" i="3"/>
  <c r="E162" i="3"/>
  <c r="E453" i="3"/>
  <c r="E220" i="3"/>
  <c r="E88" i="3"/>
  <c r="E288" i="3"/>
  <c r="E39" i="3"/>
  <c r="E111" i="3"/>
  <c r="E293" i="3"/>
  <c r="E412" i="3"/>
  <c r="E148" i="3"/>
  <c r="E109" i="3"/>
  <c r="E410" i="3"/>
  <c r="E343" i="3"/>
  <c r="E452" i="3"/>
  <c r="E54" i="3"/>
  <c r="E537" i="3"/>
  <c r="E253" i="3"/>
  <c r="E349" i="3"/>
  <c r="E528" i="3"/>
  <c r="E117" i="3"/>
  <c r="E439" i="3"/>
  <c r="E147" i="3"/>
  <c r="M6" i="3"/>
  <c r="E557" i="3"/>
  <c r="E346" i="3"/>
  <c r="E328" i="3"/>
  <c r="E130" i="3"/>
  <c r="E340" i="3"/>
  <c r="E483" i="3"/>
  <c r="E208" i="3"/>
  <c r="E56" i="3"/>
  <c r="E15" i="3"/>
  <c r="AJ6" i="3"/>
  <c r="E456" i="3"/>
  <c r="E491" i="3"/>
  <c r="E29" i="3"/>
  <c r="E87" i="3"/>
  <c r="E242" i="3"/>
  <c r="E96" i="3"/>
  <c r="E308" i="3"/>
  <c r="E196" i="3"/>
  <c r="E207" i="3"/>
  <c r="O6" i="3"/>
  <c r="E257" i="3"/>
  <c r="E113" i="3"/>
  <c r="AE6" i="3"/>
  <c r="E500" i="3"/>
  <c r="Q6" i="3"/>
  <c r="E447" i="3"/>
  <c r="E32" i="3"/>
  <c r="E101" i="3"/>
  <c r="E99" i="3"/>
  <c r="E82" i="3"/>
  <c r="E263" i="3"/>
  <c r="E186" i="3"/>
  <c r="E450" i="3"/>
  <c r="E209" i="3"/>
  <c r="E464" i="3"/>
  <c r="E59" i="3"/>
  <c r="AN6" i="3"/>
  <c r="E561" i="3"/>
  <c r="E381" i="3"/>
  <c r="E321" i="3"/>
  <c r="E404" i="3"/>
  <c r="E174" i="3"/>
  <c r="E67" i="3"/>
  <c r="AG6" i="3"/>
  <c r="E180" i="3"/>
  <c r="E361" i="3"/>
  <c r="AB6" i="3"/>
  <c r="E237" i="3"/>
  <c r="E490" i="3"/>
  <c r="E422" i="3"/>
  <c r="E543" i="3"/>
  <c r="E16" i="3"/>
  <c r="E377" i="3"/>
  <c r="E91" i="3"/>
  <c r="E518" i="3"/>
  <c r="E333" i="3"/>
  <c r="AA6" i="3"/>
  <c r="E230" i="3"/>
  <c r="E168" i="3"/>
  <c r="E445" i="3"/>
  <c r="E65" i="3"/>
  <c r="E314" i="3"/>
  <c r="E42" i="3"/>
  <c r="E494" i="3"/>
  <c r="E250" i="3"/>
  <c r="E104" i="3"/>
  <c r="E287" i="3"/>
  <c r="E384" i="3"/>
  <c r="E327" i="3"/>
  <c r="E367" i="3"/>
  <c r="E550" i="3"/>
  <c r="E527" i="3"/>
  <c r="E72" i="3"/>
  <c r="E320" i="3"/>
  <c r="E515" i="3"/>
  <c r="E509" i="3"/>
  <c r="E26" i="3"/>
  <c r="E512" i="3"/>
  <c r="E182" i="3"/>
  <c r="E524" i="3"/>
  <c r="E493" i="3"/>
  <c r="E76" i="3"/>
  <c r="E121" i="3"/>
  <c r="E243" i="3"/>
  <c r="E116" i="3"/>
  <c r="E507" i="3"/>
  <c r="E473" i="3"/>
  <c r="E47" i="3"/>
  <c r="E213" i="3"/>
  <c r="E201" i="3"/>
  <c r="E295" i="3"/>
  <c r="E158" i="3"/>
  <c r="AM6" i="3"/>
  <c r="E135" i="3"/>
  <c r="E175" i="3"/>
  <c r="E273" i="3"/>
  <c r="E571" i="3"/>
  <c r="T6" i="3"/>
  <c r="E216" i="3"/>
  <c r="E324" i="3"/>
  <c r="AF6" i="3"/>
  <c r="E51" i="3"/>
  <c r="E126" i="3"/>
  <c r="E451" i="3"/>
  <c r="E568" i="3"/>
  <c r="AS6" i="3"/>
  <c r="E478" i="3"/>
  <c r="AK6" i="3"/>
  <c r="E548" i="3"/>
  <c r="E127" i="3"/>
  <c r="E221" i="3"/>
  <c r="E446" i="3"/>
  <c r="E481" i="3"/>
  <c r="E382" i="3"/>
  <c r="E71" i="3"/>
  <c r="E227" i="3"/>
  <c r="E572" i="3"/>
  <c r="E342" i="3"/>
  <c r="E378" i="3"/>
  <c r="E14" i="3"/>
  <c r="E153" i="3"/>
  <c r="E260" i="3"/>
  <c r="E173" i="3"/>
  <c r="E499" i="3"/>
  <c r="E555" i="3"/>
  <c r="E120" i="3"/>
  <c r="E235" i="3"/>
  <c r="AQ6" i="3"/>
  <c r="E517" i="3"/>
  <c r="E480" i="3"/>
  <c r="E393" i="3"/>
  <c r="E107" i="3"/>
  <c r="E261" i="3"/>
  <c r="E560" i="3"/>
  <c r="E469" i="3"/>
  <c r="E27" i="3"/>
  <c r="E185" i="3"/>
  <c r="E468" i="3"/>
  <c r="E142" i="3"/>
  <c r="E435" i="3"/>
  <c r="E423" i="3"/>
  <c r="E199" i="3"/>
  <c r="E225" i="3"/>
  <c r="E427" i="3"/>
  <c r="E131" i="3"/>
  <c r="E30" i="3"/>
  <c r="E98" i="3"/>
  <c r="E486" i="3"/>
  <c r="E419" i="3"/>
  <c r="E246" i="3"/>
  <c r="E323" i="3"/>
  <c r="E511" i="3"/>
  <c r="E428" i="3"/>
  <c r="E442" i="3"/>
  <c r="E533" i="3"/>
  <c r="E105" i="3"/>
  <c r="E298" i="3"/>
  <c r="E192" i="3"/>
  <c r="E359" i="3"/>
  <c r="E341" i="3"/>
  <c r="E115" i="3"/>
  <c r="E299" i="3"/>
  <c r="E441" i="3"/>
  <c r="E407" i="3"/>
  <c r="E291" i="3"/>
  <c r="E345" i="3"/>
  <c r="E489" i="3"/>
  <c r="E269" i="3"/>
  <c r="E254" i="3"/>
  <c r="E156" i="3"/>
  <c r="E303" i="3"/>
  <c r="E551" i="3"/>
  <c r="S6" i="3"/>
  <c r="E200" i="3"/>
  <c r="E80" i="3"/>
  <c r="E85" i="3"/>
  <c r="E248" i="3"/>
  <c r="E331" i="3"/>
  <c r="E284" i="3"/>
  <c r="E542" i="3"/>
  <c r="E18" i="3"/>
  <c r="E329" i="3"/>
  <c r="E514" i="3"/>
  <c r="E35" i="3"/>
  <c r="E277" i="3"/>
  <c r="E508" i="3"/>
  <c r="E66" i="3"/>
  <c r="E74" i="3"/>
  <c r="E154" i="3"/>
  <c r="E429" i="3"/>
  <c r="E189" i="3"/>
  <c r="E482" i="3"/>
  <c r="E462" i="3"/>
  <c r="I3" i="6"/>
  <c r="E549" i="3"/>
  <c r="E149" i="3"/>
  <c r="E390" i="3"/>
  <c r="E194" i="3"/>
  <c r="E68" i="3"/>
  <c r="E268" i="3"/>
  <c r="E553" i="3"/>
  <c r="E506" i="3"/>
  <c r="E360" i="3"/>
  <c r="E396" i="3"/>
  <c r="E228" i="3"/>
  <c r="E290" i="3"/>
  <c r="E466" i="3"/>
  <c r="E73" i="3"/>
  <c r="E52" i="3"/>
  <c r="E247" i="3"/>
  <c r="E179" i="3"/>
  <c r="E399" i="3"/>
  <c r="E520" i="3"/>
  <c r="I6" i="3"/>
  <c r="X6" i="3"/>
  <c r="E46" i="3"/>
  <c r="E69" i="3"/>
  <c r="E356" i="3"/>
  <c r="E301" i="3"/>
  <c r="E244" i="3"/>
  <c r="E504" i="3"/>
  <c r="E368" i="3"/>
  <c r="E351" i="3"/>
  <c r="E226" i="3"/>
  <c r="E106" i="3"/>
  <c r="E90" i="3"/>
  <c r="E177" i="3"/>
  <c r="E403" i="3"/>
  <c r="E530" i="3"/>
  <c r="E300" i="3"/>
  <c r="E433" i="3"/>
  <c r="E285" i="3"/>
  <c r="E58" i="3"/>
  <c r="E347" i="3"/>
  <c r="E145" i="3"/>
  <c r="E255" i="3"/>
  <c r="E402" i="3"/>
  <c r="E233" i="3"/>
  <c r="E190" i="3"/>
  <c r="E405" i="3"/>
  <c r="E313" i="3"/>
  <c r="E38" i="3"/>
  <c r="E431" i="3"/>
  <c r="E84" i="3"/>
  <c r="E140" i="3"/>
  <c r="E64" i="3"/>
  <c r="E21" i="3"/>
  <c r="E294" i="3"/>
  <c r="E376" i="3"/>
  <c r="E375" i="3"/>
  <c r="E282" i="3"/>
  <c r="E394" i="3"/>
  <c r="E348" i="3"/>
  <c r="E475" i="3"/>
  <c r="E544" i="3"/>
  <c r="E519" i="3"/>
  <c r="E352" i="3"/>
  <c r="E350" i="3"/>
  <c r="E366" i="3"/>
  <c r="E344" i="3"/>
  <c r="E531" i="3"/>
  <c r="E171" i="3"/>
  <c r="E236" i="3"/>
  <c r="E353" i="3"/>
  <c r="E525" i="3"/>
  <c r="E176" i="3"/>
  <c r="E234" i="3"/>
  <c r="AI6" i="3"/>
  <c r="E540" i="3"/>
  <c r="E526" i="3"/>
  <c r="E276" i="3"/>
  <c r="E479" i="3"/>
  <c r="E25" i="3"/>
  <c r="E272" i="3"/>
  <c r="E79" i="3"/>
  <c r="E455" i="3"/>
  <c r="E48" i="3"/>
  <c r="E178" i="3"/>
  <c r="E60" i="3"/>
  <c r="E292" i="3"/>
  <c r="E57" i="3"/>
  <c r="E434" i="3"/>
  <c r="E146" i="3"/>
  <c r="E388" i="3"/>
  <c r="E124" i="3"/>
  <c r="E202" i="3"/>
  <c r="E414" i="3"/>
  <c r="E92" i="3"/>
  <c r="E418" i="3"/>
  <c r="E41" i="3"/>
  <c r="E283" i="3"/>
  <c r="E411" i="3"/>
  <c r="E37" i="3"/>
  <c r="E310" i="3"/>
  <c r="E214" i="3"/>
  <c r="E286" i="3"/>
  <c r="E28" i="3"/>
  <c r="E45" i="3"/>
  <c r="E505" i="3"/>
  <c r="E34" i="3"/>
  <c r="E338" i="3"/>
  <c r="E322" i="3"/>
  <c r="E108" i="3"/>
  <c r="E372" i="3"/>
  <c r="E536" i="3"/>
  <c r="E78" i="3"/>
  <c r="E497" i="3"/>
  <c r="E40" i="3"/>
  <c r="E539" i="3"/>
  <c r="Z6" i="3"/>
  <c r="E297" i="3"/>
  <c r="E510" i="3"/>
  <c r="E210" i="3"/>
  <c r="E379" i="3"/>
  <c r="E400" i="3"/>
  <c r="E203" i="3"/>
  <c r="E151" i="3"/>
  <c r="AH6" i="3"/>
  <c r="E187" i="3"/>
  <c r="E231" i="3"/>
  <c r="E22" i="3"/>
  <c r="E413" i="3"/>
  <c r="E155" i="3"/>
  <c r="E521" i="3"/>
  <c r="E485" i="3"/>
  <c r="E251" i="3"/>
  <c r="E569" i="3"/>
  <c r="E256" i="3"/>
  <c r="E133" i="3"/>
  <c r="E416" i="3"/>
  <c r="E449" i="3"/>
  <c r="E166" i="3"/>
  <c r="E289" i="3"/>
  <c r="E119" i="3"/>
  <c r="E547" i="3"/>
  <c r="E262" i="3"/>
  <c r="E424" i="3"/>
  <c r="E492" i="3"/>
  <c r="E157" i="3"/>
  <c r="E280" i="3"/>
  <c r="E110" i="3"/>
  <c r="E62" i="3"/>
  <c r="E193" i="3"/>
  <c r="E502" i="3"/>
  <c r="E19" i="3"/>
  <c r="E545" i="3"/>
  <c r="E563" i="3"/>
  <c r="U6" i="3"/>
  <c r="E223" i="3"/>
  <c r="E406" i="3"/>
  <c r="E538" i="3"/>
  <c r="E172" i="3"/>
  <c r="P6" i="3"/>
  <c r="E387" i="3"/>
  <c r="E93" i="3"/>
  <c r="E496" i="3"/>
  <c r="E354" i="3"/>
  <c r="E554" i="3"/>
  <c r="E477" i="3"/>
  <c r="E102" i="3"/>
  <c r="J6" i="3"/>
  <c r="E426" i="3"/>
  <c r="E430" i="3"/>
  <c r="E83" i="3"/>
  <c r="E471" i="3"/>
  <c r="E165" i="3"/>
  <c r="E188" i="3"/>
  <c r="E374" i="3"/>
  <c r="E487" i="3"/>
  <c r="E534" i="3"/>
  <c r="E336" i="3"/>
  <c r="E380" i="3"/>
  <c r="AD6" i="3"/>
  <c r="E513" i="3"/>
  <c r="E267" i="3"/>
  <c r="E224" i="3"/>
  <c r="N6" i="3"/>
  <c r="E249" i="3"/>
  <c r="E565" i="3"/>
  <c r="E392" i="3"/>
  <c r="E211" i="3"/>
  <c r="E317" i="3"/>
  <c r="E457" i="3"/>
  <c r="E137" i="3"/>
  <c r="E163" i="3"/>
  <c r="E217" i="3"/>
  <c r="E61" i="3"/>
  <c r="W6" i="3"/>
  <c r="AP6" i="3"/>
  <c r="R6" i="3"/>
  <c r="E470" i="3"/>
  <c r="E459" i="3"/>
  <c r="E241" i="3"/>
  <c r="E541" i="3"/>
  <c r="E532" i="3"/>
  <c r="E546" i="3"/>
  <c r="E458" i="3"/>
  <c r="E259" i="3"/>
  <c r="E425" i="3"/>
  <c r="E33" i="3"/>
  <c r="E164" i="3"/>
  <c r="E161" i="3"/>
  <c r="E23" i="3"/>
  <c r="E94" i="3"/>
  <c r="V6" i="3"/>
  <c r="E36" i="3"/>
  <c r="E306" i="3"/>
  <c r="E206" i="3"/>
  <c r="E332" i="3"/>
  <c r="E167" i="3"/>
  <c r="E315" i="3"/>
  <c r="E556" i="3"/>
  <c r="E371" i="3"/>
  <c r="E24" i="3"/>
  <c r="E275" i="3"/>
  <c r="E460" i="3"/>
  <c r="E443" i="3"/>
  <c r="E144" i="3"/>
  <c r="E198" i="3"/>
  <c r="E444" i="3"/>
  <c r="E266" i="3"/>
  <c r="E484" i="3"/>
  <c r="AL6" i="3"/>
  <c r="E307" i="3"/>
  <c r="E529" i="3"/>
  <c r="E279" i="3"/>
  <c r="E420" i="3"/>
  <c r="E70" i="3"/>
  <c r="E125" i="3"/>
  <c r="E409" i="3"/>
  <c r="E55" i="3"/>
  <c r="E114" i="3"/>
  <c r="E523" i="3"/>
  <c r="E138" i="3"/>
  <c r="E330" i="3"/>
  <c r="E495" i="3"/>
  <c r="E474" i="3"/>
  <c r="K6" i="3"/>
  <c r="E128" i="3"/>
  <c r="E134" i="3"/>
  <c r="E370" i="3"/>
  <c r="E258" i="3"/>
  <c r="E401" i="3"/>
  <c r="E438" i="3"/>
  <c r="E75" i="3"/>
  <c r="E463" i="3"/>
  <c r="E77" i="3"/>
  <c r="E222" i="3"/>
  <c r="E44" i="3"/>
  <c r="E408" i="3"/>
  <c r="E535" i="3"/>
  <c r="E498" i="3"/>
  <c r="E129" i="3"/>
  <c r="E132" i="3"/>
  <c r="E362" i="3"/>
  <c r="E143" i="3"/>
  <c r="E564" i="3"/>
  <c r="E309" i="3"/>
  <c r="E296" i="3"/>
  <c r="E334" i="3"/>
  <c r="E152" i="3"/>
  <c r="E169" i="3"/>
  <c r="E197" i="3"/>
  <c r="E53" i="3"/>
  <c r="E570" i="3"/>
  <c r="AO6" i="3"/>
  <c r="E252" i="3"/>
  <c r="E335" i="3"/>
  <c r="E50" i="3"/>
  <c r="E239" i="3"/>
  <c r="E43" i="3"/>
  <c r="E363" i="3"/>
  <c r="E552" i="3"/>
  <c r="E238" i="3"/>
  <c r="E417" i="3"/>
  <c r="E461" i="3"/>
  <c r="E122" i="3"/>
  <c r="E319" i="3"/>
  <c r="E160" i="3"/>
  <c r="E204" i="3"/>
  <c r="E97" i="3"/>
  <c r="E274" i="3"/>
  <c r="E311" i="3"/>
  <c r="E270" i="3"/>
  <c r="C19" i="11"/>
  <c r="C20" i="11" s="1"/>
  <c r="C21" i="11" s="1"/>
  <c r="C22" i="11" s="1"/>
  <c r="C23" i="11" s="1"/>
  <c r="B2" i="11" s="1"/>
  <c r="E31" i="6"/>
  <c r="K24" i="6"/>
  <c r="M24" i="6" s="1"/>
  <c r="I24" i="6" s="1"/>
  <c r="S24" i="6" s="1"/>
  <c r="AA12" i="40"/>
  <c r="K19" i="6"/>
  <c r="S6" i="1" s="1"/>
  <c r="K23" i="6"/>
  <c r="M23" i="6" s="1"/>
  <c r="I23" i="6" s="1"/>
  <c r="S23" i="6" s="1"/>
  <c r="K26" i="6"/>
  <c r="M26" i="6" s="1"/>
  <c r="I26" i="6" s="1"/>
  <c r="S26" i="6" s="1"/>
  <c r="AY6" i="3"/>
  <c r="E3" i="6"/>
  <c r="S12" i="39"/>
  <c r="AA12" i="39"/>
  <c r="K21" i="6"/>
  <c r="M21" i="6" s="1"/>
  <c r="I21" i="6" s="1"/>
  <c r="S21" i="6" s="1"/>
  <c r="K22" i="6"/>
  <c r="M22" i="6" s="1"/>
  <c r="I22" i="6" s="1"/>
  <c r="S22" i="6" s="1"/>
  <c r="K16" i="1"/>
  <c r="M14" i="1"/>
  <c r="K20" i="6"/>
  <c r="C115" i="46"/>
  <c r="E29" i="46"/>
  <c r="C30" i="46"/>
  <c r="E30" i="46" s="1"/>
  <c r="J18" i="15"/>
  <c r="J26" i="15"/>
  <c r="J24" i="15"/>
  <c r="C52" i="15"/>
  <c r="C47" i="15" s="1"/>
  <c r="C10" i="15"/>
  <c r="C5" i="15" s="1"/>
  <c r="F24" i="15"/>
  <c r="C24" i="15" s="1"/>
  <c r="F26" i="44"/>
  <c r="C26" i="44" s="1"/>
  <c r="F26" i="12"/>
  <c r="F21" i="43"/>
  <c r="C40" i="44"/>
  <c r="C34" i="44"/>
  <c r="J20" i="44"/>
  <c r="J28" i="44"/>
  <c r="J31" i="44" s="1"/>
  <c r="J26" i="44"/>
  <c r="F41" i="15"/>
  <c r="L52" i="44"/>
  <c r="F68" i="15" l="1"/>
  <c r="J29" i="15"/>
  <c r="T14" i="46"/>
  <c r="V14" i="46" s="1"/>
  <c r="T13" i="46"/>
  <c r="V13" i="46" s="1"/>
  <c r="C37" i="46"/>
  <c r="C38" i="46"/>
  <c r="C34" i="46"/>
  <c r="T8" i="46"/>
  <c r="V8" i="46" s="1"/>
  <c r="T16" i="46"/>
  <c r="V16" i="46" s="1"/>
  <c r="T15" i="46"/>
  <c r="V15" i="46" s="1"/>
  <c r="T10" i="46"/>
  <c r="V10" i="46" s="1"/>
  <c r="T9" i="46"/>
  <c r="V9" i="46" s="1"/>
  <c r="C39" i="46"/>
  <c r="C35" i="46"/>
  <c r="C36" i="46"/>
  <c r="C33" i="46"/>
  <c r="T12" i="46"/>
  <c r="V12" i="46" s="1"/>
  <c r="T11" i="46"/>
  <c r="V11" i="46" s="1"/>
  <c r="T6" i="46"/>
  <c r="V6" i="46" s="1"/>
  <c r="T5" i="46"/>
  <c r="V5" i="46" s="1"/>
  <c r="T2" i="46"/>
  <c r="V2" i="46" s="1"/>
  <c r="T4" i="46"/>
  <c r="V4" i="46" s="1"/>
  <c r="T7" i="46"/>
  <c r="V7" i="46" s="1"/>
  <c r="G46" i="37"/>
  <c r="H46" i="37" s="1"/>
  <c r="G47" i="37"/>
  <c r="H47" i="37" s="1"/>
  <c r="I46" i="37"/>
  <c r="J46" i="37" s="1"/>
  <c r="H72" i="39"/>
  <c r="I70" i="39"/>
  <c r="C49" i="34"/>
  <c r="C50" i="34"/>
  <c r="B3" i="34" s="1"/>
  <c r="B2" i="34" s="1"/>
  <c r="E40" i="36"/>
  <c r="F40" i="36" s="1"/>
  <c r="E41" i="36"/>
  <c r="F41" i="36" s="1"/>
  <c r="AB12" i="39"/>
  <c r="G42" i="35"/>
  <c r="H42" i="35" s="1"/>
  <c r="G43" i="35"/>
  <c r="H43" i="35" s="1"/>
  <c r="E42" i="37"/>
  <c r="R43" i="37"/>
  <c r="I65" i="40"/>
  <c r="H67" i="40"/>
  <c r="E38" i="35"/>
  <c r="I43" i="35" s="1"/>
  <c r="J43" i="35" s="1"/>
  <c r="R39" i="35"/>
  <c r="R49" i="33"/>
  <c r="E48" i="33"/>
  <c r="G53" i="33"/>
  <c r="H53" i="33" s="1"/>
  <c r="G52" i="33"/>
  <c r="H52" i="33" s="1"/>
  <c r="I52" i="33"/>
  <c r="J52" i="33" s="1"/>
  <c r="I53" i="33"/>
  <c r="J53" i="33" s="1"/>
  <c r="E54" i="34"/>
  <c r="F54" i="34" s="1"/>
  <c r="E53" i="34"/>
  <c r="F53" i="34" s="1"/>
  <c r="I42" i="35"/>
  <c r="J42" i="35" s="1"/>
  <c r="C37" i="36"/>
  <c r="B3" i="36" s="1"/>
  <c r="B2" i="36" s="1"/>
  <c r="C36" i="36"/>
  <c r="AB12" i="40"/>
  <c r="I54" i="34"/>
  <c r="J54" i="34" s="1"/>
  <c r="W12" i="39"/>
  <c r="W12" i="40"/>
  <c r="M20" i="6"/>
  <c r="I20" i="6" s="1"/>
  <c r="S20" i="6" s="1"/>
  <c r="S7" i="1"/>
  <c r="S16" i="1" s="1"/>
  <c r="D113" i="46"/>
  <c r="AC6" i="3"/>
  <c r="H6" i="3"/>
  <c r="O14" i="1"/>
  <c r="O16" i="1" s="1"/>
  <c r="M16" i="1"/>
  <c r="L38" i="9"/>
  <c r="B14" i="66" s="1"/>
  <c r="B1" i="66" s="1"/>
  <c r="D16" i="12"/>
  <c r="E6" i="6"/>
  <c r="D16" i="43"/>
  <c r="C16" i="43" s="1"/>
  <c r="D44" i="9"/>
  <c r="D46" i="9"/>
  <c r="C21" i="4"/>
  <c r="O5" i="54" s="1"/>
  <c r="B45" i="63" s="1"/>
  <c r="D10" i="11"/>
  <c r="D45" i="9"/>
  <c r="K27" i="6"/>
  <c r="M19" i="6"/>
  <c r="AY80" i="3"/>
  <c r="D3" i="6"/>
  <c r="AY159" i="3"/>
  <c r="AY31" i="3"/>
  <c r="AY234" i="3"/>
  <c r="AY317" i="3"/>
  <c r="AY402" i="3"/>
  <c r="AY181" i="3"/>
  <c r="AY343" i="3"/>
  <c r="AY65" i="3"/>
  <c r="AY265" i="3"/>
  <c r="AY350" i="3"/>
  <c r="AY50" i="3"/>
  <c r="AY346" i="3"/>
  <c r="AY161" i="3"/>
  <c r="AY101" i="3"/>
  <c r="AY305" i="3"/>
  <c r="AY429" i="3"/>
  <c r="AY43" i="3"/>
  <c r="AY501" i="3"/>
  <c r="AY481" i="3"/>
  <c r="AY510" i="3"/>
  <c r="AY401" i="3"/>
  <c r="AY495" i="3"/>
  <c r="AY267" i="3"/>
  <c r="AY363" i="3"/>
  <c r="AY545" i="3"/>
  <c r="AY339" i="3"/>
  <c r="AY433" i="3"/>
  <c r="AY547" i="3"/>
  <c r="AY455" i="3"/>
  <c r="AY332" i="3"/>
  <c r="AY51" i="3"/>
  <c r="AY511" i="3"/>
  <c r="BJ6" i="3"/>
  <c r="AY535" i="3"/>
  <c r="AY67" i="3"/>
  <c r="AY92" i="3"/>
  <c r="AY118" i="3"/>
  <c r="AY209" i="3"/>
  <c r="AY416" i="3"/>
  <c r="AY55" i="3"/>
  <c r="AY250" i="3"/>
  <c r="AY560" i="3"/>
  <c r="AY141" i="3"/>
  <c r="AY310" i="3"/>
  <c r="AY459" i="3"/>
  <c r="AY226" i="3"/>
  <c r="AY400" i="3"/>
  <c r="AY340" i="3"/>
  <c r="AY272" i="3"/>
  <c r="AY405" i="3"/>
  <c r="AY442" i="3"/>
  <c r="AY572" i="3"/>
  <c r="AY99" i="3"/>
  <c r="AY207" i="3"/>
  <c r="AY40" i="3"/>
  <c r="AY281" i="3"/>
  <c r="AY322" i="3"/>
  <c r="AY395" i="3"/>
  <c r="AY189" i="3"/>
  <c r="AY393" i="3"/>
  <c r="BO6" i="3"/>
  <c r="AY490" i="3"/>
  <c r="AY210" i="3"/>
  <c r="AY297" i="3"/>
  <c r="AY462" i="3"/>
  <c r="AY94" i="3"/>
  <c r="AY536" i="3"/>
  <c r="AY517" i="3"/>
  <c r="AY523" i="3"/>
  <c r="AY37" i="3"/>
  <c r="AY150" i="3"/>
  <c r="AY216" i="3"/>
  <c r="AY28" i="3"/>
  <c r="AY280" i="3"/>
  <c r="AY311" i="3"/>
  <c r="AY257" i="3"/>
  <c r="BS6" i="3"/>
  <c r="AY254" i="3"/>
  <c r="AY394" i="3"/>
  <c r="AY282" i="3"/>
  <c r="AY437" i="3"/>
  <c r="AY544" i="3"/>
  <c r="AY24" i="3"/>
  <c r="AY239" i="3"/>
  <c r="AY107" i="3"/>
  <c r="AY546" i="3"/>
  <c r="AY417" i="3"/>
  <c r="AY163" i="3"/>
  <c r="AY355" i="3"/>
  <c r="BR6" i="3"/>
  <c r="AY285" i="3"/>
  <c r="AY502" i="3"/>
  <c r="AY298" i="3"/>
  <c r="AY514" i="3"/>
  <c r="AY507" i="3"/>
  <c r="AY95" i="3"/>
  <c r="AY432" i="3"/>
  <c r="AY172" i="3"/>
  <c r="AY359" i="3"/>
  <c r="AY493" i="3"/>
  <c r="AY152" i="3"/>
  <c r="AY492" i="3"/>
  <c r="AY327" i="3"/>
  <c r="AY499" i="3"/>
  <c r="AY203" i="3"/>
  <c r="AY36" i="3"/>
  <c r="AY246" i="3"/>
  <c r="AY333" i="3"/>
  <c r="AY408" i="3"/>
  <c r="AY117" i="3"/>
  <c r="AY374" i="3"/>
  <c r="AY123" i="3"/>
  <c r="AY183" i="3"/>
  <c r="AY337" i="3"/>
  <c r="AY25" i="3"/>
  <c r="AY341" i="3"/>
  <c r="AY197" i="3"/>
  <c r="AY76" i="3"/>
  <c r="AY321" i="3"/>
  <c r="AY465" i="3"/>
  <c r="BH6" i="3"/>
  <c r="AY86" i="3"/>
  <c r="AY431" i="3"/>
  <c r="AY500" i="3"/>
  <c r="AY458" i="3"/>
  <c r="AY489" i="3"/>
  <c r="AY242" i="3"/>
  <c r="AY287" i="3"/>
  <c r="AY385" i="3"/>
  <c r="AY15" i="3"/>
  <c r="AY220" i="3"/>
  <c r="AY497" i="3"/>
  <c r="AY404" i="3"/>
  <c r="AY213" i="3"/>
  <c r="AY110" i="3"/>
  <c r="AY403" i="3"/>
  <c r="AY454" i="3"/>
  <c r="AY391" i="3"/>
  <c r="AY180" i="3"/>
  <c r="AY551" i="3"/>
  <c r="AY313" i="3"/>
  <c r="AY56" i="3"/>
  <c r="AY387" i="3"/>
  <c r="AY113" i="3"/>
  <c r="AY276" i="3"/>
  <c r="AY236" i="3"/>
  <c r="AY143" i="3"/>
  <c r="AY382" i="3"/>
  <c r="AY30" i="3"/>
  <c r="AY72" i="3"/>
  <c r="AY169" i="3"/>
  <c r="AY286" i="3"/>
  <c r="AY425" i="3"/>
  <c r="AY277" i="3"/>
  <c r="AY58" i="3"/>
  <c r="AY504" i="3"/>
  <c r="AY83" i="3"/>
  <c r="AY182" i="3"/>
  <c r="AY45" i="3"/>
  <c r="AY217" i="3"/>
  <c r="AY383" i="3"/>
  <c r="AY427" i="3"/>
  <c r="AY170" i="3"/>
  <c r="AY214" i="3"/>
  <c r="AY476" i="3"/>
  <c r="AY116" i="3"/>
  <c r="AY366" i="3"/>
  <c r="AY548" i="3"/>
  <c r="AY256" i="3"/>
  <c r="AY81" i="3"/>
  <c r="AY342" i="3"/>
  <c r="AY279" i="3"/>
  <c r="AY438" i="3"/>
  <c r="AY336" i="3"/>
  <c r="AY352" i="3"/>
  <c r="AY124" i="3"/>
  <c r="AY428" i="3"/>
  <c r="AY48" i="3"/>
  <c r="AY215" i="3"/>
  <c r="AY61" i="3"/>
  <c r="AY23" i="3"/>
  <c r="AY237" i="3"/>
  <c r="AY173" i="3"/>
  <c r="AY59" i="3"/>
  <c r="AY522" i="3"/>
  <c r="AY306" i="3"/>
  <c r="AY33" i="3"/>
  <c r="AY196" i="3"/>
  <c r="AY570" i="3"/>
  <c r="AY521" i="3"/>
  <c r="BE6" i="3"/>
  <c r="AY508" i="3"/>
  <c r="AY191" i="3"/>
  <c r="AY87" i="3"/>
  <c r="AY109" i="3"/>
  <c r="AY142" i="3"/>
  <c r="AY34" i="3"/>
  <c r="AY218" i="3"/>
  <c r="AY309" i="3"/>
  <c r="AY392" i="3"/>
  <c r="AY176" i="3"/>
  <c r="AY356" i="3"/>
  <c r="AY44" i="3"/>
  <c r="AY288" i="3"/>
  <c r="AY318" i="3"/>
  <c r="AY147" i="3"/>
  <c r="AY561" i="3"/>
  <c r="AY162" i="3"/>
  <c r="AY22" i="3"/>
  <c r="AY562" i="3"/>
  <c r="AY406" i="3"/>
  <c r="AY303" i="3"/>
  <c r="AY127" i="3"/>
  <c r="AY498" i="3"/>
  <c r="AY518" i="3"/>
  <c r="AY415" i="3"/>
  <c r="AY503" i="3"/>
  <c r="AY208" i="3"/>
  <c r="AY299" i="3"/>
  <c r="AY447" i="3"/>
  <c r="AY185" i="3"/>
  <c r="AY483" i="3"/>
  <c r="AY108" i="3"/>
  <c r="AY60" i="3"/>
  <c r="AY334" i="3"/>
  <c r="AY270" i="3"/>
  <c r="AY571" i="3"/>
  <c r="AY554" i="3"/>
  <c r="AY532" i="3"/>
  <c r="AY103" i="3"/>
  <c r="AY160" i="3"/>
  <c r="AY292" i="3"/>
  <c r="AY167" i="3"/>
  <c r="AY125" i="3"/>
  <c r="AY512" i="3"/>
  <c r="AY410" i="3"/>
  <c r="AY192" i="3"/>
  <c r="AY436" i="3"/>
  <c r="BD6" i="3"/>
  <c r="AY308" i="3"/>
  <c r="AY555" i="3"/>
  <c r="AY542" i="3"/>
  <c r="AY241" i="3"/>
  <c r="AY348" i="3"/>
  <c r="AY398" i="3"/>
  <c r="AY202" i="3"/>
  <c r="AY384" i="3"/>
  <c r="AY75" i="3"/>
  <c r="AY100" i="3"/>
  <c r="AY47" i="3"/>
  <c r="AY126" i="3"/>
  <c r="AY106" i="3"/>
  <c r="AY291" i="3"/>
  <c r="AY361" i="3"/>
  <c r="AY422" i="3"/>
  <c r="AY146" i="3"/>
  <c r="AY324" i="3"/>
  <c r="AY39" i="3"/>
  <c r="AY258" i="3"/>
  <c r="AY315" i="3"/>
  <c r="AY168" i="3"/>
  <c r="AY464" i="3"/>
  <c r="AY295" i="3"/>
  <c r="AY194" i="3"/>
  <c r="AY16" i="3"/>
  <c r="AY278" i="3"/>
  <c r="AY253" i="3"/>
  <c r="AY35" i="3"/>
  <c r="AY525" i="3"/>
  <c r="AY526" i="3"/>
  <c r="AY19" i="3"/>
  <c r="AY513" i="3"/>
  <c r="AY347" i="3"/>
  <c r="AY345" i="3"/>
  <c r="AY470" i="3"/>
  <c r="AY119" i="3"/>
  <c r="AY533" i="3"/>
  <c r="AY89" i="3"/>
  <c r="AY102" i="3"/>
  <c r="BG6" i="3"/>
  <c r="AY165" i="3"/>
  <c r="AY255" i="3"/>
  <c r="AY354" i="3"/>
  <c r="AY121" i="3"/>
  <c r="AY21" i="3"/>
  <c r="AY530" i="3"/>
  <c r="AY97" i="3"/>
  <c r="AY198" i="3"/>
  <c r="AY77" i="3"/>
  <c r="AY158" i="3"/>
  <c r="AY290" i="3"/>
  <c r="AY443" i="3"/>
  <c r="AY46" i="3"/>
  <c r="AY219" i="3"/>
  <c r="AY569" i="3"/>
  <c r="AY148" i="3"/>
  <c r="AY371" i="3"/>
  <c r="BA6" i="3"/>
  <c r="AY283" i="3"/>
  <c r="AY446" i="3"/>
  <c r="AY380" i="3"/>
  <c r="AY211" i="3"/>
  <c r="AY396" i="3"/>
  <c r="AY221" i="3"/>
  <c r="AY245" i="3"/>
  <c r="AY32" i="3"/>
  <c r="AY456" i="3"/>
  <c r="AY112" i="3"/>
  <c r="AY247" i="3"/>
  <c r="AY20" i="3"/>
  <c r="AY78" i="3"/>
  <c r="AY153" i="3"/>
  <c r="AY375" i="3"/>
  <c r="AY559" i="3"/>
  <c r="AY506" i="3"/>
  <c r="AY240" i="3"/>
  <c r="AY475" i="3"/>
  <c r="AY331" i="3"/>
  <c r="AY487" i="3"/>
  <c r="AY509" i="3"/>
  <c r="AY539" i="3"/>
  <c r="AY564" i="3"/>
  <c r="AY154" i="3"/>
  <c r="AY263" i="3"/>
  <c r="BI6" i="3"/>
  <c r="AY133" i="3"/>
  <c r="AY17" i="3"/>
  <c r="AY390" i="3"/>
  <c r="AY325" i="3"/>
  <c r="AY527" i="3"/>
  <c r="BN6" i="3"/>
  <c r="AY193" i="3"/>
  <c r="AY14" i="3"/>
  <c r="AY266" i="3"/>
  <c r="AY120" i="3"/>
  <c r="AY227" i="3"/>
  <c r="AY304" i="3"/>
  <c r="AY414" i="3"/>
  <c r="AY275" i="3"/>
  <c r="AY128" i="3"/>
  <c r="AY144" i="3"/>
  <c r="AY262" i="3"/>
  <c r="AY397" i="3"/>
  <c r="AY379" i="3"/>
  <c r="AY135" i="3"/>
  <c r="AY372" i="3"/>
  <c r="AY376" i="3"/>
  <c r="AY155" i="3"/>
  <c r="AY307" i="3"/>
  <c r="AY412" i="3"/>
  <c r="AY201" i="3"/>
  <c r="AY449" i="3"/>
  <c r="AY494" i="3"/>
  <c r="BB6" i="3"/>
  <c r="AY251" i="3"/>
  <c r="AY353" i="3"/>
  <c r="AY338" i="3"/>
  <c r="AY79" i="3"/>
  <c r="AY419" i="3"/>
  <c r="AY373" i="3"/>
  <c r="AY466" i="3"/>
  <c r="AY474" i="3"/>
  <c r="BL6" i="3"/>
  <c r="AY204" i="3"/>
  <c r="AY26" i="3"/>
  <c r="AY529" i="3"/>
  <c r="AY248" i="3"/>
  <c r="AY472" i="3"/>
  <c r="AY233" i="3"/>
  <c r="AY329" i="3"/>
  <c r="AY206" i="3"/>
  <c r="AY520" i="3"/>
  <c r="AY453" i="3"/>
  <c r="AY225" i="3"/>
  <c r="BQ6" i="3"/>
  <c r="AY151" i="3"/>
  <c r="AY531" i="3"/>
  <c r="AY137" i="3"/>
  <c r="BP6" i="3"/>
  <c r="AY553" i="3"/>
  <c r="AY90" i="3"/>
  <c r="AY358" i="3"/>
  <c r="AY223" i="3"/>
  <c r="AY190" i="3"/>
  <c r="AY421" i="3"/>
  <c r="AY205" i="3"/>
  <c r="BM6" i="3"/>
  <c r="AY18" i="3"/>
  <c r="AY64" i="3"/>
  <c r="AY68" i="3"/>
  <c r="AY378" i="3"/>
  <c r="AY424" i="3"/>
  <c r="AY38" i="3"/>
  <c r="AY556" i="3"/>
  <c r="AY274" i="3"/>
  <c r="AY486" i="3"/>
  <c r="AY477" i="3"/>
  <c r="AY541" i="3"/>
  <c r="AY130" i="3"/>
  <c r="AY289" i="3"/>
  <c r="AY418" i="3"/>
  <c r="AY557" i="3"/>
  <c r="AY538" i="3"/>
  <c r="AY516" i="3"/>
  <c r="AY157" i="3"/>
  <c r="AY420" i="3"/>
  <c r="AY230" i="3"/>
  <c r="AY115" i="3"/>
  <c r="AY238" i="3"/>
  <c r="AY364" i="3"/>
  <c r="AY479" i="3"/>
  <c r="AY264" i="3"/>
  <c r="AY179" i="3"/>
  <c r="AY74" i="3"/>
  <c r="AY98" i="3"/>
  <c r="AY136" i="3"/>
  <c r="AY232" i="3"/>
  <c r="AY49" i="3"/>
  <c r="AY381" i="3"/>
  <c r="AY326" i="3"/>
  <c r="AY294" i="3"/>
  <c r="AY269" i="3"/>
  <c r="AY302" i="3"/>
  <c r="AY122" i="3"/>
  <c r="BC6" i="3"/>
  <c r="AY543" i="3"/>
  <c r="AY273" i="3"/>
  <c r="AY488" i="3"/>
  <c r="AY451" i="3"/>
  <c r="AY54" i="3"/>
  <c r="AY312" i="3"/>
  <c r="AY444" i="3"/>
  <c r="AY261" i="3"/>
  <c r="AY301" i="3"/>
  <c r="AY496" i="3"/>
  <c r="AY491" i="3"/>
  <c r="AY52" i="3"/>
  <c r="AY88" i="3"/>
  <c r="AY104" i="3"/>
  <c r="AY368" i="3"/>
  <c r="AY171" i="3"/>
  <c r="AY365" i="3"/>
  <c r="AY138" i="3"/>
  <c r="AY29" i="3"/>
  <c r="AY367" i="3"/>
  <c r="AY413" i="3"/>
  <c r="AY319" i="3"/>
  <c r="AY323" i="3"/>
  <c r="AY388" i="3"/>
  <c r="AY244" i="3"/>
  <c r="AY399" i="3"/>
  <c r="AY174" i="3"/>
  <c r="AY328" i="3"/>
  <c r="AY63" i="3"/>
  <c r="AY440" i="3"/>
  <c r="AY362" i="3"/>
  <c r="AY252" i="3"/>
  <c r="AY228" i="3"/>
  <c r="AY42" i="3"/>
  <c r="AY452" i="3"/>
  <c r="AY439" i="3"/>
  <c r="AY473" i="3"/>
  <c r="AY93" i="3"/>
  <c r="AY434" i="3"/>
  <c r="AY478" i="3"/>
  <c r="AY534" i="3"/>
  <c r="AY567" i="3"/>
  <c r="AY528" i="3"/>
  <c r="AY188" i="3"/>
  <c r="AY132" i="3"/>
  <c r="AY435" i="3"/>
  <c r="BK6" i="3"/>
  <c r="AY70" i="3"/>
  <c r="AY139" i="3"/>
  <c r="AY467" i="3"/>
  <c r="AY175" i="3"/>
  <c r="AY537" i="3"/>
  <c r="AY73" i="3"/>
  <c r="AY57" i="3"/>
  <c r="AY349" i="3"/>
  <c r="AY149" i="3"/>
  <c r="AY463" i="3"/>
  <c r="AY62" i="3"/>
  <c r="AY450" i="3"/>
  <c r="AY330" i="3"/>
  <c r="AY212" i="3"/>
  <c r="AY296" i="3"/>
  <c r="AY284" i="3"/>
  <c r="AY243" i="3"/>
  <c r="AY441" i="3"/>
  <c r="AY69" i="3"/>
  <c r="AY145" i="3"/>
  <c r="AY96" i="3"/>
  <c r="AY131" i="3"/>
  <c r="AY249" i="3"/>
  <c r="AY184" i="3"/>
  <c r="AY360" i="3"/>
  <c r="AY565" i="3"/>
  <c r="AY480" i="3"/>
  <c r="AY344" i="3"/>
  <c r="AY235" i="3"/>
  <c r="AY423" i="3"/>
  <c r="AY515" i="3"/>
  <c r="AY524" i="3"/>
  <c r="AY164" i="3"/>
  <c r="AY84" i="3"/>
  <c r="AY563" i="3"/>
  <c r="AY540" i="3"/>
  <c r="AY186" i="3"/>
  <c r="AY461" i="3"/>
  <c r="AY407" i="3"/>
  <c r="AY320" i="3"/>
  <c r="AY430" i="3"/>
  <c r="AY369" i="3"/>
  <c r="AY224" i="3"/>
  <c r="AY335" i="3"/>
  <c r="AY445" i="3"/>
  <c r="AY187" i="3"/>
  <c r="AY386" i="3"/>
  <c r="AY105" i="3"/>
  <c r="AY231" i="3"/>
  <c r="AY469" i="3"/>
  <c r="AY468" i="3"/>
  <c r="AY484" i="3"/>
  <c r="BF6" i="3"/>
  <c r="AY519" i="3"/>
  <c r="AY552" i="3"/>
  <c r="AY27" i="3"/>
  <c r="AY156" i="3"/>
  <c r="AY558" i="3"/>
  <c r="AY114" i="3"/>
  <c r="AY82" i="3"/>
  <c r="AY53" i="3"/>
  <c r="AY448" i="3"/>
  <c r="AY178" i="3"/>
  <c r="AY550" i="3"/>
  <c r="AY389" i="3"/>
  <c r="AY457" i="3"/>
  <c r="AY91" i="3"/>
  <c r="AY566" i="3"/>
  <c r="AY568" i="3"/>
  <c r="AY460" i="3"/>
  <c r="AY134" i="3"/>
  <c r="AY426" i="3"/>
  <c r="AY482" i="3"/>
  <c r="AY549" i="3"/>
  <c r="AY129" i="3"/>
  <c r="AY259" i="3"/>
  <c r="AY409" i="3"/>
  <c r="AY471" i="3"/>
  <c r="AY316" i="3"/>
  <c r="AY166" i="3"/>
  <c r="BT6" i="3"/>
  <c r="AY370" i="3"/>
  <c r="AY485" i="3"/>
  <c r="AY199" i="3"/>
  <c r="AY351" i="3"/>
  <c r="AY71" i="3"/>
  <c r="AY195" i="3"/>
  <c r="AY260" i="3"/>
  <c r="AY13" i="3"/>
  <c r="AY177" i="3"/>
  <c r="AY140" i="3"/>
  <c r="AY411" i="3"/>
  <c r="AY377" i="3"/>
  <c r="AY66" i="3"/>
  <c r="AY229" i="3"/>
  <c r="AY271" i="3"/>
  <c r="AY222" i="3"/>
  <c r="AY314" i="3"/>
  <c r="AY200" i="3"/>
  <c r="AY41" i="3"/>
  <c r="AY300" i="3"/>
  <c r="AY505" i="3"/>
  <c r="AY268" i="3"/>
  <c r="AY111" i="3"/>
  <c r="AY293" i="3"/>
  <c r="AY357" i="3"/>
  <c r="AY85" i="3"/>
  <c r="Q69" i="44"/>
  <c r="L58" i="44"/>
  <c r="L61" i="44" s="1"/>
  <c r="Q67" i="44"/>
  <c r="Q49" i="44"/>
  <c r="Q55" i="44" s="1"/>
  <c r="Q58" i="44"/>
  <c r="C27" i="12"/>
  <c r="D26" i="12" s="1"/>
  <c r="C32" i="12" s="1"/>
  <c r="D30" i="12" s="1"/>
  <c r="B3" i="11"/>
  <c r="C23" i="43"/>
  <c r="D21" i="43" s="1"/>
  <c r="C32" i="15"/>
  <c r="C38" i="15"/>
  <c r="C59" i="15"/>
  <c r="C65" i="15"/>
  <c r="G33" i="46" l="1"/>
  <c r="I33" i="46" s="1"/>
  <c r="C27" i="46" s="1"/>
  <c r="E33" i="46"/>
  <c r="G35" i="46"/>
  <c r="I35" i="46" s="1"/>
  <c r="E35" i="46"/>
  <c r="E38" i="46"/>
  <c r="G38" i="46"/>
  <c r="I38" i="46" s="1"/>
  <c r="B5" i="11"/>
  <c r="C40" i="39"/>
  <c r="I7" i="6"/>
  <c r="H33" i="21"/>
  <c r="F33" i="21"/>
  <c r="J33" i="21"/>
  <c r="E36" i="46"/>
  <c r="G36" i="46"/>
  <c r="I36" i="46" s="1"/>
  <c r="G39" i="46"/>
  <c r="I39" i="46" s="1"/>
  <c r="E39" i="46"/>
  <c r="E34" i="46"/>
  <c r="G34" i="46"/>
  <c r="I34" i="46" s="1"/>
  <c r="G37" i="46"/>
  <c r="I37" i="46" s="1"/>
  <c r="E37" i="46"/>
  <c r="E43" i="35"/>
  <c r="F43" i="35" s="1"/>
  <c r="E42" i="35"/>
  <c r="F42" i="35" s="1"/>
  <c r="E46" i="37"/>
  <c r="F46" i="37" s="1"/>
  <c r="E47" i="37"/>
  <c r="F47" i="37" s="1"/>
  <c r="I72" i="39"/>
  <c r="J70" i="39"/>
  <c r="C49" i="33"/>
  <c r="B3" i="33" s="1"/>
  <c r="B2" i="33" s="1"/>
  <c r="C48" i="33"/>
  <c r="C39" i="35"/>
  <c r="B3" i="35" s="1"/>
  <c r="B2" i="35" s="1"/>
  <c r="C38" i="35"/>
  <c r="C42" i="37"/>
  <c r="C43" i="37"/>
  <c r="B3" i="37" s="1"/>
  <c r="B2" i="37" s="1"/>
  <c r="E52" i="33"/>
  <c r="F52" i="33" s="1"/>
  <c r="E53" i="33"/>
  <c r="F53" i="33" s="1"/>
  <c r="J65" i="40"/>
  <c r="I67" i="40"/>
  <c r="I47" i="37"/>
  <c r="J47" i="37" s="1"/>
  <c r="T9" i="1"/>
  <c r="T6" i="1"/>
  <c r="T8" i="1"/>
  <c r="T11" i="1"/>
  <c r="T10" i="1"/>
  <c r="T12" i="1"/>
  <c r="T13" i="1"/>
  <c r="T7" i="1"/>
  <c r="E6" i="3"/>
  <c r="B4" i="11"/>
  <c r="C6" i="66"/>
  <c r="C7" i="66"/>
  <c r="C8" i="66"/>
  <c r="P14" i="1"/>
  <c r="P16" i="1" s="1"/>
  <c r="C13" i="12" s="1"/>
  <c r="D13" i="11"/>
  <c r="C13" i="11" s="1"/>
  <c r="D22" i="12"/>
  <c r="C22" i="12" s="1"/>
  <c r="C20" i="12" s="1"/>
  <c r="H20" i="6"/>
  <c r="D29" i="6"/>
  <c r="D26" i="6"/>
  <c r="H26" i="6"/>
  <c r="D10" i="6"/>
  <c r="D8" i="6"/>
  <c r="H25" i="6"/>
  <c r="E44" i="9"/>
  <c r="D19" i="6"/>
  <c r="C22" i="4"/>
  <c r="D6" i="6"/>
  <c r="F44" i="9"/>
  <c r="D22" i="6"/>
  <c r="H22" i="6"/>
  <c r="D25" i="6"/>
  <c r="D23" i="6"/>
  <c r="F46" i="9"/>
  <c r="K38" i="9"/>
  <c r="C14" i="66" s="1"/>
  <c r="B2" i="66" s="1"/>
  <c r="E63" i="40"/>
  <c r="E46" i="9"/>
  <c r="D21" i="6"/>
  <c r="D14" i="6"/>
  <c r="E68" i="39"/>
  <c r="D12" i="6"/>
  <c r="D15" i="6"/>
  <c r="D13" i="6"/>
  <c r="D28" i="6"/>
  <c r="H21" i="6"/>
  <c r="F45" i="9"/>
  <c r="D24" i="6"/>
  <c r="D5" i="6"/>
  <c r="H23" i="6"/>
  <c r="D20" i="6"/>
  <c r="D11" i="6"/>
  <c r="H24" i="6"/>
  <c r="D9" i="6"/>
  <c r="E45" i="9"/>
  <c r="D19" i="12"/>
  <c r="C19" i="12" s="1"/>
  <c r="C16" i="12"/>
  <c r="I19" i="6"/>
  <c r="H19" i="6" s="1"/>
  <c r="M27" i="6"/>
  <c r="N16" i="1"/>
  <c r="C29" i="43" s="1"/>
  <c r="L16" i="1"/>
  <c r="C13" i="43"/>
  <c r="Q59" i="44"/>
  <c r="Q64" i="44" s="1"/>
  <c r="Q68" i="44"/>
  <c r="Q77" i="44" s="1"/>
  <c r="F7" i="67"/>
  <c r="C14" i="15"/>
  <c r="C16" i="44"/>
  <c r="E4" i="67" l="1"/>
  <c r="AC33" i="21"/>
  <c r="V48" i="21" s="1"/>
  <c r="I48" i="21" s="1"/>
  <c r="I52" i="21" s="1"/>
  <c r="J52" i="21" s="1"/>
  <c r="W33" i="21"/>
  <c r="U33" i="21"/>
  <c r="AB33" i="21"/>
  <c r="T48" i="21" s="1"/>
  <c r="G48" i="21" s="1"/>
  <c r="H40" i="39"/>
  <c r="J40" i="39"/>
  <c r="F40" i="39"/>
  <c r="C26" i="46"/>
  <c r="T16" i="1"/>
  <c r="S33" i="21"/>
  <c r="AA33" i="21"/>
  <c r="R48" i="21" s="1"/>
  <c r="J67" i="40"/>
  <c r="K65" i="40"/>
  <c r="K70" i="39"/>
  <c r="J72" i="39"/>
  <c r="C17" i="44"/>
  <c r="C20" i="44"/>
  <c r="C18" i="15"/>
  <c r="C15" i="15"/>
  <c r="H27" i="6"/>
  <c r="R25" i="6"/>
  <c r="D16" i="6"/>
  <c r="D30" i="6"/>
  <c r="R24" i="6"/>
  <c r="R26" i="6"/>
  <c r="R20" i="6"/>
  <c r="R7" i="1" s="1"/>
  <c r="R23" i="6"/>
  <c r="R19" i="6"/>
  <c r="D27" i="6"/>
  <c r="C14" i="12"/>
  <c r="C17" i="12"/>
  <c r="R21" i="6"/>
  <c r="R22" i="6"/>
  <c r="D7" i="66"/>
  <c r="D8" i="66"/>
  <c r="D6" i="66"/>
  <c r="A20" i="51"/>
  <c r="B15" i="63" s="1"/>
  <c r="A6" i="51"/>
  <c r="B7" i="63" s="1"/>
  <c r="N5" i="54"/>
  <c r="B43" i="63" s="1"/>
  <c r="A20" i="64"/>
  <c r="A6" i="64"/>
  <c r="C17" i="43"/>
  <c r="C14" i="43"/>
  <c r="I27" i="6"/>
  <c r="S19" i="6"/>
  <c r="S27" i="6" s="1"/>
  <c r="E7" i="67"/>
  <c r="G53" i="21" l="1"/>
  <c r="H53" i="21" s="1"/>
  <c r="G52" i="21"/>
  <c r="H52" i="21" s="1"/>
  <c r="E48" i="21"/>
  <c r="R49" i="21"/>
  <c r="E3" i="67"/>
  <c r="B2" i="46"/>
  <c r="AC40" i="39"/>
  <c r="W40" i="39"/>
  <c r="AA40" i="39"/>
  <c r="S40" i="39"/>
  <c r="AB40" i="39"/>
  <c r="U40" i="39"/>
  <c r="K67" i="40"/>
  <c r="L65" i="40"/>
  <c r="L70" i="39"/>
  <c r="K72" i="39"/>
  <c r="C21" i="44"/>
  <c r="C22" i="44" s="1"/>
  <c r="C25" i="44" s="1"/>
  <c r="C19" i="15"/>
  <c r="C20" i="15" s="1"/>
  <c r="C26" i="15" s="1"/>
  <c r="R27" i="6"/>
  <c r="R6" i="1"/>
  <c r="R16" i="1" s="1"/>
  <c r="D31" i="6"/>
  <c r="I6" i="6" s="1"/>
  <c r="C18" i="12"/>
  <c r="C23" i="12" s="1"/>
  <c r="C18" i="43"/>
  <c r="B7" i="67"/>
  <c r="C49" i="21" l="1"/>
  <c r="B3" i="21" s="1"/>
  <c r="C48" i="21"/>
  <c r="I53" i="21"/>
  <c r="J53" i="21" s="1"/>
  <c r="E53" i="21"/>
  <c r="F53" i="21" s="1"/>
  <c r="E52" i="21"/>
  <c r="F52" i="21" s="1"/>
  <c r="B2" i="67"/>
  <c r="I5" i="6"/>
  <c r="B3" i="46"/>
  <c r="D4" i="46"/>
  <c r="B4" i="46"/>
  <c r="L72" i="39"/>
  <c r="M70" i="39"/>
  <c r="L67" i="40"/>
  <c r="M65" i="40"/>
  <c r="C28" i="44"/>
  <c r="C31" i="44" s="1"/>
  <c r="Q51" i="44" s="1"/>
  <c r="C23" i="15"/>
  <c r="C29" i="15" s="1"/>
  <c r="C13" i="15" s="1"/>
  <c r="C19" i="43"/>
  <c r="C25" i="43" s="1"/>
  <c r="C24" i="43" s="1"/>
  <c r="C35" i="44" l="1"/>
  <c r="C33" i="44" s="1"/>
  <c r="C8" i="12"/>
  <c r="B2" i="21"/>
  <c r="C10" i="12" s="1"/>
  <c r="B4" i="67"/>
  <c r="B3" i="67"/>
  <c r="M67" i="40"/>
  <c r="N65" i="40"/>
  <c r="N67" i="40" s="1"/>
  <c r="H9" i="40" s="1"/>
  <c r="N70" i="39"/>
  <c r="N72" i="39" s="1"/>
  <c r="M72" i="39"/>
  <c r="J9" i="39" s="1"/>
  <c r="Q50" i="15"/>
  <c r="J16" i="44"/>
  <c r="J24" i="44" s="1"/>
  <c r="J21" i="44"/>
  <c r="J19" i="44" s="1"/>
  <c r="C15" i="44"/>
  <c r="C43" i="44" s="1"/>
  <c r="C38" i="44"/>
  <c r="C56" i="15"/>
  <c r="C63" i="15" s="1"/>
  <c r="J59" i="15"/>
  <c r="J60" i="15" s="1"/>
  <c r="C33" i="15"/>
  <c r="C31" i="15" s="1"/>
  <c r="J14" i="15"/>
  <c r="J13" i="15" s="1"/>
  <c r="J23" i="15" s="1"/>
  <c r="J19" i="15"/>
  <c r="J17" i="15" s="1"/>
  <c r="C36" i="15"/>
  <c r="C22" i="43"/>
  <c r="C21" i="43" s="1"/>
  <c r="C28" i="43" s="1"/>
  <c r="C30" i="43" s="1"/>
  <c r="C32" i="43" s="1"/>
  <c r="B2" i="43" s="1"/>
  <c r="B5" i="43" s="1"/>
  <c r="J35" i="15"/>
  <c r="C55" i="15"/>
  <c r="C64" i="15" s="1"/>
  <c r="Q71" i="15"/>
  <c r="C37" i="15"/>
  <c r="J9" i="40" l="1"/>
  <c r="W9" i="40" s="1"/>
  <c r="AC9" i="39"/>
  <c r="V49" i="39" s="1"/>
  <c r="I49" i="39" s="1"/>
  <c r="W9" i="39"/>
  <c r="AC9" i="40"/>
  <c r="V44" i="40" s="1"/>
  <c r="I44" i="40" s="1"/>
  <c r="F9" i="39"/>
  <c r="H9" i="39"/>
  <c r="AB9" i="40"/>
  <c r="T44" i="40" s="1"/>
  <c r="G44" i="40" s="1"/>
  <c r="U9" i="40"/>
  <c r="F9" i="40"/>
  <c r="C39" i="44"/>
  <c r="C32" i="44" s="1"/>
  <c r="C42" i="44" s="1"/>
  <c r="Q71" i="44" s="1"/>
  <c r="Q72" i="44"/>
  <c r="J15" i="44"/>
  <c r="J25" i="44" s="1"/>
  <c r="J18" i="44" s="1"/>
  <c r="J27" i="44" s="1"/>
  <c r="C60" i="15"/>
  <c r="C58" i="15" s="1"/>
  <c r="C57" i="15" s="1"/>
  <c r="C66" i="15" s="1"/>
  <c r="C67" i="15" s="1"/>
  <c r="C70" i="15" s="1"/>
  <c r="Q49" i="15"/>
  <c r="J22" i="15"/>
  <c r="J16" i="15" s="1"/>
  <c r="J25" i="15" s="1"/>
  <c r="C30" i="15"/>
  <c r="C39" i="15" s="1"/>
  <c r="J39" i="15" s="1"/>
  <c r="J40" i="15" s="1"/>
  <c r="B3" i="43"/>
  <c r="B4" i="43"/>
  <c r="L51" i="15"/>
  <c r="S9" i="40" l="1"/>
  <c r="AA9" i="40"/>
  <c r="R44" i="40" s="1"/>
  <c r="S9" i="39"/>
  <c r="AA9" i="39"/>
  <c r="R49" i="39" s="1"/>
  <c r="I53" i="39"/>
  <c r="J53" i="39" s="1"/>
  <c r="U9" i="39"/>
  <c r="AB9" i="39"/>
  <c r="T49" i="39" s="1"/>
  <c r="G49" i="39" s="1"/>
  <c r="G48" i="40"/>
  <c r="H48" i="40" s="1"/>
  <c r="G49" i="40"/>
  <c r="H49" i="40" s="1"/>
  <c r="I48" i="40"/>
  <c r="J48" i="40" s="1"/>
  <c r="C44" i="44"/>
  <c r="C45" i="44" s="1"/>
  <c r="B2" i="44" s="1"/>
  <c r="B5" i="44" s="1"/>
  <c r="Q70" i="44"/>
  <c r="Q68" i="15"/>
  <c r="L57" i="15"/>
  <c r="L60" i="15" s="1"/>
  <c r="Q70" i="15"/>
  <c r="Q69" i="15" s="1"/>
  <c r="C40" i="15"/>
  <c r="Q58" i="15" l="1"/>
  <c r="L46" i="15"/>
  <c r="B2" i="15" s="1"/>
  <c r="R45" i="40"/>
  <c r="E44" i="40"/>
  <c r="G53" i="39"/>
  <c r="H53" i="39" s="1"/>
  <c r="G54" i="39"/>
  <c r="H54" i="39" s="1"/>
  <c r="R50" i="39"/>
  <c r="E49" i="39"/>
  <c r="B4" i="44"/>
  <c r="B3" i="44"/>
  <c r="Q67" i="15"/>
  <c r="J42" i="15"/>
  <c r="J43" i="15" s="1"/>
  <c r="Q48" i="15"/>
  <c r="Q54" i="15" s="1"/>
  <c r="Q57" i="15"/>
  <c r="C46" i="15"/>
  <c r="C43" i="15"/>
  <c r="Q66" i="15"/>
  <c r="Q63" i="15" l="1"/>
  <c r="B3" i="15"/>
  <c r="D8" i="12" s="1"/>
  <c r="D10" i="12"/>
  <c r="C6" i="12" s="1"/>
  <c r="C50" i="39"/>
  <c r="C49" i="39"/>
  <c r="C45" i="40"/>
  <c r="C44" i="40"/>
  <c r="E53" i="39"/>
  <c r="F53" i="39" s="1"/>
  <c r="E54" i="39"/>
  <c r="F54" i="39" s="1"/>
  <c r="I54" i="39"/>
  <c r="J54" i="39" s="1"/>
  <c r="E48" i="40"/>
  <c r="F48" i="40" s="1"/>
  <c r="E49" i="40"/>
  <c r="F49" i="40" s="1"/>
  <c r="I49" i="40"/>
  <c r="J49" i="40" s="1"/>
  <c r="Q76" i="15"/>
  <c r="C29" i="12" l="1"/>
  <c r="C24" i="12"/>
  <c r="B63" i="39"/>
  <c r="F63" i="39" s="1"/>
  <c r="B58" i="39"/>
  <c r="F58" i="39" s="1"/>
  <c r="B61" i="39"/>
  <c r="F61" i="39" s="1"/>
  <c r="B64" i="39"/>
  <c r="F64" i="39" s="1"/>
  <c r="B67" i="39"/>
  <c r="F67" i="39" s="1"/>
  <c r="B66" i="39"/>
  <c r="F66" i="39" s="1"/>
  <c r="B60" i="39"/>
  <c r="F60" i="39" s="1"/>
  <c r="B62" i="39"/>
  <c r="F62" i="39" s="1"/>
  <c r="B59" i="39"/>
  <c r="F59" i="39" s="1"/>
  <c r="B65" i="39"/>
  <c r="F65" i="39" s="1"/>
  <c r="B59" i="40"/>
  <c r="F59" i="40" s="1"/>
  <c r="B53" i="40"/>
  <c r="F53" i="40" s="1"/>
  <c r="B57" i="40"/>
  <c r="F57" i="40" s="1"/>
  <c r="B61" i="40"/>
  <c r="F61" i="40" s="1"/>
  <c r="B58" i="40"/>
  <c r="F58" i="40" s="1"/>
  <c r="B55" i="40"/>
  <c r="F55" i="40" s="1"/>
  <c r="B62" i="40"/>
  <c r="F62" i="40" s="1"/>
  <c r="B56" i="40"/>
  <c r="F56" i="40" s="1"/>
  <c r="B60" i="40"/>
  <c r="F60" i="40" s="1"/>
  <c r="B54" i="40"/>
  <c r="F54" i="40" s="1"/>
  <c r="F63" i="40"/>
  <c r="B2" i="40" s="1"/>
  <c r="F68" i="39" l="1"/>
  <c r="B2" i="39" s="1"/>
  <c r="B4" i="39" s="1"/>
  <c r="C35" i="12"/>
  <c r="C33" i="12" s="1"/>
  <c r="C28" i="12"/>
  <c r="C26" i="12" s="1"/>
  <c r="C31" i="12" s="1"/>
  <c r="C30" i="12" s="1"/>
  <c r="B3" i="40"/>
  <c r="B5" i="40"/>
  <c r="B4" i="40"/>
  <c r="D21" i="9"/>
  <c r="D19" i="9"/>
  <c r="B3" i="39" l="1"/>
  <c r="B5" i="39"/>
  <c r="L44" i="9"/>
  <c r="C36" i="12"/>
  <c r="B2" i="12" s="1"/>
  <c r="D20" i="9"/>
  <c r="C19" i="9"/>
  <c r="L43" i="9" l="1"/>
  <c r="D22" i="9"/>
  <c r="G19" i="9"/>
  <c r="D27" i="9" s="1"/>
  <c r="B5" i="12"/>
  <c r="B4" i="12"/>
  <c r="B3" i="12"/>
  <c r="C21" i="9"/>
  <c r="C20" i="9"/>
  <c r="G20" i="9" l="1"/>
  <c r="G21" i="9"/>
  <c r="N43" i="9"/>
  <c r="C32" i="9"/>
  <c r="G22" i="9"/>
  <c r="C42" i="9" l="1"/>
  <c r="O43" i="9"/>
  <c r="O38" i="9"/>
  <c r="C33" i="9"/>
  <c r="C34" i="9"/>
  <c r="C35" i="9"/>
  <c r="F42" i="9" s="1"/>
  <c r="D42" i="9" l="1"/>
  <c r="Q5" i="54" s="1"/>
  <c r="B47" i="63" s="1"/>
  <c r="N38" i="9"/>
  <c r="K28" i="9" s="1"/>
  <c r="E42" i="9"/>
  <c r="P5" i="54" s="1"/>
  <c r="B46" i="63" s="1"/>
  <c r="M38" i="9"/>
  <c r="K27" i="9" s="1"/>
  <c r="K25" i="9"/>
  <c r="K26" i="9"/>
  <c r="D14" i="66"/>
  <c r="D63" i="9"/>
  <c r="N68" i="9"/>
  <c r="R5" i="54"/>
  <c r="B48" i="63" s="1"/>
  <c r="C111" i="9" l="1"/>
  <c r="C104" i="9" s="1"/>
  <c r="D77" i="9"/>
  <c r="N75" i="9" s="1"/>
  <c r="D71" i="9"/>
  <c r="D66" i="9" s="1"/>
  <c r="N72" i="9" s="1"/>
  <c r="D70" i="9"/>
  <c r="C96" i="9"/>
  <c r="C91" i="9" s="1"/>
  <c r="C90" i="9"/>
  <c r="C82" i="9"/>
  <c r="C81" i="9" s="1"/>
  <c r="C85" i="9" s="1"/>
  <c r="C86" i="9" s="1"/>
  <c r="D72" i="9" s="1"/>
  <c r="C103" i="9"/>
  <c r="E14" i="66"/>
  <c r="B5" i="66"/>
  <c r="F14" i="66"/>
  <c r="C113" i="9" l="1"/>
  <c r="C114" i="9" s="1"/>
  <c r="E114" i="9" s="1"/>
  <c r="E115" i="9" s="1"/>
  <c r="D5" i="66"/>
  <c r="C5" i="66"/>
  <c r="C97" i="9"/>
  <c r="C115" i="9" l="1"/>
  <c r="D76" i="9" s="1"/>
  <c r="D74" i="9" s="1"/>
  <c r="N74" i="9" s="1"/>
  <c r="O77" i="9" s="1"/>
  <c r="O78" i="9" s="1"/>
  <c r="C98" i="9"/>
  <c r="E98" i="9" s="1"/>
  <c r="E99" i="9" s="1"/>
  <c r="C99" i="9" l="1"/>
  <c r="Q77"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<sst xmlns="http://schemas.openxmlformats.org/spreadsheetml/2006/main" count="7588" uniqueCount="3268">
  <si>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</si>
  <si>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</si>
  <si>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</si>
  <si>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</si>
  <si>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</si>
  <si>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</si>
  <si>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</si>
  <si>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</si>
  <si>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</si>
  <si>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</si>
  <si>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</si>
  <si>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</si>
  <si>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</si>
  <si>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</si>
  <si>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</si>
  <si>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</si>
  <si>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</si>
  <si>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</si>
  <si>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</si>
  <si>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</si>
  <si>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</si>
  <si>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</si>
  <si>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</si>
  <si>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</si>
  <si>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</si>
  <si>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</si>
  <si>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</si>
  <si>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</si>
  <si>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</si>
  <si>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</si>
  <si>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</si>
  <si>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</si>
  <si>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</si>
  <si>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</si>
  <si>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</si>
  <si>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</si>
  <si>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</si>
  <si>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</si>
  <si>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</si>
  <si>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</si>
  <si>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</si>
  <si>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</si>
  <si>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</si>
  <si>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</si>
  <si>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</si>
  <si>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</si>
  <si>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</si>
  <si>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</si>
  <si>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</si>
  <si>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</si>
  <si>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</si>
  <si>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</si>
  <si>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</si>
  <si>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</si>
  <si>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</si>
  <si>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</si>
  <si>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</si>
  <si>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</si>
  <si>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</si>
  <si>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</si>
  <si>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</si>
  <si>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</si>
  <si>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</si>
  <si>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</si>
  <si>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</si>
  <si>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</si>
  <si>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</si>
  <si>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</si>
  <si>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</si>
  <si>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</si>
  <si>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</si>
  <si>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</si>
  <si>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</si>
  <si>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</si>
  <si>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</si>
  <si>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</si>
  <si>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</si>
  <si>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</si>
  <si>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</si>
  <si>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</si>
  <si>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</si>
  <si>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</si>
  <si>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</si>
  <si>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</si>
  <si>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</si>
  <si>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</si>
  <si>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</si>
  <si>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</si>
  <si>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</si>
  <si>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</si>
  <si>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</si>
  <si>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</si>
  <si>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</si>
  <si>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</si>
  <si>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</si>
  <si>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</si>
  <si>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</si>
  <si>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</si>
  <si>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</si>
  <si>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</si>
  <si>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</si>
  <si>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</si>
  <si>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</si>
  <si>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</si>
  <si>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</si>
  <si>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</si>
  <si>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</si>
  <si>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</si>
  <si>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</si>
  <si>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</si>
  <si>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</si>
  <si>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</si>
  <si>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</si>
  <si>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</si>
  <si>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</si>
  <si>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</si>
  <si>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</si>
  <si>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</si>
  <si>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</si>
  <si>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</si>
  <si>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</si>
  <si>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</si>
  <si>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</si>
  <si>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</si>
  <si>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</si>
  <si>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</si>
  <si>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</si>
  <si>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</si>
  <si>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</si>
  <si>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</si>
  <si>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</si>
  <si>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</si>
  <si>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</si>
  <si>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</si>
  <si>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</si>
  <si>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</si>
  <si>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</si>
  <si>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</si>
  <si>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</si>
  <si>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</si>
  <si>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</si>
  <si>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</si>
  <si>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</si>
  <si>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</si>
  <si>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</si>
  <si>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</si>
  <si>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</si>
  <si>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</si>
  <si>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</si>
  <si>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</si>
  <si>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</si>
  <si>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</si>
  <si>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</si>
  <si>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</si>
  <si>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</si>
  <si>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</si>
  <si>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</si>
  <si>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</si>
  <si>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</si>
  <si>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</si>
  <si>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</si>
  <si>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</si>
  <si>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</si>
  <si>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</si>
  <si>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</si>
  <si>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</si>
  <si>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</si>
  <si>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</si>
  <si>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</si>
  <si>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</si>
  <si>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</si>
  <si>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</si>
  <si>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</si>
  <si>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</si>
  <si>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</si>
  <si>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</si>
  <si>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</si>
  <si>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</si>
  <si>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</si>
  <si>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</si>
  <si>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</si>
  <si>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</si>
  <si>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</si>
  <si>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</si>
  <si>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</si>
  <si>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</si>
  <si>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</si>
  <si>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</si>
  <si>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</si>
  <si>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</si>
  <si>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</si>
  <si>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</si>
  <si>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</si>
  <si>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</si>
  <si>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</si>
  <si>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</si>
  <si>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</si>
  <si>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</si>
  <si>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</si>
  <si>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</si>
  <si>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</si>
  <si>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</si>
  <si>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</si>
  <si>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</si>
  <si>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</si>
  <si>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</si>
  <si>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</si>
  <si>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</si>
  <si>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</si>
  <si>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</si>
  <si>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</si>
  <si>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</si>
  <si>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</si>
  <si>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</si>
  <si>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</si>
  <si>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</si>
  <si>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</si>
  <si>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</si>
  <si>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</si>
  <si>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</si>
  <si>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</si>
  <si>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</si>
  <si>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</si>
  <si>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</si>
  <si>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</si>
  <si>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</si>
  <si>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</si>
  <si>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</si>
  <si>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</si>
  <si>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</si>
  <si>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</si>
  <si>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</si>
  <si>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</si>
  <si>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</si>
  <si>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</si>
  <si>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</si>
  <si>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</si>
  <si>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</si>
  <si>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</si>
  <si>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</si>
  <si>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</si>
  <si>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</si>
  <si>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</si>
  <si>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</si>
  <si>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</si>
  <si>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</si>
  <si>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</si>
  <si>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</si>
  <si>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</si>
  <si>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</si>
  <si>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</si>
  <si>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</si>
  <si>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</si>
  <si>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</si>
  <si>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</si>
  <si>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</si>
  <si>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</si>
  <si>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</si>
  <si>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</si>
  <si>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</si>
  <si>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</si>
  <si>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</si>
  <si>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</si>
  <si>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</si>
  <si>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</si>
  <si>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</si>
  <si>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</si>
  <si>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</si>
  <si>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</si>
  <si>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</si>
  <si>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</si>
  <si>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</si>
  <si>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</si>
  <si>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</si>
  <si>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</si>
  <si>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</si>
  <si>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</si>
  <si>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</si>
  <si>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</si>
  <si>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</si>
  <si>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</si>
  <si>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</si>
  <si>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</si>
  <si>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</si>
  <si>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</si>
  <si>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</si>
  <si>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</si>
  <si>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</si>
  <si>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</si>
  <si>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</si>
  <si>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</si>
  <si>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</si>
  <si>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</si>
  <si>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</si>
  <si>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</si>
  <si>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</si>
  <si>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</si>
  <si>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</si>
  <si>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</si>
  <si>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</si>
  <si>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</si>
  <si>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</si>
  <si>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</si>
  <si>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</si>
  <si>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</si>
  <si>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</si>
  <si>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</si>
  <si>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</si>
  <si>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</si>
  <si>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</si>
  <si>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</si>
  <si>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</si>
  <si>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</si>
  <si>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</si>
  <si>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</si>
  <si>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</si>
  <si>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</si>
  <si>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</si>
  <si>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</si>
  <si>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</si>
  <si>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</si>
  <si>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</si>
  <si>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</si>
  <si>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</si>
  <si>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</si>
  <si>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</si>
  <si>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</si>
  <si>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</si>
  <si>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</si>
  <si>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</si>
  <si>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</si>
  <si>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</si>
  <si>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</si>
  <si>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</si>
  <si>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</si>
  <si>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</si>
  <si>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</si>
  <si>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</si>
  <si>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</si>
  <si>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</si>
  <si>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</si>
  <si>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</si>
  <si>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</si>
  <si>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</si>
  <si>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</si>
  <si>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</si>
  <si>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</si>
  <si>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</si>
  <si>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</si>
  <si>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</si>
  <si>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</si>
  <si>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</si>
  <si>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</si>
  <si>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</si>
  <si>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</si>
  <si>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</si>
  <si>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</si>
  <si>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</si>
  <si>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</si>
  <si>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</si>
  <si>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</si>
  <si>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</si>
  <si>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</si>
  <si>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</si>
  <si>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</si>
  <si>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</si>
  <si>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</si>
  <si>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</si>
  <si>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</si>
  <si>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</si>
  <si>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</si>
  <si>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</si>
  <si>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</si>
  <si>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</si>
  <si>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</si>
  <si>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</si>
  <si>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</si>
  <si>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</si>
  <si>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</si>
  <si>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</si>
  <si>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</si>
  <si>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</si>
  <si>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</si>
  <si>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</si>
  <si>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</si>
  <si>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</si>
  <si>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</si>
  <si>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</si>
  <si>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</si>
  <si>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</si>
  <si>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</si>
  <si>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</si>
  <si>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</si>
  <si>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</si>
  <si>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</si>
  <si>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</si>
  <si>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</si>
  <si>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</si>
  <si>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</si>
  <si>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</si>
  <si>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</si>
  <si>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</si>
  <si>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</si>
  <si>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</si>
  <si>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</si>
  <si>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</si>
  <si>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</si>
  <si>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</si>
  <si>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</si>
  <si>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</si>
  <si>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</si>
  <si>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</si>
  <si>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</si>
  <si>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</si>
  <si>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</si>
  <si>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</si>
  <si>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</si>
  <si>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</si>
  <si>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</si>
  <si>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</si>
  <si>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</si>
  <si>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</si>
  <si>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</si>
  <si>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</si>
  <si>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</si>
  <si>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</si>
  <si>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</si>
  <si>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</si>
  <si>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</si>
  <si>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</si>
  <si>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</si>
  <si>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</si>
  <si>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</si>
  <si>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</si>
  <si>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</si>
  <si>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</si>
  <si>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</si>
  <si>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</si>
  <si>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</si>
  <si>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</si>
  <si>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</si>
  <si>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</si>
  <si>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</si>
  <si>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</si>
  <si>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</si>
  <si>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</si>
  <si>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</si>
  <si>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</si>
  <si>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</si>
  <si>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</si>
  <si>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</si>
  <si>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</si>
  <si>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</si>
  <si>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</si>
  <si>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</si>
  <si>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</si>
  <si>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</si>
  <si>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</si>
  <si>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</si>
  <si>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</si>
  <si>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</si>
  <si>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</si>
  <si>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</si>
  <si>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</si>
  <si>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</si>
  <si>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</si>
  <si>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</si>
  <si>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</si>
  <si>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</si>
  <si>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</si>
  <si>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</si>
  <si>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</si>
  <si>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</si>
  <si>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</si>
  <si>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</si>
  <si>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</si>
  <si>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</si>
  <si>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</si>
  <si>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</si>
  <si>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</si>
  <si>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</si>
  <si>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</si>
  <si>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</si>
  <si>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</si>
  <si>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</si>
  <si>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</si>
  <si>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</si>
  <si>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</si>
  <si>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</si>
  <si>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</si>
  <si>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</si>
  <si>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</si>
  <si>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</si>
  <si>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</si>
  <si>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</si>
  <si>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</si>
  <si>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</si>
  <si>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</si>
  <si>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</si>
  <si>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</si>
  <si>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</si>
  <si>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</si>
  <si>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</si>
  <si>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</si>
  <si>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</si>
  <si>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</si>
  <si>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</si>
  <si>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</si>
  <si>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</si>
  <si>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</si>
  <si>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</si>
  <si>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</si>
  <si>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</si>
  <si>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</si>
  <si>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</si>
  <si>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</si>
  <si>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</si>
  <si>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</si>
  <si>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</si>
  <si>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</si>
  <si>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</si>
  <si>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</si>
  <si>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</si>
  <si>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</si>
  <si>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</si>
  <si>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</si>
  <si>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</si>
  <si>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</si>
  <si>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</si>
  <si>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</si>
  <si>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</si>
  <si>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</si>
  <si>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</si>
  <si>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</si>
  <si>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</si>
  <si>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</si>
  <si>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</si>
  <si>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</si>
  <si>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</si>
  <si>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</si>
  <si>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</si>
  <si>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</si>
  <si>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</si>
  <si>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</si>
  <si>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</si>
  <si>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</si>
  <si>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</si>
  <si>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</si>
  <si>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</si>
  <si>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</si>
  <si>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</si>
  <si>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</si>
  <si>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</si>
  <si>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</si>
  <si>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</si>
  <si>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</si>
  <si>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</si>
  <si>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</si>
  <si>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</si>
  <si>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</si>
  <si>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</si>
  <si>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</si>
  <si>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</si>
  <si>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</si>
  <si>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</si>
  <si>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</si>
  <si>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</si>
  <si>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</si>
  <si>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</si>
  <si>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</si>
  <si>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</si>
  <si>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</si>
  <si>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</si>
  <si>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</si>
  <si>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</si>
  <si>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</si>
  <si>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</si>
  <si>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</si>
  <si>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</si>
  <si>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</si>
  <si>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</si>
  <si>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</si>
  <si>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</si>
  <si>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</si>
  <si>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</si>
  <si>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</si>
  <si>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</si>
  <si>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</si>
  <si>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</si>
  <si>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</si>
  <si>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</si>
  <si>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</si>
  <si>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</si>
  <si>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</si>
  <si>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</si>
  <si>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</si>
  <si>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</si>
  <si>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</si>
  <si>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</si>
  <si>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</si>
  <si>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</si>
  <si>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</si>
  <si>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</si>
  <si>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</si>
  <si>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</si>
  <si>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</si>
  <si>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</si>
  <si>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</si>
  <si>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</si>
  <si>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</si>
  <si>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</si>
  <si>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</si>
  <si>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</si>
  <si>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</si>
  <si>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</si>
  <si>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</si>
  <si>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</si>
  <si>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</si>
  <si>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</si>
  <si>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</si>
  <si>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</si>
  <si>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</si>
  <si>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</si>
  <si>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</si>
  <si>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</si>
  <si>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</si>
  <si>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</si>
  <si>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</si>
  <si>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</si>
  <si>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</si>
  <si>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</si>
  <si>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</si>
  <si>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</si>
  <si>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</si>
  <si>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</si>
  <si>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</si>
  <si>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</si>
  <si>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</si>
  <si>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</si>
  <si>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</si>
  <si>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</si>
  <si>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</si>
  <si>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</si>
  <si>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</si>
  <si>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</si>
  <si>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</si>
  <si>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</si>
  <si>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</si>
  <si>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</si>
  <si>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</si>
  <si>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</si>
  <si>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</si>
  <si>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</si>
  <si>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</si>
  <si>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</si>
  <si>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</si>
  <si>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</si>
  <si>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</si>
  <si>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</si>
  <si>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</si>
  <si>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</si>
  <si>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</si>
  <si>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</si>
  <si>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</si>
  <si>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</si>
  <si>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</si>
  <si>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</si>
  <si>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</si>
  <si>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</si>
  <si>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</si>
  <si>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</si>
  <si>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</si>
  <si>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</si>
  <si>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</si>
  <si>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</si>
  <si>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</si>
  <si>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</si>
  <si>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</si>
  <si>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</si>
  <si>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</si>
  <si>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</si>
  <si>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</si>
  <si>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</si>
  <si>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</si>
  <si>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</si>
  <si>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</si>
  <si>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</si>
  <si>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</si>
  <si>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</si>
  <si>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</si>
  <si>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</si>
  <si>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</si>
  <si>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</si>
  <si>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</si>
  <si>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</si>
  <si>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</si>
  <si>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</si>
  <si>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</si>
  <si>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</si>
  <si>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</si>
  <si>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</si>
  <si>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</si>
  <si>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</si>
  <si>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</si>
  <si>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</si>
  <si>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</si>
  <si>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</si>
  <si>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</si>
  <si>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</si>
  <si>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</si>
  <si>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</si>
  <si>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</si>
  <si>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</si>
  <si>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</si>
  <si>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</si>
  <si>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</si>
  <si>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</si>
  <si>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</si>
  <si>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</si>
  <si>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</si>
  <si>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</si>
  <si>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</si>
  <si>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</si>
  <si>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</si>
  <si>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</si>
  <si>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</si>
  <si>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</si>
  <si>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</si>
  <si>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</si>
  <si>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</si>
  <si>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</si>
  <si>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</si>
  <si>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</si>
  <si>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</si>
  <si>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</si>
  <si>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</si>
  <si>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</si>
  <si>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</si>
  <si>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</si>
  <si>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</si>
  <si>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</si>
  <si>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</si>
  <si>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</si>
  <si>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</si>
  <si>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</si>
  <si>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</si>
  <si>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</si>
  <si>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</si>
  <si>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</si>
  <si>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</si>
  <si>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</si>
  <si>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</si>
  <si>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</si>
  <si>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</si>
  <si>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</si>
  <si>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</si>
  <si>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</si>
  <si>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</si>
  <si>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</si>
  <si>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</si>
  <si>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</si>
  <si>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</si>
  <si>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</si>
  <si>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</si>
  <si>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</si>
  <si>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</si>
  <si>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</si>
  <si>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</si>
  <si>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</si>
  <si>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</si>
  <si>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</si>
  <si>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</si>
  <si>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</si>
  <si>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</si>
  <si>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</si>
  <si>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</si>
  <si>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</si>
  <si>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</si>
  <si>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</si>
  <si>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</si>
  <si>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</si>
  <si>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</si>
  <si>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</si>
  <si>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</si>
  <si>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</si>
  <si>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</si>
  <si>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</si>
  <si>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</si>
  <si>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</si>
  <si>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</si>
  <si>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</si>
  <si>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</si>
  <si>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</si>
  <si>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</si>
  <si>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</si>
  <si>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</si>
  <si>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</si>
  <si>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</si>
  <si>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</si>
  <si>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</si>
  <si>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</si>
  <si>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</si>
  <si>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</si>
  <si>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</si>
  <si>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</si>
  <si>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</si>
  <si>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</si>
  <si>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</si>
  <si>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</si>
  <si>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</si>
  <si>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</si>
  <si>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</si>
  <si>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</si>
  <si>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</si>
  <si>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</si>
  <si>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</si>
  <si>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</si>
  <si>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</si>
  <si>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</si>
  <si>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</si>
  <si>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</si>
  <si>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</si>
  <si>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</si>
  <si>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</si>
  <si>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</si>
  <si>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</si>
  <si>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</si>
  <si>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</si>
  <si>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</si>
  <si>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</si>
  <si>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</si>
  <si>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</si>
  <si>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</si>
  <si>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</si>
  <si>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</si>
  <si>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</si>
  <si>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</si>
  <si>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</si>
  <si>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</si>
  <si>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</si>
  <si>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</si>
  <si>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</si>
  <si>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</si>
  <si>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</si>
  <si>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</si>
  <si>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</si>
  <si>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</si>
  <si>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</si>
  <si>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</si>
  <si>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</si>
  <si>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</si>
  <si>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</si>
  <si>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</si>
  <si>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</si>
  <si>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</si>
  <si>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</si>
  <si>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</si>
  <si>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</si>
  <si>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</si>
  <si>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</si>
  <si>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</si>
  <si>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</si>
  <si>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</si>
  <si>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</si>
  <si>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</si>
  <si>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</si>
  <si>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</si>
  <si>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</si>
  <si>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</si>
  <si>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</si>
  <si>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</si>
  <si>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</si>
  <si>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</si>
  <si>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</si>
  <si>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</si>
  <si>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</si>
  <si>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</si>
  <si>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</si>
  <si>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</si>
  <si>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</si>
  <si>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</si>
  <si>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</si>
  <si>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</si>
  <si>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</si>
  <si>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</si>
  <si>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</si>
  <si>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</si>
  <si>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</si>
  <si>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</si>
  <si>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</si>
  <si>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</si>
  <si>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</si>
  <si>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</si>
  <si>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</si>
  <si>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</si>
  <si>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</si>
  <si>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</si>
  <si>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</si>
  <si>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</si>
  <si>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</si>
  <si>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</si>
  <si>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</si>
  <si>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</si>
  <si>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</si>
  <si>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</si>
  <si>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</si>
  <si>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</si>
  <si>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</si>
  <si>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</si>
  <si>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</si>
  <si>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</si>
  <si>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</si>
  <si>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</si>
  <si>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</si>
  <si>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</si>
  <si>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</si>
  <si>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</si>
  <si>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</si>
  <si>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</si>
  <si>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</si>
  <si>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</si>
  <si>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</si>
  <si>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</si>
  <si>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</si>
  <si>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</si>
  <si>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</si>
  <si>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</si>
  <si>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</si>
  <si>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</si>
  <si>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</si>
  <si>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</si>
  <si>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</si>
  <si>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</si>
  <si>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</si>
  <si>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</si>
  <si>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</si>
  <si>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</si>
  <si>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</si>
  <si>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</si>
  <si>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</si>
  <si>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</si>
  <si>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</si>
  <si>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</si>
  <si>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</si>
  <si>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</si>
  <si>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</si>
  <si>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</si>
  <si>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</si>
  <si>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</si>
  <si>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</si>
  <si>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</si>
  <si>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</si>
  <si>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</si>
  <si>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</si>
  <si>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</si>
  <si>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</si>
  <si>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</si>
  <si>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</si>
  <si>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</si>
  <si>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</si>
  <si>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</si>
  <si>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</si>
  <si>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</si>
  <si>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</si>
  <si>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</si>
  <si>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</si>
  <si>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</si>
  <si>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</si>
  <si>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</si>
  <si>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</si>
  <si>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</si>
  <si>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</si>
  <si>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</si>
  <si>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</si>
  <si>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</si>
  <si>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</si>
  <si>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</si>
  <si>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</si>
  <si>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</si>
  <si>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</si>
  <si>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</si>
  <si>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</si>
  <si>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</si>
  <si>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</si>
  <si>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</si>
  <si>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</si>
  <si>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</si>
  <si>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</si>
  <si>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</si>
  <si>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</si>
  <si>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</si>
  <si>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</si>
  <si>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</si>
  <si>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</si>
  <si>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</si>
  <si>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</si>
  <si>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</si>
  <si>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</si>
  <si>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</si>
  <si>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</si>
  <si>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</si>
  <si>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</si>
  <si>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</si>
  <si>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</si>
  <si>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</si>
  <si>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</si>
  <si>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</si>
  <si>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</si>
  <si>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</si>
  <si>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</si>
  <si>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</si>
  <si>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</si>
  <si>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</si>
  <si>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</si>
  <si>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</si>
  <si>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</si>
  <si>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</si>
  <si>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</si>
  <si>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</si>
  <si>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</si>
  <si>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</si>
  <si>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</si>
  <si>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</si>
  <si>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</si>
  <si>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</si>
  <si>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</si>
  <si>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</si>
  <si>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</si>
  <si>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</si>
  <si>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</si>
  <si>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</si>
  <si>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</si>
  <si>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</si>
  <si>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</si>
  <si>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</si>
  <si>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</si>
  <si>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</si>
  <si>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</si>
  <si>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</si>
  <si>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</si>
  <si>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</si>
  <si>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</si>
  <si>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</si>
  <si>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</si>
  <si>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</si>
  <si>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</si>
  <si>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</si>
  <si>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</si>
  <si>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</si>
  <si>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</si>
  <si>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</si>
  <si>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</si>
  <si>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</si>
  <si>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</si>
  <si>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</si>
  <si>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</si>
  <si>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</si>
  <si>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</si>
  <si>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</si>
  <si>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</si>
  <si>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</si>
  <si>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</si>
  <si>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</si>
  <si>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</si>
  <si>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</si>
  <si>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</si>
  <si>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</si>
  <si>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</si>
  <si>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</si>
  <si>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</si>
  <si>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</si>
  <si>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</si>
  <si>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</si>
  <si>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</si>
  <si>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</si>
  <si>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</si>
  <si>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</si>
  <si>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</si>
  <si>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</si>
  <si>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</si>
  <si>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</si>
  <si>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</si>
  <si>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</si>
  <si>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</si>
  <si>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</si>
  <si>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</si>
  <si>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</si>
  <si>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</si>
  <si>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</si>
  <si>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</si>
  <si>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</si>
  <si>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</si>
  <si>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</si>
  <si>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</si>
  <si>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</si>
  <si>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</si>
  <si>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</si>
  <si>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</si>
  <si>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</si>
  <si>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</si>
  <si>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</si>
  <si>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</si>
  <si>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</si>
  <si>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</si>
  <si>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</si>
  <si>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</si>
  <si>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</si>
  <si>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</si>
  <si>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</si>
  <si>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</si>
  <si>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</si>
  <si>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</si>
  <si>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</si>
  <si>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</si>
  <si>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</si>
  <si>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</si>
  <si>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</si>
  <si>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</si>
  <si>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</si>
  <si>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</si>
  <si>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</si>
  <si>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</si>
  <si>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</si>
  <si>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</si>
  <si>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</si>
  <si>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</si>
  <si>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</si>
  <si>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</si>
  <si>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</si>
  <si>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</si>
  <si>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</si>
  <si>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</si>
  <si>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</si>
  <si>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</si>
  <si>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</si>
  <si>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</si>
  <si>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</si>
  <si>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</si>
  <si>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</si>
  <si>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</si>
  <si>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</si>
  <si>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</si>
  <si>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</si>
  <si>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</si>
  <si>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</si>
  <si>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</si>
  <si>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</si>
  <si>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</si>
  <si>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</si>
  <si>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</si>
  <si>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</si>
  <si>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</si>
  <si>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</si>
  <si>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</si>
  <si>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</si>
  <si>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</si>
  <si>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</si>
  <si>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</si>
  <si>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</si>
  <si>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</si>
  <si>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</si>
  <si>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</si>
  <si>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</si>
  <si>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</si>
  <si>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</si>
  <si>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</si>
  <si>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</si>
  <si>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</si>
  <si>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</si>
  <si>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</si>
  <si>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</si>
  <si>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</si>
  <si>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</si>
  <si>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</si>
  <si>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</si>
  <si>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</si>
  <si>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</si>
  <si>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</si>
  <si>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</si>
  <si>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</si>
  <si>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</si>
  <si>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</si>
  <si>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</si>
  <si>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</si>
  <si>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</si>
  <si>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</si>
  <si>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</si>
  <si>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</si>
  <si>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</si>
  <si>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</si>
  <si>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</si>
  <si>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</si>
  <si>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</si>
  <si>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</si>
  <si>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</si>
  <si>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</si>
  <si>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</si>
  <si>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</si>
  <si>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</si>
  <si>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</si>
  <si>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</si>
  <si>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</si>
  <si>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</si>
  <si>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</si>
  <si>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</si>
  <si>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</si>
  <si>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</si>
  <si>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</si>
  <si>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</si>
  <si>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</si>
  <si>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</si>
  <si>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</si>
  <si>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</si>
  <si>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</si>
  <si>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</si>
  <si>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</si>
  <si>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</si>
  <si>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</si>
  <si>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</si>
  <si>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</si>
  <si>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</si>
  <si>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</si>
  <si>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</si>
  <si>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</si>
  <si>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</si>
  <si>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</si>
  <si>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</si>
  <si>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</si>
  <si>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</si>
  <si>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</si>
  <si>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</si>
  <si>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</si>
  <si>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</si>
  <si>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</si>
  <si>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</si>
  <si>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</si>
  <si>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</si>
  <si>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</si>
  <si>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</si>
  <si>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</si>
  <si>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</si>
  <si>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</si>
  <si>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</si>
  <si>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</si>
  <si>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</si>
  <si>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</si>
  <si>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</si>
  <si>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</si>
  <si>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</si>
  <si>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</si>
  <si>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</si>
  <si>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</si>
  <si>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</si>
  <si>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</si>
  <si>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</si>
  <si>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</si>
  <si>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</si>
  <si>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</si>
  <si>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</si>
  <si>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</si>
  <si>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</si>
  <si>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</si>
  <si>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</si>
  <si>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</si>
  <si>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</si>
  <si>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</si>
  <si>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</si>
  <si>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</si>
  <si>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</si>
  <si>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</si>
  <si>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</si>
  <si>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</si>
  <si>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</si>
  <si>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</si>
  <si>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</si>
  <si>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</si>
  <si>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</si>
  <si>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</si>
  <si>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</si>
  <si>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</si>
  <si>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</si>
  <si>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</si>
  <si>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</si>
  <si>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</si>
  <si>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</si>
  <si>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</si>
  <si>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</si>
  <si>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</si>
  <si>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</si>
  <si>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</si>
  <si>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</si>
  <si>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</si>
  <si>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</si>
  <si>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</si>
  <si>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</si>
  <si>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</si>
  <si>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</si>
  <si>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</si>
  <si>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</si>
  <si>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</si>
  <si>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</si>
  <si>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</si>
  <si>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</si>
  <si>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</si>
  <si>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</si>
  <si>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</si>
  <si>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</si>
  <si>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</si>
  <si>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</si>
  <si>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</si>
  <si>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</si>
  <si>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</si>
  <si>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</si>
  <si>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</si>
  <si>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</si>
  <si>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</si>
  <si>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</si>
  <si>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</si>
  <si>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</si>
  <si>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</si>
  <si>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</si>
  <si>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</si>
  <si>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</si>
  <si>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</si>
  <si>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</si>
  <si>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</si>
  <si>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</si>
  <si>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</si>
  <si>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</si>
  <si>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</si>
  <si>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</si>
  <si>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</si>
  <si>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</si>
  <si>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</si>
  <si>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</si>
  <si>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</si>
  <si>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</si>
  <si>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</si>
  <si>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</si>
  <si>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</si>
  <si>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</si>
  <si>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</si>
  <si>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</si>
  <si>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</si>
  <si>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</si>
  <si>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</si>
  <si>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</si>
  <si>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</si>
  <si>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</si>
  <si>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</si>
  <si>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</si>
  <si>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</si>
  <si>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</si>
  <si>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</si>
  <si>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</si>
  <si>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</si>
  <si>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</si>
  <si>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</si>
  <si>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</si>
  <si>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</si>
  <si>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</si>
  <si>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</si>
  <si>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</si>
  <si>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</si>
  <si>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</si>
  <si>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</si>
  <si>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</si>
  <si>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</si>
  <si>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</si>
  <si>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</si>
  <si>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</si>
  <si>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</si>
  <si>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</si>
  <si>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</si>
  <si>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</si>
  <si>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</si>
  <si>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</si>
  <si>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</si>
  <si>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</si>
  <si>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</si>
  <si>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</si>
  <si>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</si>
  <si>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</si>
  <si>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</si>
  <si>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</si>
  <si>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</si>
  <si>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</si>
  <si>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</si>
  <si>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</si>
  <si>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</si>
  <si>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</si>
  <si>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</si>
  <si>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</si>
  <si>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</si>
  <si>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</si>
  <si>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</si>
  <si>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</si>
  <si>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</si>
  <si>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</si>
  <si>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</si>
  <si>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</si>
  <si>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</si>
  <si>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</si>
  <si>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</si>
  <si>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</si>
  <si>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</si>
  <si>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</si>
  <si>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</si>
  <si>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</si>
  <si>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</si>
  <si>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</si>
  <si>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</si>
  <si>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</si>
  <si>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</si>
  <si>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</si>
  <si>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</si>
  <si>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</si>
  <si>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</si>
  <si>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</si>
  <si>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</si>
  <si>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</si>
  <si>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</si>
  <si>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</si>
  <si>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</si>
  <si>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</si>
  <si>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</si>
  <si>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</si>
  <si>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</si>
  <si>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</si>
  <si>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</si>
  <si>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</si>
  <si>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</si>
  <si>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</si>
  <si>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</si>
  <si>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</si>
  <si>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</si>
  <si>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</si>
  <si>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</si>
  <si>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</si>
  <si>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</si>
  <si>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</si>
  <si>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</si>
  <si>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</si>
  <si>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</si>
  <si>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</si>
  <si>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</si>
  <si>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</si>
  <si>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</si>
  <si>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</si>
  <si>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</si>
  <si>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</si>
  <si>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</si>
  <si>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</si>
  <si>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</si>
  <si>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</si>
  <si>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</si>
  <si>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</si>
  <si>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</si>
  <si>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</si>
  <si>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</si>
  <si>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</si>
  <si>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</si>
  <si>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</si>
  <si>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</si>
  <si>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</si>
  <si>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</si>
  <si>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</si>
  <si>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</si>
  <si>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</si>
  <si>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</si>
  <si>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</si>
  <si>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</si>
  <si>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</si>
  <si>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</si>
  <si>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</si>
  <si>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</si>
  <si>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</si>
  <si>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</si>
  <si>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</si>
  <si>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</si>
  <si>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</si>
  <si>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</si>
  <si>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</si>
  <si>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</si>
  <si>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</si>
  <si>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</si>
  <si>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</si>
  <si>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</si>
  <si>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</si>
  <si>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</si>
  <si>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</si>
  <si>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</si>
  <si>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</si>
  <si>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</si>
  <si>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</si>
  <si>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</si>
  <si>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</si>
  <si>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</si>
  <si>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</si>
  <si>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</si>
  <si>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</si>
  <si>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</si>
  <si>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</si>
  <si>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</si>
  <si>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</si>
  <si>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</si>
  <si>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</si>
  <si>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</si>
  <si>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</si>
  <si>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</si>
  <si>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</si>
  <si>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</si>
  <si>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</si>
  <si>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</si>
  <si>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</si>
  <si>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</si>
  <si>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</si>
  <si>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</si>
  <si>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</si>
  <si>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</si>
  <si>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</si>
  <si>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</si>
  <si>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</si>
  <si>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</si>
  <si>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</si>
  <si>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</si>
  <si>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</si>
  <si>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</si>
  <si>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</si>
  <si>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</si>
  <si>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</si>
  <si>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</si>
  <si>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</si>
  <si>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</si>
  <si>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</si>
  <si>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</si>
  <si>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</si>
  <si>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</si>
  <si>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</si>
  <si>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</si>
  <si>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</si>
  <si>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</si>
  <si>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</si>
  <si>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</si>
  <si>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</si>
  <si>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</si>
  <si>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</si>
  <si>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</si>
  <si>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</si>
  <si>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</si>
  <si>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</si>
  <si>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</si>
  <si>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</si>
  <si>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</si>
  <si>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</si>
  <si>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</si>
  <si>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</si>
  <si>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</si>
  <si>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</si>
  <si>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</si>
  <si>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</si>
  <si>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</si>
  <si>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</si>
  <si>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</si>
  <si>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</si>
  <si>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</si>
  <si>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</si>
  <si>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</si>
  <si>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</si>
  <si>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</si>
  <si>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</si>
  <si>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</si>
  <si>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</si>
  <si>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</si>
  <si>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</si>
  <si>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</si>
  <si>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</si>
  <si>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</si>
  <si>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</si>
  <si>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</si>
  <si>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</si>
  <si>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</si>
  <si>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</si>
  <si>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</si>
  <si>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</si>
  <si>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</si>
  <si>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</si>
  <si>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</si>
  <si>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</si>
  <si>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</si>
  <si>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</si>
  <si>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</si>
  <si>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</si>
  <si>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</si>
  <si>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</si>
  <si>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</si>
  <si>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</si>
  <si>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</si>
  <si>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</si>
  <si>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</si>
  <si>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</si>
  <si>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</si>
  <si>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</si>
  <si>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</si>
  <si>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</si>
  <si>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</si>
  <si>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</si>
  <si>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</si>
  <si>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</si>
  <si>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</si>
  <si>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</si>
  <si>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</si>
  <si>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</si>
  <si>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</si>
  <si>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</si>
  <si>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</si>
  <si>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</si>
  <si>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</si>
  <si>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</si>
  <si>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</si>
  <si>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</si>
  <si>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</si>
  <si>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</si>
  <si>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</si>
  <si>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</si>
  <si>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</si>
  <si>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</si>
  <si>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</si>
  <si>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</si>
  <si>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</si>
  <si>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</si>
  <si>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</si>
  <si>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</si>
  <si>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</si>
  <si>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</si>
  <si>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</si>
  <si>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</si>
  <si>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</si>
  <si>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</si>
  <si>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</si>
  <si>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</si>
  <si>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</si>
  <si>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</si>
  <si>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</si>
  <si>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</si>
  <si>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</si>
  <si>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</si>
  <si>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</si>
  <si>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</si>
  <si>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</si>
  <si>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</si>
  <si>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</si>
  <si>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</si>
  <si>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</si>
  <si>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</si>
  <si>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</si>
  <si>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</si>
  <si>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</si>
  <si>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</si>
  <si>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</si>
  <si>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</si>
  <si>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</si>
  <si>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</si>
  <si>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</si>
  <si>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</si>
  <si>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</si>
  <si>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</si>
  <si>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</si>
  <si>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</si>
  <si>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</si>
  <si>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</si>
  <si>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</si>
  <si>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</si>
  <si>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</si>
  <si>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</si>
  <si>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</si>
  <si>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</si>
  <si>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</si>
  <si>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</si>
  <si>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</si>
  <si>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</si>
  <si>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</si>
  <si>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</si>
  <si>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</si>
  <si>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</si>
  <si>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</si>
  <si>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</si>
  <si>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</si>
  <si>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</si>
  <si>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</si>
  <si>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</si>
  <si>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</si>
  <si>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</si>
  <si>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</si>
  <si>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</si>
  <si>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</si>
  <si>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</si>
  <si>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</si>
  <si>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</si>
  <si>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</si>
  <si>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</si>
  <si>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</si>
  <si>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</si>
  <si>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</si>
  <si>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</si>
  <si>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</si>
  <si>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</si>
  <si>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</si>
  <si>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</si>
  <si>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</si>
  <si>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</si>
  <si>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</si>
  <si>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</si>
  <si>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</si>
  <si>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</si>
  <si>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</si>
  <si>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</si>
  <si>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</si>
  <si>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</si>
  <si>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</si>
  <si>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</si>
  <si>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</si>
  <si>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</si>
  <si>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</si>
  <si>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</si>
  <si>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</si>
  <si>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</si>
  <si>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</si>
  <si>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</si>
  <si>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</si>
  <si>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</si>
  <si>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</si>
  <si>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</si>
  <si>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</si>
  <si>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</si>
  <si>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</si>
  <si>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</si>
  <si>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</si>
  <si>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</si>
  <si>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</si>
  <si>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</si>
  <si>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</si>
  <si>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</si>
  <si>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</si>
  <si>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</si>
  <si>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</si>
  <si>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</si>
  <si>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</si>
  <si>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</si>
  <si>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</si>
  <si>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</si>
  <si>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</si>
  <si>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</si>
  <si>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</si>
  <si>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</si>
  <si>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</si>
  <si>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</si>
  <si>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</si>
  <si>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</si>
  <si>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</si>
  <si>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</si>
  <si>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</si>
  <si>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</si>
  <si>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</si>
  <si>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</si>
  <si>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</si>
  <si>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</si>
  <si>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</si>
  <si>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</si>
  <si>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</si>
  <si>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</si>
  <si>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</si>
  <si>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</si>
  <si>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</si>
  <si>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</si>
  <si>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</si>
  <si>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</si>
  <si>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</si>
  <si>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</si>
  <si>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</si>
  <si>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</si>
  <si>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</si>
  <si>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</si>
  <si>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</si>
  <si>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</si>
  <si>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</si>
  <si>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</si>
  <si>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</si>
  <si>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</si>
  <si>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</si>
  <si>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</si>
  <si>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</si>
  <si>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</si>
  <si>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</si>
  <si>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</si>
  <si>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</si>
  <si>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</si>
  <si>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</si>
  <si>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</si>
  <si>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</si>
  <si>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</si>
  <si>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</si>
  <si>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</si>
  <si>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</si>
  <si>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</si>
  <si>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</si>
  <si>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</si>
  <si>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</si>
  <si>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</si>
  <si>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</si>
  <si>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</si>
  <si>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</si>
  <si>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</si>
  <si>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</si>
  <si>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</si>
  <si>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</si>
  <si>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</si>
  <si>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</si>
  <si>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</si>
  <si>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</si>
  <si>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</si>
  <si>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</si>
  <si>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</si>
  <si>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</si>
  <si>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</si>
  <si>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</si>
  <si>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</si>
  <si>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</si>
  <si>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</si>
  <si>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</si>
  <si>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</si>
  <si>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</si>
  <si>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</si>
  <si>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</si>
  <si>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</si>
  <si>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</si>
  <si>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</si>
  <si>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</si>
  <si>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</si>
  <si>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</si>
  <si>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</si>
  <si>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</si>
  <si>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</si>
  <si>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</si>
  <si>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</si>
  <si>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</si>
  <si>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</si>
  <si>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</si>
  <si>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</si>
  <si>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</si>
  <si>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</si>
  <si>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</si>
  <si>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</si>
  <si>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</si>
  <si>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</si>
  <si>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</si>
  <si>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</si>
  <si>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</si>
  <si>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</si>
  <si>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</si>
  <si>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</si>
  <si>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</si>
  <si>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</si>
  <si>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</si>
  <si>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</si>
  <si>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</si>
  <si>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</si>
  <si>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</si>
  <si>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</si>
  <si>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</si>
  <si>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</si>
  <si>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</si>
  <si>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</si>
  <si>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</si>
  <si>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</si>
  <si>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</si>
  <si>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</si>
  <si>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</si>
  <si>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</si>
  <si>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</si>
  <si>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</si>
  <si>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</si>
  <si>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</si>
  <si>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</si>
  <si>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</si>
  <si>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</si>
  <si>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</si>
  <si>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</si>
  <si>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</si>
  <si>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</si>
  <si>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</si>
  <si>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</si>
  <si>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</si>
  <si>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</si>
  <si>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</si>
  <si>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</si>
  <si>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</si>
  <si>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</si>
  <si>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</si>
  <si>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</si>
  <si>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</si>
  <si>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</si>
  <si>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</si>
  <si>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</si>
  <si>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</si>
  <si>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</si>
  <si>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</si>
  <si>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</si>
  <si>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</si>
  <si>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</si>
  <si>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</si>
  <si>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</si>
  <si>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</si>
  <si>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</si>
  <si>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</si>
  <si>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</si>
  <si>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</si>
  <si>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</si>
  <si>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</si>
  <si>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</si>
  <si>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</si>
  <si>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</si>
  <si>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</si>
  <si>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</si>
  <si>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</si>
  <si>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</si>
  <si>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</si>
  <si>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</si>
  <si>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</si>
  <si>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</si>
  <si>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</si>
  <si>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</si>
  <si>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</si>
  <si>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</si>
  <si>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</si>
  <si>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</si>
  <si>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</si>
  <si>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</si>
  <si>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</si>
  <si>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</si>
  <si>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</si>
  <si>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</si>
  <si>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</si>
  <si>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</si>
  <si>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</si>
  <si>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</si>
  <si>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</si>
  <si>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</si>
  <si>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</si>
  <si>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</si>
  <si>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</si>
  <si>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</si>
  <si>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</si>
  <si>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</si>
  <si>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</si>
  <si>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</si>
  <si>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</si>
  <si>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</si>
  <si>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</si>
  <si>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</si>
  <si>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</si>
  <si>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</si>
  <si>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</si>
  <si>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</si>
  <si>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</si>
  <si>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</si>
  <si>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</si>
  <si>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</si>
  <si>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</si>
  <si>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</si>
  <si>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</si>
  <si>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</si>
  <si>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</si>
  <si>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</si>
  <si>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</si>
  <si>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</si>
  <si>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</si>
  <si>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</si>
  <si>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</si>
  <si>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</si>
  <si>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</si>
  <si>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</si>
  <si>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</si>
  <si>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</si>
  <si>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</si>
  <si>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</si>
  <si>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</si>
  <si>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</si>
  <si>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</si>
  <si>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</si>
  <si>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</si>
  <si>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</si>
  <si>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</si>
  <si>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</si>
  <si>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</si>
  <si>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</si>
  <si>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</si>
  <si>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</si>
  <si>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</si>
  <si>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</si>
  <si>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</si>
  <si>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</si>
  <si>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</si>
  <si>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</si>
  <si>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</si>
  <si>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</si>
  <si>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</si>
  <si>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</si>
  <si>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</si>
  <si>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</si>
  <si>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</si>
  <si>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</si>
  <si>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</si>
  <si>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</si>
  <si>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</si>
  <si>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</si>
  <si>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</si>
  <si>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</si>
  <si>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</si>
  <si>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</si>
  <si>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</si>
  <si>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</si>
  <si>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</si>
  <si>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</si>
  <si>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</si>
  <si>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</si>
  <si>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</si>
  <si>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</si>
  <si>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</si>
  <si>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</si>
  <si>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</si>
  <si>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</si>
  <si>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</si>
  <si>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</si>
  <si>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</si>
  <si>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</si>
  <si>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</si>
  <si>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</si>
  <si>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</si>
  <si>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</si>
  <si>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</si>
  <si>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</si>
  <si>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</si>
  <si>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</si>
  <si>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</si>
  <si>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</si>
  <si>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</si>
  <si>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</si>
  <si>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</si>
  <si>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</si>
  <si>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</si>
  <si>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</si>
  <si>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</si>
  <si>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</si>
  <si>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</si>
  <si>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</si>
  <si>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</si>
  <si>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</si>
  <si>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</si>
  <si>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</si>
  <si>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</si>
  <si>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</si>
  <si>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</si>
  <si>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</si>
  <si>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</si>
  <si>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</si>
  <si>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</si>
  <si>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</si>
  <si>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</si>
  <si>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</si>
  <si>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</si>
  <si>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</si>
  <si>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</si>
  <si>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</si>
  <si>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</si>
  <si>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</si>
  <si>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</si>
  <si>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</si>
  <si>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</si>
  <si>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</si>
  <si>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</si>
  <si>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</si>
  <si>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</si>
  <si>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</si>
  <si>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</si>
  <si>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</si>
  <si>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</si>
  <si>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</si>
  <si>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</si>
  <si>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</si>
  <si>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</si>
  <si>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</si>
  <si>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</si>
  <si>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</si>
  <si>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</si>
  <si>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</si>
  <si>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</si>
  <si>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</si>
  <si>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</si>
  <si>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</si>
  <si>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</si>
  <si>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</si>
  <si>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</si>
  <si>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</si>
  <si>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</si>
  <si>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</si>
  <si>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</si>
  <si>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</si>
  <si>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</si>
  <si>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</si>
  <si>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</si>
  <si>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</si>
  <si>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</si>
  <si>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</si>
  <si>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</si>
  <si>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</si>
  <si>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</si>
  <si>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</si>
  <si>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</si>
  <si>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</si>
  <si>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</si>
  <si>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</si>
  <si>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</si>
  <si>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</si>
  <si>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</si>
  <si>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</si>
  <si>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</si>
  <si>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</si>
  <si>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</si>
  <si>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</si>
  <si>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</si>
  <si>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</si>
  <si>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</si>
  <si>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</si>
  <si>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</si>
  <si>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</si>
  <si>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</si>
  <si>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</si>
  <si>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</si>
  <si>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</si>
  <si>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</si>
  <si>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</si>
  <si>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</si>
  <si>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</si>
  <si>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</si>
  <si>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</si>
  <si>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</si>
  <si>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</si>
  <si>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</si>
  <si>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</si>
  <si>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</si>
  <si>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</si>
  <si>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</si>
  <si>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</si>
  <si>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</si>
  <si>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</si>
  <si>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</si>
  <si>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</si>
  <si>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</si>
  <si>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</si>
  <si>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</si>
  <si>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</si>
  <si>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</si>
  <si>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</si>
  <si>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</si>
  <si>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</si>
  <si>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</si>
  <si>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</si>
  <si>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</si>
  <si>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</si>
  <si>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</si>
  <si>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</si>
  <si>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</si>
  <si>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</si>
  <si>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</si>
  <si>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</si>
  <si>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</si>
  <si>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</si>
  <si>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</si>
  <si>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</si>
  <si>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</si>
  <si>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</si>
  <si>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</si>
  <si>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</si>
  <si>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</si>
  <si>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</si>
  <si>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</si>
  <si>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</si>
  <si>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</si>
  <si>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</si>
  <si>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</si>
  <si>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</si>
  <si>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</si>
  <si>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</si>
  <si>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</si>
  <si>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</si>
  <si>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</si>
  <si>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</si>
  <si>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</si>
  <si>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</si>
  <si>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</si>
  <si>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</si>
  <si>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</si>
  <si>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</si>
  <si>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</si>
  <si>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</si>
  <si>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</si>
  <si>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</si>
  <si>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</si>
  <si>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</si>
  <si>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</si>
  <si>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</si>
  <si>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</si>
  <si>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</si>
  <si>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</si>
  <si>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</si>
  <si>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</si>
  <si>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</si>
  <si>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</si>
  <si>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</si>
  <si>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</si>
  <si>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</si>
  <si>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</si>
  <si>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</si>
  <si>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</si>
  <si>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</si>
  <si>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</si>
  <si>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</si>
  <si>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</si>
  <si>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</si>
  <si>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</si>
  <si>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</si>
  <si>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</si>
  <si>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</si>
  <si>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</si>
  <si>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</si>
  <si>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</si>
  <si>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</si>
  <si>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</si>
  <si>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</si>
  <si>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</si>
  <si>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</si>
  <si>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</si>
  <si>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</si>
  <si>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</si>
  <si>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</si>
  <si>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</si>
  <si>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</si>
  <si>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</si>
  <si>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</si>
  <si>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</si>
  <si>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</si>
  <si>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</si>
  <si>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</si>
  <si>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</si>
  <si>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</si>
  <si>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</si>
  <si>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</si>
  <si>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</si>
  <si>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</si>
  <si>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</si>
  <si>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</si>
  <si>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</si>
  <si>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</si>
  <si>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</si>
  <si>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</si>
  <si>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</si>
  <si>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</si>
  <si>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</si>
  <si>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</si>
  <si>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</si>
  <si>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</si>
  <si>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</si>
  <si>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</si>
  <si>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</si>
  <si>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</si>
  <si>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</si>
  <si>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</si>
  <si>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</si>
  <si>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</si>
  <si>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</si>
  <si>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</si>
  <si>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</si>
  <si>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</si>
  <si>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</si>
  <si>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</si>
  <si>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</si>
  <si>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</si>
  <si>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</si>
  <si>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</si>
  <si>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</si>
  <si>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</si>
  <si>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</si>
  <si>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</si>
  <si>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</si>
  <si>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</si>
  <si>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</si>
  <si>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</si>
  <si>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</si>
  <si>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</si>
  <si>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</si>
  <si>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</si>
  <si>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</si>
  <si>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</si>
  <si>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</si>
  <si>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</si>
  <si>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</si>
  <si>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</si>
  <si>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</si>
  <si>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</si>
  <si>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</si>
  <si>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</si>
  <si>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</si>
  <si>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</si>
  <si>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</si>
  <si>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</si>
  <si>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</si>
  <si>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</si>
  <si>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</si>
  <si>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</si>
  <si>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</si>
  <si>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</si>
  <si>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</si>
  <si>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</si>
  <si>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</si>
  <si>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</si>
  <si>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</si>
  <si>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</si>
  <si>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</si>
  <si>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</si>
  <si>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</si>
  <si>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</si>
  <si>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</si>
  <si>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</si>
  <si>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</si>
  <si>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</si>
  <si>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</si>
  <si>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</si>
  <si>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</si>
  <si>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</si>
  <si>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</si>
  <si>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</si>
  <si>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</si>
  <si>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</si>
  <si>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</si>
  <si>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</si>
  <si>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</si>
  <si>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</si>
  <si>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</si>
  <si>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</si>
  <si>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</si>
  <si>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</si>
  <si>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</si>
  <si>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</si>
  <si>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</si>
  <si>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</si>
  <si>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</si>
  <si>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</si>
  <si>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</si>
  <si>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</si>
  <si>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</si>
  <si>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</si>
  <si>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</si>
  <si>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</si>
  <si>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</si>
  <si>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</si>
  <si>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</si>
  <si>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</si>
  <si>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</si>
  <si>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</si>
  <si>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</si>
  <si>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</si>
  <si>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</si>
  <si>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</si>
  <si>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</si>
  <si>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</si>
  <si>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</si>
  <si>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</si>
  <si>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</si>
  <si>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</si>
  <si>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</si>
  <si>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</si>
  <si>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</si>
  <si>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</si>
  <si>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</si>
  <si>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</si>
  <si>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</si>
  <si>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</si>
  <si>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</si>
  <si>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</si>
  <si>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</si>
  <si>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</si>
  <si>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</si>
  <si>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</si>
  <si>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</si>
  <si>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</si>
  <si>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</si>
  <si>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</si>
  <si>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</si>
  <si>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</si>
  <si>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</si>
  <si>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</si>
  <si>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</si>
  <si>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</si>
  <si>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</si>
  <si>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</si>
  <si>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</si>
  <si>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</si>
  <si>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</si>
  <si>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</si>
  <si>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</si>
  <si>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</si>
  <si>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</si>
  <si>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</si>
  <si>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</si>
  <si>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</si>
  <si>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</si>
  <si>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</si>
  <si>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</si>
  <si>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</si>
  <si>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</si>
  <si>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</si>
  <si>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</si>
  <si>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</si>
  <si>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</si>
  <si>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</si>
  <si>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</si>
  <si>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</si>
  <si>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</si>
  <si>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</si>
  <si>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</si>
  <si>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</si>
  <si>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</si>
  <si>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</si>
  <si>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</si>
  <si>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</si>
  <si>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</si>
  <si>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</si>
  <si>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</si>
  <si>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</si>
  <si>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</si>
  <si>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</si>
  <si>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</si>
  <si>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</si>
  <si>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</si>
  <si>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</si>
  <si>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</si>
  <si>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</si>
  <si>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</si>
  <si>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</si>
  <si>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</si>
  <si>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</si>
  <si>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</si>
  <si>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</si>
  <si>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</si>
  <si>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</si>
  <si>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</si>
  <si>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</si>
  <si>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</si>
  <si>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</si>
  <si>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</si>
  <si>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</si>
  <si>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</si>
  <si>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</si>
  <si>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</si>
  <si>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</si>
  <si>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</si>
  <si>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</si>
  <si>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</si>
  <si>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</si>
  <si>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</si>
  <si>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</si>
  <si>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</si>
  <si>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</si>
  <si>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</si>
  <si>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</si>
  <si>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</si>
  <si>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</si>
  <si>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</si>
  <si>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</si>
  <si>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</si>
  <si>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</si>
  <si>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</si>
  <si>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</si>
  <si>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</si>
  <si>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</si>
  <si>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</si>
  <si>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</si>
  <si>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</si>
  <si>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</si>
  <si>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</si>
  <si>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</si>
  <si>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</si>
  <si>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</si>
  <si>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</si>
  <si>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</si>
  <si>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</si>
  <si>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</si>
  <si>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</si>
  <si>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</si>
  <si>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</si>
  <si>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</si>
  <si>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</si>
  <si>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</si>
  <si>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</si>
  <si>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</si>
  <si>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</si>
  <si>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</si>
  <si>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</si>
  <si>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</si>
  <si>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</si>
  <si>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</si>
  <si>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</si>
  <si>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</si>
  <si>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</si>
  <si>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</si>
  <si>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</si>
  <si>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</si>
  <si>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</si>
  <si>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</si>
  <si>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</si>
  <si>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</si>
  <si>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</si>
  <si>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</si>
  <si>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</si>
  <si>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</si>
  <si>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</si>
  <si>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</si>
  <si>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</si>
  <si>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</si>
  <si>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</si>
  <si>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</si>
  <si>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</si>
  <si>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</si>
  <si>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</si>
  <si>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</si>
  <si>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</si>
  <si>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</si>
  <si>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</si>
  <si>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</si>
  <si>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</si>
  <si>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</si>
  <si>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</si>
  <si>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</si>
  <si>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</si>
  <si>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</si>
  <si>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</si>
  <si>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</si>
  <si>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</si>
  <si>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</si>
  <si>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</si>
  <si>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</si>
  <si>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</si>
  <si>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</si>
  <si>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</si>
  <si>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</si>
  <si>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</si>
  <si>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</si>
  <si>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</si>
  <si>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</si>
  <si>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</si>
  <si>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</si>
  <si>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</si>
  <si>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</si>
  <si>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</si>
  <si>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</si>
  <si>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</si>
  <si>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</si>
  <si>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</si>
  <si>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</si>
  <si>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</si>
  <si>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</si>
  <si>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</si>
  <si>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</si>
  <si>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</si>
  <si>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</si>
  <si>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</si>
  <si>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</si>
  <si>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</si>
  <si>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</si>
  <si>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</si>
  <si>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</si>
  <si>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</si>
  <si>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</si>
  <si>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</si>
  <si>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</si>
  <si>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</si>
  <si>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</si>
  <si>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</si>
  <si>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</si>
  <si>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</si>
  <si>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</si>
  <si>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</si>
  <si>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</si>
  <si>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</si>
  <si>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</si>
  <si>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</si>
  <si>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</si>
  <si>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</si>
  <si>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</si>
  <si>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</si>
  <si>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</si>
  <si>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</si>
  <si>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</si>
  <si>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</si>
  <si>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</si>
  <si>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</si>
  <si>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</si>
  <si>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</si>
  <si>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</si>
  <si>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</si>
  <si>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</si>
  <si>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</si>
  <si>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</si>
  <si>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</si>
  <si>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</si>
  <si>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</si>
  <si>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</si>
  <si>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</si>
  <si>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</si>
  <si>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</si>
  <si>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</si>
  <si>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</si>
  <si>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</si>
  <si>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</si>
  <si>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</si>
  <si>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</si>
  <si>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</si>
  <si>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</si>
  <si>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</si>
  <si>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</si>
  <si>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</si>
  <si>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</si>
  <si>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</si>
  <si>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</si>
  <si>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</si>
  <si>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</si>
  <si>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</si>
  <si>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</si>
  <si>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</si>
  <si>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</si>
  <si>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</si>
  <si>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</si>
  <si>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</si>
  <si>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</si>
  <si>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</si>
  <si>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</si>
  <si>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</si>
  <si>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</si>
  <si>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</si>
  <si>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</si>
  <si>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</si>
  <si>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</si>
  <si>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</si>
  <si>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</si>
  <si>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</si>
  <si>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</si>
  <si>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</si>
  <si>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</si>
  <si>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</si>
  <si>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</si>
  <si>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</si>
  <si>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</si>
  <si>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</si>
  <si>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</si>
  <si>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</si>
  <si>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</si>
  <si>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</si>
  <si>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</si>
  <si>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</si>
  <si>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</si>
  <si>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</si>
  <si>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</si>
  <si>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</si>
  <si>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</si>
  <si>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</si>
  <si>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</si>
  <si>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</si>
  <si>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</si>
  <si>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</si>
  <si>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</si>
  <si>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</si>
  <si>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</si>
  <si>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</si>
  <si>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</si>
  <si>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</si>
  <si>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</si>
  <si>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</si>
  <si>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</si>
  <si>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</si>
  <si>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</si>
  <si>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</si>
  <si>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</si>
  <si>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</si>
  <si>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</si>
  <si>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</si>
  <si>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</si>
  <si>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</si>
  <si>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</si>
  <si>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</si>
  <si>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</si>
  <si>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</si>
  <si>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</si>
  <si>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</si>
  <si>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</si>
  <si>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</si>
  <si>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</si>
  <si>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</si>
  <si>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</si>
  <si>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</si>
  <si>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</si>
  <si>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</si>
  <si>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</si>
  <si>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</si>
  <si>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</si>
  <si>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</si>
  <si>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</si>
  <si>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</si>
  <si>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</si>
  <si>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</si>
  <si>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</si>
  <si>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</si>
  <si>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</si>
  <si>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</si>
  <si>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</si>
  <si>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</si>
  <si>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</si>
  <si>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</si>
  <si>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</si>
  <si>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</si>
  <si>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</si>
  <si>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</si>
  <si>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</si>
  <si>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</si>
  <si>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</si>
  <si>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</si>
  <si>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</si>
  <si>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</si>
  <si>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</si>
  <si>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</si>
  <si>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</si>
  <si>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</si>
  <si>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</si>
  <si>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</si>
  <si>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</si>
  <si>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</si>
  <si>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</si>
  <si>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</si>
  <si>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</si>
  <si>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</si>
  <si>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</si>
  <si>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</si>
  <si>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</si>
  <si>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</si>
  <si>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</si>
  <si>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</si>
  <si>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</si>
  <si>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</si>
  <si>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</si>
  <si>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</si>
  <si>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</si>
  <si>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</si>
  <si>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</si>
  <si>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</si>
  <si>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</si>
  <si>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</si>
  <si>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</si>
  <si>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</si>
  <si>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</si>
  <si>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</si>
  <si>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</si>
  <si>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</si>
  <si>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</si>
  <si>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</si>
  <si>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</si>
  <si>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</si>
  <si>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</si>
  <si>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</si>
  <si>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</si>
  <si>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</si>
  <si>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</si>
  <si>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</si>
  <si>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</si>
  <si>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</si>
  <si>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</si>
  <si>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</si>
  <si>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</si>
  <si>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</si>
  <si>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</si>
  <si>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</si>
  <si>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</si>
  <si>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</si>
  <si>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</si>
  <si>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</si>
  <si>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</si>
  <si>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</si>
  <si>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</si>
  <si>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</si>
  <si>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</si>
  <si>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</si>
  <si>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</si>
  <si>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</si>
  <si>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</si>
  <si>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</si>
  <si>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</si>
  <si>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</si>
  <si>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</si>
  <si>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</si>
  <si>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</si>
  <si>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</si>
  <si>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</si>
  <si>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</si>
  <si>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</si>
  <si>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</si>
  <si>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</si>
  <si>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</si>
  <si>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</si>
  <si>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</si>
  <si>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</si>
  <si>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</si>
  <si>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</si>
  <si>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</si>
  <si>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</si>
  <si>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</si>
  <si>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</si>
  <si>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</si>
  <si>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</si>
  <si>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</si>
  <si>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</si>
  <si>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</si>
  <si>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</si>
  <si>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</si>
  <si>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</si>
  <si>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</si>
  <si>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</si>
  <si>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</si>
  <si>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</si>
  <si>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</si>
  <si>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</si>
  <si>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</si>
  <si>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</si>
  <si>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</si>
  <si>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</si>
  <si>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</si>
  <si>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</si>
  <si>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</si>
  <si>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</si>
  <si>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</si>
  <si>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</si>
  <si>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</si>
  <si>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</si>
  <si>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</si>
  <si>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</si>
  <si>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</si>
  <si>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</si>
  <si>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</si>
  <si>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</si>
  <si>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</si>
  <si>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</si>
  <si>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</si>
  <si>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</si>
  <si>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</si>
  <si>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</si>
  <si>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</si>
  <si>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</si>
  <si>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</si>
  <si>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</si>
  <si>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</si>
  <si>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</si>
  <si>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</si>
  <si>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</si>
  <si>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</si>
  <si>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</si>
  <si>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</si>
  <si>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</si>
  <si>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</si>
  <si>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</si>
  <si>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</si>
  <si>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</si>
  <si>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</si>
  <si>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</si>
  <si>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</si>
  <si>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</si>
  <si>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</si>
  <si>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</si>
  <si>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</si>
  <si>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</si>
  <si>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</si>
  <si>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</si>
  <si>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</si>
  <si>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</si>
  <si>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</si>
  <si>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</si>
  <si>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</si>
  <si>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</si>
  <si>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</si>
  <si>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</si>
  <si>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</si>
  <si>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</si>
  <si>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</si>
  <si>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</si>
  <si>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</si>
  <si>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</si>
  <si>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</si>
  <si>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</si>
  <si>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</si>
  <si>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</si>
  <si>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</si>
  <si>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</si>
  <si>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</si>
  <si>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</si>
  <si>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</si>
  <si>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</si>
  <si>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</si>
  <si>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</si>
  <si>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</si>
  <si>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</si>
  <si>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</si>
  <si>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</si>
  <si>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</si>
  <si>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</si>
  <si>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</si>
  <si>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</si>
  <si>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</si>
  <si>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</si>
  <si>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</si>
  <si>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</si>
  <si>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</si>
  <si>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</si>
  <si>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</si>
  <si>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</si>
  <si>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</si>
  <si>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</si>
  <si>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</si>
  <si>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</si>
  <si>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</si>
  <si>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</si>
  <si>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</si>
  <si>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</si>
  <si>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</si>
  <si>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</si>
  <si>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</si>
  <si>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</si>
  <si>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</si>
  <si>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</si>
  <si>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</si>
  <si>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</si>
  <si>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</si>
  <si>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</si>
  <si>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</si>
  <si>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</si>
  <si>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</si>
  <si>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</si>
  <si>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</si>
  <si>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</si>
  <si>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</si>
  <si>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</si>
  <si>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</si>
  <si>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</si>
  <si>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</si>
  <si>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</si>
  <si>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</si>
  <si>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</si>
  <si>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</si>
  <si>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</si>
  <si>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</si>
  <si>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</si>
  <si>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</si>
  <si>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</si>
  <si>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</si>
  <si>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</si>
  <si>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</si>
  <si>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</si>
  <si>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</si>
  <si>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</si>
  <si>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</si>
  <si>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</si>
  <si>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</si>
  <si>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</si>
  <si>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</si>
  <si>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</si>
  <si>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</si>
  <si>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</si>
  <si>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</si>
  <si>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</si>
  <si>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</si>
  <si>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</si>
  <si>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</si>
  <si>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</si>
  <si>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企业提供</t>
    <phoneticPr fontId="3" type="noConversion"/>
  </si>
  <si>
    <t>否</t>
  </si>
  <si>
    <t>地上</t>
  </si>
  <si>
    <t>普通住宅</t>
  </si>
  <si>
    <t>商业</t>
  </si>
  <si>
    <t>底商</t>
  </si>
  <si>
    <t>高层住宅</t>
  </si>
  <si>
    <t>高层住宅</t>
    <phoneticPr fontId="7" type="noConversion"/>
  </si>
  <si>
    <t>底商</t>
    <phoneticPr fontId="7" type="noConversion"/>
  </si>
  <si>
    <t>不动产收益法</t>
  </si>
  <si>
    <t>已部分缴纳</t>
  </si>
  <si>
    <t>双面临街</t>
  </si>
  <si>
    <t>六通</t>
  </si>
  <si>
    <t>较好</t>
  </si>
  <si>
    <t>出让</t>
  </si>
  <si>
    <t>抵押</t>
  </si>
  <si>
    <t>抵押价格</t>
  </si>
  <si>
    <t>其他：</t>
  </si>
  <si>
    <t>广东省潮州市</t>
    <phoneticPr fontId="6" type="noConversion"/>
  </si>
  <si>
    <t>企业</t>
  </si>
  <si>
    <t>潮州市景德房地产有限公司</t>
    <phoneticPr fontId="6" type="noConversion"/>
  </si>
  <si>
    <t>潮州市东山旅游度假区A6、B7</t>
    <phoneticPr fontId="6" type="noConversion"/>
  </si>
  <si>
    <t>城镇住宅用地</t>
    <phoneticPr fontId="6" type="noConversion"/>
  </si>
  <si>
    <t>一致</t>
  </si>
  <si>
    <t>《国有土地使用证》[粤（2018）潮州市不动产权第0004594号]</t>
    <phoneticPr fontId="6" type="noConversion"/>
  </si>
  <si>
    <t>押一</t>
  </si>
  <si>
    <t>按租金收入计税</t>
  </si>
  <si>
    <t>钢混</t>
  </si>
  <si>
    <t>龙光阳光御府</t>
    <phoneticPr fontId="3" type="noConversion"/>
  </si>
  <si>
    <t>潮州恒大城</t>
    <phoneticPr fontId="3" type="noConversion"/>
  </si>
  <si>
    <t>碧桂园韩东府</t>
    <phoneticPr fontId="3" type="noConversion"/>
  </si>
  <si>
    <t>潮州市韩东新城</t>
    <phoneticPr fontId="3" type="noConversion"/>
  </si>
  <si>
    <t>潮州市韩东新城金马大道</t>
    <phoneticPr fontId="3" type="noConversion"/>
  </si>
  <si>
    <t>潮州市韩东新城东山路</t>
    <phoneticPr fontId="3" type="noConversion"/>
  </si>
  <si>
    <t>正常</t>
  </si>
  <si>
    <t>住宅</t>
    <phoneticPr fontId="21" type="noConversion"/>
  </si>
  <si>
    <t>60-70（含）</t>
  </si>
  <si>
    <t>50-60（含）</t>
  </si>
  <si>
    <t>腾瑞四季园</t>
    <phoneticPr fontId="3" type="noConversion"/>
  </si>
  <si>
    <t>高层</t>
  </si>
  <si>
    <t>高层</t>
    <phoneticPr fontId="21" type="noConversion"/>
  </si>
  <si>
    <t>钢</t>
    <phoneticPr fontId="21" type="noConversion"/>
  </si>
  <si>
    <t>钢混</t>
    <phoneticPr fontId="21" type="noConversion"/>
  </si>
  <si>
    <t>混合</t>
    <phoneticPr fontId="21" type="noConversion"/>
  </si>
  <si>
    <t>精装修</t>
  </si>
  <si>
    <t>精装修</t>
    <phoneticPr fontId="21" type="noConversion"/>
  </si>
  <si>
    <t>普通装修</t>
    <phoneticPr fontId="21" type="noConversion"/>
  </si>
  <si>
    <t>简单装修</t>
    <phoneticPr fontId="21" type="noConversion"/>
  </si>
  <si>
    <r>
      <rPr>
        <sz val="11"/>
        <rFont val="宋体"/>
        <family val="3"/>
        <charset val="134"/>
      </rPr>
      <t>装修中</t>
    </r>
    <r>
      <rPr>
        <sz val="11"/>
        <rFont val="Arial"/>
        <family val="2"/>
      </rPr>
      <t>/</t>
    </r>
    <r>
      <rPr>
        <sz val="11"/>
        <rFont val="宋体"/>
        <family val="3"/>
        <charset val="134"/>
      </rPr>
      <t>毛坯</t>
    </r>
    <phoneticPr fontId="21" type="noConversion"/>
  </si>
  <si>
    <t>装修中/毛坯</t>
  </si>
  <si>
    <t>售价</t>
  </si>
  <si>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</si>
  <si>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</si>
  <si>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</si>
  <si>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</si>
  <si>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</si>
  <si>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</si>
  <si>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</si>
  <si>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</si>
  <si>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高档</t>
  </si>
  <si>
    <t>高档</t>
    <phoneticPr fontId="21" type="noConversion"/>
  </si>
  <si>
    <t>中档</t>
  </si>
  <si>
    <t>中档</t>
    <phoneticPr fontId="21" type="noConversion"/>
  </si>
  <si>
    <t>低档</t>
    <phoneticPr fontId="21" type="noConversion"/>
  </si>
  <si>
    <t>104-150</t>
    <phoneticPr fontId="21" type="noConversion"/>
  </si>
  <si>
    <t>110-230</t>
    <phoneticPr fontId="21" type="noConversion"/>
  </si>
  <si>
    <t>剩余法-待开发</t>
  </si>
  <si>
    <t>比较法-住宅、综合</t>
  </si>
  <si>
    <t>龙光阳光御府</t>
    <phoneticPr fontId="3" type="noConversion"/>
  </si>
  <si>
    <t>潮州市韩东新区</t>
    <phoneticPr fontId="3" type="noConversion"/>
  </si>
  <si>
    <t>2015-12</t>
    <phoneticPr fontId="26" type="noConversion"/>
  </si>
  <si>
    <t>住宅用地</t>
  </si>
  <si>
    <t>住宅用地</t>
    <phoneticPr fontId="26" type="noConversion"/>
  </si>
  <si>
    <t>70</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</si>
  <si>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</si>
  <si>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</si>
  <si>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</si>
  <si>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</si>
  <si>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</si>
  <si>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</si>
  <si>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东山路</t>
    <phoneticPr fontId="26" type="noConversion"/>
  </si>
  <si>
    <r>
      <rPr>
        <sz val="11"/>
        <color theme="9" tint="-0.249977111117893"/>
        <rFont val="宋体"/>
        <family val="3"/>
        <charset val="134"/>
      </rPr>
      <t>东山路</t>
    </r>
    <r>
      <rPr>
        <sz val="11"/>
        <color theme="9" tint="-0.249977111117893"/>
        <rFont val="Arial"/>
        <family val="2"/>
      </rPr>
      <t>-</t>
    </r>
    <r>
      <rPr>
        <sz val="11"/>
        <color theme="9" tint="-0.249977111117893"/>
        <rFont val="宋体"/>
        <family val="3"/>
        <charset val="134"/>
      </rPr>
      <t>主干道</t>
    </r>
    <phoneticPr fontId="21" type="noConversion"/>
  </si>
  <si>
    <t>估价对象有主干道东山路和次干道金马大道、有12、13、108等公交车经停、停车便捷程度较好，综合评价交通便捷度较好</t>
    <phoneticPr fontId="3" type="noConversion"/>
  </si>
  <si>
    <t>估价对象所在区域公共配套设施齐备较齐全（有金山中学、中国银行、韩溪眼科医院）</t>
    <phoneticPr fontId="3" type="noConversion"/>
  </si>
  <si>
    <t>区域自然环境：；人文环境（潮州市行政学院、慧如公园）；综合评价环境状况较好</t>
    <phoneticPr fontId="3" type="noConversion"/>
  </si>
  <si>
    <t>单面临街</t>
  </si>
  <si>
    <t>规则</t>
    <phoneticPr fontId="26" type="noConversion"/>
  </si>
  <si>
    <t>较规则</t>
  </si>
  <si>
    <t>较规则</t>
    <phoneticPr fontId="26" type="noConversion"/>
  </si>
  <si>
    <t>不规则</t>
    <phoneticPr fontId="26" type="noConversion"/>
  </si>
  <si>
    <t>70</t>
    <phoneticPr fontId="26"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</si>
  <si>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</si>
  <si>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</si>
  <si>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</si>
  <si>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</si>
  <si>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</si>
  <si>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</si>
  <si>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</si>
  <si>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</si>
  <si>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</si>
  <si>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</si>
  <si>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</si>
  <si>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</si>
  <si>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</si>
  <si>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</si>
  <si>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</si>
  <si>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</si>
  <si>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</si>
  <si>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</si>
  <si>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</si>
  <si>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</si>
  <si>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</si>
  <si>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</si>
  <si>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</si>
  <si>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</si>
  <si>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</si>
  <si>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</si>
  <si>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</si>
  <si>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</si>
  <si>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</si>
  <si>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</si>
  <si>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</si>
  <si>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</si>
  <si>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</si>
  <si>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</si>
  <si>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</si>
  <si>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</si>
  <si>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</si>
  <si>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</si>
  <si>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</si>
  <si>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</si>
  <si>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</si>
  <si>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</si>
  <si>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</si>
  <si>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桥东街道东山路东侧</t>
  </si>
  <si>
    <t>潮州市</t>
  </si>
  <si>
    <t>湘桥区</t>
  </si>
  <si>
    <t>挂牌</t>
  </si>
  <si>
    <t>DS-1-1</t>
  </si>
  <si>
    <t>＞1且≤4</t>
  </si>
  <si>
    <t>≤35%</t>
  </si>
  <si>
    <t>≤100米</t>
  </si>
  <si>
    <t>未开工</t>
  </si>
  <si>
    <t>2018-10-26</t>
  </si>
  <si>
    <t>2018-11-16</t>
  </si>
  <si>
    <t>2018-11-29</t>
  </si>
  <si>
    <t>潮国告字[2018]18号</t>
  </si>
  <si>
    <t>已成交</t>
  </si>
  <si>
    <t>广东腾瑞投资有限公司</t>
  </si>
  <si>
    <t>70年</t>
  </si>
  <si>
    <t>枫溪区新风路南侧地段(原面粉厂)</t>
  </si>
  <si>
    <t>枫溪区</t>
  </si>
  <si>
    <t>FX01</t>
  </si>
  <si>
    <t>其他普通商品住房用地</t>
  </si>
  <si>
    <t>≤80米</t>
  </si>
  <si>
    <t>2018-07-11</t>
  </si>
  <si>
    <t>2018-07-31</t>
  </si>
  <si>
    <t>2018-08-13</t>
  </si>
  <si>
    <t>枫国土告[2018]3号</t>
  </si>
  <si>
    <t>广东中梁地产有限公司</t>
  </si>
  <si>
    <t>潮安区东山湖特色产业基地</t>
  </si>
  <si>
    <t>潮安县</t>
  </si>
  <si>
    <t>CA2018-T04</t>
  </si>
  <si>
    <t>大于1并且小于或等于4</t>
  </si>
  <si>
    <t>小于或等于28</t>
  </si>
  <si>
    <t>2018-07-10</t>
  </si>
  <si>
    <t>2018-07-30</t>
  </si>
  <si>
    <t>2018-08-10</t>
  </si>
  <si>
    <t>安国网挂出告字[2018]2号</t>
  </si>
  <si>
    <t>中梁地产</t>
  </si>
  <si>
    <t>意溪镇意东三路东侧</t>
  </si>
  <si>
    <t>GYMS1-7</t>
  </si>
  <si>
    <t>＞1且≤3.5</t>
  </si>
  <si>
    <t>2018-05-26</t>
  </si>
  <si>
    <t>2018-06-19</t>
  </si>
  <si>
    <t>2018-07-02</t>
  </si>
  <si>
    <t>潮国告字[2018]2号-5</t>
  </si>
  <si>
    <t>潮州市中海信置业有限公司</t>
  </si>
  <si>
    <t>县城城西片区饶平大道西侧、南信华府小区南侧</t>
  </si>
  <si>
    <t>饶平县</t>
  </si>
  <si>
    <t>2017Z016</t>
  </si>
  <si>
    <t>大于1并且小于或等于4.5</t>
  </si>
  <si>
    <t>小于或等于40</t>
  </si>
  <si>
    <t>小于或等于90</t>
  </si>
  <si>
    <t>开工中</t>
  </si>
  <si>
    <t>2017-09-08</t>
  </si>
  <si>
    <t>2017-09-28</t>
  </si>
  <si>
    <t>2017-10-17</t>
  </si>
  <si>
    <t>饶国网挂出告[2017]07号</t>
  </si>
  <si>
    <t>饶平大肚林农林生态有限公司</t>
  </si>
  <si>
    <t>饶平县黄冈镇新港西路(原汕头利平实业发展有限公司)</t>
  </si>
  <si>
    <t>2017Z005</t>
  </si>
  <si>
    <t>小于或等于22</t>
  </si>
  <si>
    <t>2017-03-23</t>
  </si>
  <si>
    <t>2017-04-12</t>
  </si>
  <si>
    <t>2017-04-25</t>
  </si>
  <si>
    <t>饶国网挂出告[2017]01号</t>
  </si>
  <si>
    <t>潮州田园地产有限公司</t>
  </si>
  <si>
    <t>潮安城区金里路与龙桥路交界东北角</t>
  </si>
  <si>
    <t>AB2016-A</t>
  </si>
  <si>
    <t>2017-02-21</t>
  </si>
  <si>
    <t>2017-03-13</t>
  </si>
  <si>
    <t>2017-03-24</t>
  </si>
  <si>
    <t>安国网挂出告字[2017]2号</t>
  </si>
  <si>
    <t>梅州市碧桂园房地产开发有限公司</t>
  </si>
  <si>
    <t>湘桥区凤新街道五斗山片区</t>
  </si>
  <si>
    <t>WDS2</t>
  </si>
  <si>
    <t>≥22%且≤35%</t>
  </si>
  <si>
    <t>2016-04-17</t>
  </si>
  <si>
    <t>2016-05-09</t>
  </si>
  <si>
    <t>2016-05-20</t>
  </si>
  <si>
    <t>潮国告字[2016]4号-2</t>
  </si>
  <si>
    <t>恒大地产集团粤东有限公司</t>
  </si>
  <si>
    <t>WDS1</t>
  </si>
  <si>
    <t>wds1-1地块:＞1且≤3.5;wds1-2地块:＞1且≤4</t>
  </si>
  <si>
    <t>潮国告字[2016]4号-1</t>
  </si>
  <si>
    <t>佛山顺德区碧桂园地产有限公司</t>
  </si>
  <si>
    <t>湘桥区意东三路南段</t>
  </si>
  <si>
    <t>QD-3</t>
  </si>
  <si>
    <t>＞1,＜3.5</t>
  </si>
  <si>
    <t/>
  </si>
  <si>
    <t>已完工</t>
  </si>
  <si>
    <t>2015-11-21</t>
  </si>
  <si>
    <t>2015-12-11</t>
  </si>
  <si>
    <t>2015-12-24</t>
  </si>
  <si>
    <t>潮国告字[2015]11号-1</t>
  </si>
  <si>
    <t>潮州市韩东新区建设投资开发有限公司</t>
  </si>
  <si>
    <t>QD-4</t>
  </si>
  <si>
    <t>潮国告字[2015]11号-2</t>
  </si>
  <si>
    <t>QD-6</t>
  </si>
  <si>
    <t>潮国告字[2015]11号-4</t>
  </si>
  <si>
    <t>QD-5</t>
  </si>
  <si>
    <t>潮国告字[2015]11号-3</t>
  </si>
  <si>
    <t>湘桥区桥东街道“美人城”</t>
  </si>
  <si>
    <t>QDMRC-001-001</t>
  </si>
  <si>
    <t>≥1,≤3.5</t>
  </si>
  <si>
    <t>2015-09-25</t>
  </si>
  <si>
    <t>2015-10-15</t>
  </si>
  <si>
    <t>2015-10-28</t>
  </si>
  <si>
    <t>潮国告字[2015]10号</t>
  </si>
  <si>
    <t>广东大唐国际潮州发电有限责任公司</t>
  </si>
  <si>
    <t>潮安区庵埠镇林厝村庵凤路东侧</t>
  </si>
  <si>
    <t>庵埠镇林厝村C地块</t>
  </si>
  <si>
    <t>等于7.5</t>
  </si>
  <si>
    <t>2015-02-13</t>
  </si>
  <si>
    <t>2015-03-05</t>
  </si>
  <si>
    <t>2015-03-18</t>
  </si>
  <si>
    <t>安国网挂出告字[2015]2号</t>
  </si>
  <si>
    <t>林炎浩</t>
  </si>
  <si>
    <t>楼面地价</t>
  </si>
  <si>
    <t>估价对象周边居住用地比例较多、居住小区规模较大和社区发展完善程度较完善，综合评价居住社区成熟度较好</t>
    <phoneticPr fontId="26" type="noConversion"/>
  </si>
  <si>
    <t>估价对象有主干道东山路和次干道金马大道、有12、13、108等公交车经停、停车便捷程度较好，综合评价交通便捷度较好</t>
  </si>
  <si>
    <t>一致</t>
    <phoneticPr fontId="21" type="noConversion"/>
  </si>
  <si>
    <t>估价对象周边居住用地比例较多、周边有腾瑞四季园、恒大等小区，社区发展完善程度较完善，综合评价居住社区成熟度较好</t>
  </si>
  <si>
    <t>估价对象周边居住用地比例较多、周边有腾瑞四季园、恒大等小区，社区发展完善程度较完善，综合评价居住社区成熟度较好</t>
    <phoneticPr fontId="3" type="noConversion"/>
  </si>
  <si>
    <t>一致</t>
    <phoneticPr fontId="26" type="noConversion"/>
  </si>
  <si>
    <t>新风路</t>
    <phoneticPr fontId="26" type="noConversion"/>
  </si>
  <si>
    <t>较一致</t>
    <phoneticPr fontId="26" type="noConversion"/>
  </si>
  <si>
    <t>一般</t>
  </si>
  <si>
    <t>新港西路</t>
    <phoneticPr fontId="26" type="noConversion"/>
  </si>
  <si>
    <t>估价对象有主干道新风路、有6路、饶平8路等公交车经停、停车便捷程度较好，综合评价交通便捷度较好</t>
    <phoneticPr fontId="26" type="noConversion"/>
  </si>
  <si>
    <t>估价对象所在区域基础设施水平较高</t>
  </si>
  <si>
    <t>估价对象所在区域基础设施水平较高</t>
    <phoneticPr fontId="3" type="noConversion"/>
  </si>
  <si>
    <t>估价对象所在区域公共配套设施齐备较齐全（有金山中学、中国银行、韩溪眼科医院）</t>
  </si>
  <si>
    <t>估价对象所在区域公共配套设施齐备较齐全（有凤洲中学、中国农业银行、凤洲卫生院）</t>
    <phoneticPr fontId="26" type="noConversion"/>
  </si>
  <si>
    <t>区域自然环境：；人文环境（潮州市行政学院、慧如公园）；综合评价环境状况较好</t>
  </si>
  <si>
    <t>较一致</t>
    <phoneticPr fontId="26" type="noConversion"/>
  </si>
  <si>
    <t>区域自然环境、人文环境一般，综合评价环境状况一般</t>
    <phoneticPr fontId="26" type="noConversion"/>
  </si>
  <si>
    <t>估价对象所在区域公共配套设施齐备较齐全（有藏龙学校、中国建设银行、潮州妇产医院）</t>
    <phoneticPr fontId="26" type="noConversion"/>
  </si>
  <si>
    <t>估价对象周边居住用地比例较少、周边住宅小区较少，社区发展完善程度较完善，综合评价居住社区成熟度一般</t>
    <phoneticPr fontId="26" type="noConversion"/>
  </si>
  <si>
    <t>一级</t>
    <phoneticPr fontId="26" type="noConversion"/>
  </si>
  <si>
    <t>二级</t>
    <phoneticPr fontId="26" type="noConversion"/>
  </si>
  <si>
    <t>三级</t>
    <phoneticPr fontId="26" type="noConversion"/>
  </si>
  <si>
    <t>七通</t>
  </si>
  <si>
    <t>五通</t>
  </si>
  <si>
    <t>四通</t>
  </si>
  <si>
    <t>三通</t>
  </si>
  <si>
    <t>较好</t>
    <phoneticPr fontId="26"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</si>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</sst>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2"/>
      <color indexed="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0" borderId="9" xfId="0" applyNumberFormat="1" applyFont="1" applyFill="1" applyBorder="1" applyAlignment="1" applyProtection="1">
      <alignment horizontal="center" vertical="center" wrapText="1"/>
      <protection locked="0"/>
    </xf>
    <xf numFmtId="0" fontId="86" fillId="0" borderId="0" xfId="0" applyFont="1" applyAlignment="1"/>
    <xf numFmtId="0" fontId="86" fillId="6" borderId="0" xfId="0" applyFont="1" applyFill="1" applyAlignment="1"/>
    <xf numFmtId="0" fontId="86" fillId="0" borderId="0" xfId="0" applyFont="1" applyFill="1" applyAlignment="1"/>
    <xf numFmtId="0" fontId="0" fillId="0" borderId="0" xfId="0" applyFill="1" applyAlignment="1"/>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4" fillId="0" borderId="24" xfId="0" applyNumberFormat="1" applyFont="1" applyFill="1" applyBorder="1" applyAlignment="1" applyProtection="1">
      <alignment horizontal="center" vertical="center" wrapText="1"/>
      <protection locked="0"/>
    </xf>
    <xf numFmtId="0" fontId="81" fillId="0" borderId="19"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49" fontId="84" fillId="5" borderId="53" xfId="0" applyNumberFormat="1" applyFont="1" applyFill="1" applyBorder="1" applyAlignment="1" applyProtection="1">
      <alignment horizontal="center" vertical="center" wrapText="1"/>
      <protection locked="0"/>
    </xf>
    <xf numFmtId="0" fontId="84" fillId="5" borderId="22" xfId="0"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153" fillId="6" borderId="64"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0" fontId="153" fillId="6" borderId="9" xfId="0" applyNumberFormat="1" applyFont="1" applyFill="1" applyBorder="1" applyAlignment="1" applyProtection="1">
      <alignment horizontal="center" vertical="center" wrapText="1"/>
      <protection locked="0"/>
    </xf>
    <xf numFmtId="0" fontId="153" fillId="6" borderId="5" xfId="0" applyNumberFormat="1" applyFont="1" applyFill="1" applyBorder="1" applyAlignment="1" applyProtection="1">
      <alignment horizontal="center" vertical="center" wrapText="1"/>
    </xf>
    <xf numFmtId="0" fontId="153" fillId="6"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30</xdr:row>
      <xdr:rowOff>28575</xdr:rowOff>
    </xdr:from>
    <xdr:to>
      <xdr:col>11</xdr:col>
      <xdr:colOff>961179</xdr:colOff>
      <xdr:row>57</xdr:row>
      <xdr:rowOff>104187</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5095875"/>
          <a:ext cx="6771429"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广东省潮州市潮州市东山旅游度假区A6、B7出让国有建设用地使用权抵押价格预评估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受贵公司委托，我公司对广东省潮州市潮州市东山旅游度假区A6、B7出让国有建设用地使用权抵押价格进行了预评估。</v>
      </c>
      <c r="AM6" s="2881"/>
    </row>
    <row r="7" spans="1:55" s="2855" customFormat="1">
      <c r="A7" s="2856" t="s">
        <v>2658</v>
      </c>
      <c r="B7" s="2857" t="str">
        <f>'预评函-1'!A6</f>
        <v>估价对象为潮州市景德房地产有限公司使用的、位于广东省潮州市潮州市东山旅游度假区A6、B7出让国有建设用地使用权。根据《国有土地使用证》[]，估价对象（分摊）出让国有建设用地使用权面积为46806.26平方米。根据《建设工程规划许可证》[]、《出让合同》[]，估价对象规划建筑面积为245520.35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广东省潮州市潮州市东山旅游度假区A6、B7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2018年12月4日（评估专业人员勘察现场之日）</v>
      </c>
    </row>
    <row r="11" spans="1:55" s="2855" customFormat="1">
      <c r="A11" s="2856" t="s">
        <v>2666</v>
      </c>
      <c r="B11" s="2857" t="str">
        <f>'预评函-1'!A14</f>
        <v>根据《国有土地使用证》[粤（2018）潮州市不动产权第0004594号]，本次评估估价对象证载（地类）用途为城镇住宅用地。</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根据《国有土地使用证》[]，估价对象（分摊）出让国有建设用地使用权面积为46806.26平方米。根据《建设工程规划许可证》[]、《出让合同》[]，估价对象规划建筑面积为245520.35平方米。</v>
      </c>
    </row>
    <row r="16" spans="1:55" s="2855" customFormat="1">
      <c r="A16" s="2856" t="s">
        <v>2670</v>
      </c>
      <c r="B16" s="2857" t="str">
        <f>'预评函-1'!A22</f>
        <v>本次估价对象为出让国有建设用地使用权，《国有土地使用证》[粤（2018）潮州市不动产权第0004594号]证载土地终止日期为住宅2075年2月5日、商业2045年2月5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估价期日：2018年12月4日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t="str">
        <f>'预评函-2'!E5</f>
        <v>城镇住宅用地</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46806.26</v>
      </c>
    </row>
    <row r="44" spans="1:2">
      <c r="A44" s="2856" t="s">
        <v>2741</v>
      </c>
      <c r="B44" s="2857" t="str">
        <f>'预评函-2'!O3</f>
        <v>规划建筑面积/㎡</v>
      </c>
    </row>
    <row r="45" spans="1:2">
      <c r="A45" s="2856" t="s">
        <v>2723</v>
      </c>
      <c r="B45" s="2857">
        <f>'预评函-2'!O5</f>
        <v>245520.35</v>
      </c>
    </row>
    <row r="46" spans="1:2">
      <c r="A46" s="2856" t="s">
        <v>2724</v>
      </c>
      <c r="B46" s="2857">
        <f ca="1">'预评函-2'!P5</f>
        <v>8434</v>
      </c>
    </row>
    <row r="47" spans="1:2">
      <c r="A47" s="2856" t="s">
        <v>2725</v>
      </c>
      <c r="B47" s="2857">
        <f ca="1">'预评函-2'!Q5</f>
        <v>1608</v>
      </c>
    </row>
    <row r="48" spans="1:2">
      <c r="A48" s="2856" t="s">
        <v>2726</v>
      </c>
      <c r="B48" s="2857">
        <f ca="1">'预评函-2'!R5</f>
        <v>39475</v>
      </c>
    </row>
    <row r="49" spans="1:2">
      <c r="A49" s="2856" t="s">
        <v>2742</v>
      </c>
      <c r="B49" s="2857" t="str">
        <f>'预评函-2'!A6</f>
        <v>抵押价格</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1" sqref="E21:I21"/>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49" t="str">
        <f>IF(B10="北京市","北京市",C10)&amp;F10&amp;B16&amp;"国有建设用地使用权"&amp;B9&amp;"预评估"</f>
        <v>广东省潮州市潮州市东山旅游度假区A6、B7出让国有建设用地使用权抵押价格预评估</v>
      </c>
      <c r="C1" s="3250"/>
      <c r="D1" s="3250"/>
      <c r="E1" s="3250"/>
      <c r="F1" s="3250"/>
      <c r="G1" s="3250"/>
      <c r="H1" s="3250"/>
      <c r="I1" s="3251"/>
      <c r="J1" s="1692"/>
      <c r="K1" s="2433" t="str">
        <f>IF(B10="北京市","北京市",C10)&amp;F10&amp;B16&amp;"国有建设用地使用权"&amp;B9</f>
        <v>广东省潮州市潮州市东山旅游度假区A6、B7出让国有建设用地使用权抵押价格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33" t="str">
        <f>IF(B10="北京市","北京市",C10)&amp;F10&amp;B16&amp;"国有建设用地使用权"</f>
        <v>广东省潮州市潮州市东山旅游度假区A6、B7出让国有建设用地使用权</v>
      </c>
      <c r="L2" s="1721"/>
      <c r="M2" s="1721"/>
      <c r="N2" s="1692"/>
      <c r="O2" s="1693"/>
      <c r="P2" s="1692"/>
      <c r="Q2" s="1692"/>
      <c r="R2" s="1692"/>
      <c r="S2" s="1692"/>
      <c r="T2" s="1692"/>
      <c r="U2" s="1692"/>
    </row>
    <row r="3" spans="1:21">
      <c r="A3" s="1659" t="s">
        <v>1940</v>
      </c>
      <c r="B3" s="1660">
        <v>43438</v>
      </c>
      <c r="C3" s="1661" t="s">
        <v>1996</v>
      </c>
      <c r="D3" s="1660">
        <v>43438</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2890</v>
      </c>
      <c r="C4" s="1844">
        <f>SUMIF(土地估价师,B4,估价师及机构信息!E3:E24)</f>
        <v>0</v>
      </c>
      <c r="D4" s="1841" t="s">
        <v>2890</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31"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3004</v>
      </c>
      <c r="C8" s="1669"/>
      <c r="D8" s="3255"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t="s">
        <v>3005</v>
      </c>
      <c r="C9" s="1673"/>
      <c r="D9" s="3256"/>
      <c r="E9" s="1672"/>
      <c r="F9" s="1745"/>
      <c r="G9" s="1740"/>
      <c r="H9" s="1740"/>
      <c r="I9" s="1741"/>
      <c r="J9" s="1692"/>
      <c r="K9" s="1772"/>
      <c r="L9" s="1721"/>
      <c r="M9" s="1721"/>
      <c r="N9" s="1692"/>
      <c r="O9" s="1693"/>
      <c r="P9" s="1692"/>
      <c r="Q9" s="1692"/>
      <c r="R9" s="1692"/>
      <c r="S9" s="1692"/>
      <c r="T9" s="1692"/>
      <c r="U9" s="1692"/>
    </row>
    <row r="10" spans="1:21" ht="15" thickTop="1">
      <c r="A10" s="1742" t="s">
        <v>2000</v>
      </c>
      <c r="B10" s="3154" t="s">
        <v>3006</v>
      </c>
      <c r="C10" s="1674" t="s">
        <v>3007</v>
      </c>
      <c r="D10" s="1665"/>
      <c r="E10" s="1675" t="s">
        <v>1947</v>
      </c>
      <c r="F10" s="1676" t="s">
        <v>3010</v>
      </c>
      <c r="G10" s="1743"/>
      <c r="H10" s="1744"/>
      <c r="I10" s="1665"/>
      <c r="J10" s="1692"/>
      <c r="K10" s="1772"/>
      <c r="L10" s="1721"/>
      <c r="M10" s="1721"/>
      <c r="N10" s="1692"/>
      <c r="O10" s="1693"/>
      <c r="P10" s="1692"/>
      <c r="Q10" s="1692"/>
      <c r="R10" s="1692"/>
      <c r="S10" s="1692"/>
      <c r="T10" s="1692"/>
      <c r="U10" s="1692"/>
    </row>
    <row r="11" spans="1:21" ht="28.5">
      <c r="A11" s="1695" t="s">
        <v>2001</v>
      </c>
      <c r="B11" s="1696" t="s">
        <v>3008</v>
      </c>
      <c r="C11" s="1677" t="s">
        <v>3009</v>
      </c>
      <c r="D11" s="1760"/>
      <c r="E11" s="1658"/>
      <c r="F11" s="1658"/>
      <c r="G11" s="1658"/>
      <c r="H11" s="1658"/>
      <c r="I11" s="1658"/>
      <c r="J11" s="1692"/>
      <c r="K11" s="1772"/>
      <c r="L11" s="1721"/>
      <c r="M11" s="1721"/>
      <c r="N11" s="1692"/>
      <c r="O11" s="1693"/>
      <c r="P11" s="1692"/>
      <c r="Q11" s="1692"/>
      <c r="R11" s="1692"/>
      <c r="S11" s="1692"/>
      <c r="T11" s="1692"/>
      <c r="U11" s="1692"/>
    </row>
    <row r="12" spans="1:21" ht="26.25" customHeight="1">
      <c r="A12" s="1783" t="s">
        <v>2059</v>
      </c>
      <c r="B12" s="3252" t="s">
        <v>3011</v>
      </c>
      <c r="C12" s="3253"/>
      <c r="D12" s="3254"/>
      <c r="E12" s="1697" t="s">
        <v>2062</v>
      </c>
      <c r="F12" s="3252" t="s">
        <v>3013</v>
      </c>
      <c r="G12" s="3253"/>
      <c r="H12" s="3253"/>
      <c r="I12" s="3254"/>
      <c r="J12" s="1692"/>
      <c r="K12" s="1772"/>
      <c r="L12" s="1721"/>
      <c r="M12" s="1721"/>
      <c r="N12" s="1692"/>
      <c r="O12" s="1693"/>
      <c r="P12" s="1692"/>
      <c r="Q12" s="1692"/>
      <c r="R12" s="1692"/>
      <c r="S12" s="1692"/>
      <c r="T12" s="1692"/>
      <c r="U12" s="1692"/>
    </row>
    <row r="13" spans="1:21">
      <c r="A13" s="1685" t="s">
        <v>2060</v>
      </c>
      <c r="B13" s="3252"/>
      <c r="C13" s="3253"/>
      <c r="D13" s="3254"/>
      <c r="E13" s="1697" t="s">
        <v>2062</v>
      </c>
      <c r="F13" s="3270" t="s">
        <v>2891</v>
      </c>
      <c r="G13" s="3271"/>
      <c r="H13" s="3271"/>
      <c r="I13" s="3272"/>
      <c r="J13" s="1692"/>
      <c r="K13" s="1772"/>
      <c r="L13" s="1721"/>
      <c r="M13" s="1721"/>
      <c r="N13" s="1692"/>
      <c r="O13" s="1693"/>
      <c r="P13" s="1692"/>
      <c r="Q13" s="1692"/>
      <c r="R13" s="1692"/>
      <c r="S13" s="1692"/>
      <c r="T13" s="1692"/>
      <c r="U13" s="1692"/>
    </row>
    <row r="14" spans="1:21">
      <c r="A14" s="1659" t="s">
        <v>2063</v>
      </c>
      <c r="B14" s="1697"/>
      <c r="C14" s="1843" t="s">
        <v>3012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3003</v>
      </c>
      <c r="C16" s="1697" t="s">
        <v>1949</v>
      </c>
      <c r="D16" s="2624" t="s">
        <v>1950</v>
      </c>
      <c r="E16" s="1720" t="s">
        <v>2993</v>
      </c>
      <c r="F16" s="1720"/>
      <c r="G16" s="1720"/>
      <c r="H16" s="1720"/>
      <c r="I16" s="1684" t="s">
        <v>1955</v>
      </c>
      <c r="J16" s="1692"/>
      <c r="K16" s="2434" t="str">
        <f>IF(D17="","",D16&amp;TEXT(D17,"yyyy年m月d日;;"))</f>
        <v>住宅2075年2月5日</v>
      </c>
      <c r="L16" s="1697" t="str">
        <f>IF(OR(K16="",M16=""),"","、")</f>
        <v>、</v>
      </c>
      <c r="M16" s="2434" t="str">
        <f>IF(E17="","",E16&amp;TEXT(E17,"yyyy年m月d日;;"))</f>
        <v>商业2045年2月5日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0"/>
      <c r="C17" s="1681" t="s">
        <v>1956</v>
      </c>
      <c r="D17" s="1698">
        <v>63955</v>
      </c>
      <c r="E17" s="1698">
        <v>52998</v>
      </c>
      <c r="F17" s="1698"/>
      <c r="G17" s="1698"/>
      <c r="H17" s="1698"/>
      <c r="I17" s="1698"/>
      <c r="J17" s="1692"/>
      <c r="K17" s="2433" t="str">
        <f>CONCATENATE(K16,L16,M16,N16,O16,P16,Q16,R16,S16,T16,,U16)</f>
        <v>住宅2075年2月5日、商业2045年2月5日</v>
      </c>
      <c r="L17" s="1721"/>
      <c r="M17" s="1721"/>
      <c r="N17" s="1692"/>
      <c r="O17" s="1693"/>
      <c r="P17" s="1692"/>
      <c r="Q17" s="1692"/>
      <c r="R17" s="1692"/>
      <c r="S17" s="1692"/>
      <c r="T17" s="1692"/>
      <c r="U17" s="1692"/>
    </row>
    <row r="18" spans="1:21">
      <c r="A18" s="1761"/>
      <c r="B18" s="1680"/>
      <c r="C18" s="1681" t="s">
        <v>1957</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56.21</v>
      </c>
      <c r="E19" s="1683">
        <f>IF(B16="出让",IF(E17="","",ROUNDDOWN(MIN((E17-$D$3)/365,E18),2)),E18)</f>
        <v>26.19</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67"/>
      <c r="E20" s="3268"/>
      <c r="F20" s="3268"/>
      <c r="G20" s="3268"/>
      <c r="H20" s="3268"/>
      <c r="I20" s="3269"/>
      <c r="J20" s="1692"/>
      <c r="K20" s="1772"/>
      <c r="L20" s="1721"/>
      <c r="M20" s="1721"/>
      <c r="N20" s="1692"/>
      <c r="O20" s="1693"/>
      <c r="P20" s="1692"/>
      <c r="Q20" s="1692"/>
      <c r="R20" s="1692"/>
      <c r="S20" s="1692"/>
      <c r="T20" s="1692"/>
      <c r="U20" s="1692"/>
    </row>
    <row r="21" spans="1:21">
      <c r="A21" s="1761" t="s">
        <v>1959</v>
      </c>
      <c r="B21" s="1762" t="s">
        <v>1960</v>
      </c>
      <c r="C21" s="1757">
        <f>'数据-汇总表'!E3</f>
        <v>245520.35</v>
      </c>
      <c r="D21" s="1758" t="s">
        <v>1961</v>
      </c>
      <c r="E21" s="3257" t="s">
        <v>1999</v>
      </c>
      <c r="F21" s="3258"/>
      <c r="G21" s="3258"/>
      <c r="H21" s="3258"/>
      <c r="I21" s="3259"/>
      <c r="J21" s="1692"/>
      <c r="K21" s="1772"/>
      <c r="L21" s="1721"/>
      <c r="M21" s="1721"/>
      <c r="N21" s="1692"/>
      <c r="O21" s="1693"/>
      <c r="P21" s="1692"/>
      <c r="Q21" s="1692"/>
      <c r="R21" s="1692"/>
      <c r="S21" s="1692"/>
      <c r="T21" s="1692"/>
      <c r="U21" s="1692"/>
    </row>
    <row r="22" spans="1:21">
      <c r="A22" s="3123" t="s">
        <v>952</v>
      </c>
      <c r="B22" s="1659" t="s">
        <v>1962</v>
      </c>
      <c r="C22" s="1684">
        <f>'数据-汇总表'!D3</f>
        <v>46806.26</v>
      </c>
      <c r="D22" s="1685" t="s">
        <v>1961</v>
      </c>
      <c r="E22" s="3257" t="s">
        <v>2892</v>
      </c>
      <c r="F22" s="3258"/>
      <c r="G22" s="3258"/>
      <c r="H22" s="3258"/>
      <c r="I22" s="3259"/>
      <c r="J22" s="1692"/>
      <c r="K22" s="1772"/>
      <c r="L22" s="1721"/>
      <c r="M22" s="1721"/>
      <c r="N22" s="1692"/>
      <c r="O22" s="1693"/>
      <c r="P22" s="1692"/>
      <c r="Q22" s="1692"/>
      <c r="R22" s="1692"/>
      <c r="S22" s="1692"/>
      <c r="T22" s="1692"/>
      <c r="U22" s="1692"/>
    </row>
    <row r="23" spans="1:21" ht="43.5" thickBot="1">
      <c r="A23" s="1763" t="s">
        <v>1963</v>
      </c>
      <c r="B23" s="1699" t="s">
        <v>1964</v>
      </c>
      <c r="C23" s="1700" t="s">
        <v>2990</v>
      </c>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60" t="s">
        <v>1967</v>
      </c>
      <c r="C24" s="3261"/>
      <c r="D24" s="3262" t="s">
        <v>1968</v>
      </c>
      <c r="E24" s="3263"/>
      <c r="F24" s="1706" t="s">
        <v>1969</v>
      </c>
      <c r="G24" s="1692"/>
      <c r="H24" s="1692"/>
      <c r="I24" s="1705"/>
      <c r="J24" s="1692"/>
      <c r="K24" s="3248"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48"/>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48"/>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34" t="s">
        <v>2002</v>
      </c>
      <c r="B31" s="1762" t="s">
        <v>2003</v>
      </c>
      <c r="C31" s="3273"/>
      <c r="D31" s="3274"/>
      <c r="E31" s="1692"/>
      <c r="F31" s="1692"/>
      <c r="G31" s="1692"/>
      <c r="H31" s="1692"/>
      <c r="I31" s="1705"/>
      <c r="J31" s="1692"/>
      <c r="K31" s="2436"/>
      <c r="L31" s="1692"/>
      <c r="M31" s="1692"/>
      <c r="N31" s="1692"/>
      <c r="O31" s="1692"/>
      <c r="P31" s="1692"/>
      <c r="Q31" s="1692"/>
      <c r="R31" s="1692"/>
      <c r="S31" s="1692"/>
      <c r="T31" s="1692"/>
      <c r="U31" s="1692"/>
    </row>
    <row r="32" spans="1:21">
      <c r="A32" s="3234"/>
      <c r="B32" s="1659" t="s">
        <v>2004</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34"/>
      <c r="B33" s="1659" t="s">
        <v>2005</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35"/>
      <c r="B34" s="1659" t="s">
        <v>2006</v>
      </c>
      <c r="C34" s="3236"/>
      <c r="D34" s="3237"/>
      <c r="E34" s="1692"/>
      <c r="F34" s="1692"/>
      <c r="G34" s="1692"/>
      <c r="H34" s="1692"/>
      <c r="I34" s="1705"/>
      <c r="J34" s="1692"/>
      <c r="K34" s="2436"/>
      <c r="L34" s="1692"/>
      <c r="M34" s="1692"/>
      <c r="N34" s="1692"/>
      <c r="O34" s="1692"/>
      <c r="P34" s="1692"/>
      <c r="Q34" s="1692"/>
      <c r="R34" s="1692"/>
      <c r="S34" s="1692"/>
      <c r="T34" s="1692"/>
      <c r="U34" s="1692"/>
    </row>
    <row r="35" spans="1:21">
      <c r="A35" s="3238" t="s">
        <v>847</v>
      </c>
      <c r="B35" s="1720"/>
      <c r="C35" s="1774" t="str">
        <f>IF(B35="场地平整","——","具体情况：")</f>
        <v>具体情况：</v>
      </c>
      <c r="D35" s="3240"/>
      <c r="E35" s="3241"/>
      <c r="F35" s="3241"/>
      <c r="G35" s="3241"/>
      <c r="H35" s="3241"/>
      <c r="I35" s="3242"/>
      <c r="J35" s="1692"/>
      <c r="K35" s="1773"/>
      <c r="L35" s="1721"/>
      <c r="M35" s="1721"/>
      <c r="N35" s="1692"/>
      <c r="O35" s="1693"/>
      <c r="P35" s="1692"/>
      <c r="Q35" s="1692"/>
      <c r="R35" s="1692"/>
      <c r="S35" s="1692"/>
      <c r="T35" s="1692"/>
      <c r="U35" s="1692"/>
    </row>
    <row r="36" spans="1:21">
      <c r="A36" s="3234"/>
      <c r="B36" s="3243" t="s">
        <v>2055</v>
      </c>
      <c r="C36" s="3244"/>
      <c r="D36" s="1790"/>
      <c r="E36" s="3245"/>
      <c r="F36" s="3245"/>
      <c r="G36" s="1685" t="str">
        <f>IF(B35="场地未平整","估价结果处理","")</f>
        <v/>
      </c>
      <c r="H36" s="3246"/>
      <c r="I36" s="3246"/>
      <c r="J36" s="1692"/>
      <c r="K36" s="1773"/>
      <c r="L36" s="1721"/>
      <c r="M36" s="1721"/>
      <c r="N36" s="1692"/>
      <c r="O36" s="1693"/>
      <c r="P36" s="1692"/>
      <c r="Q36" s="1692"/>
      <c r="R36" s="1692"/>
      <c r="S36" s="1692"/>
      <c r="T36" s="1692"/>
      <c r="U36" s="1692"/>
    </row>
    <row r="37" spans="1:21" ht="28.5">
      <c r="A37" s="3234"/>
      <c r="B37" s="3264"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34"/>
      <c r="B38" s="3265"/>
      <c r="C38" s="1667" t="s">
        <v>850</v>
      </c>
      <c r="D38" s="1789">
        <f>ROUNDDOWN(MIN(('数据-取费表'!$B$2-D37)/365,D34),1)</f>
        <v>119</v>
      </c>
      <c r="E38" s="1725" t="s">
        <v>851</v>
      </c>
      <c r="F38" s="1692"/>
      <c r="G38" s="1692"/>
      <c r="H38" s="1692"/>
      <c r="I38" s="1705"/>
      <c r="J38" s="1692"/>
      <c r="K38" s="1773"/>
      <c r="L38" s="1692"/>
      <c r="M38" s="1692"/>
      <c r="N38" s="1692"/>
      <c r="O38" s="1692"/>
      <c r="P38" s="1692"/>
      <c r="Q38" s="1692"/>
      <c r="R38" s="1692"/>
      <c r="S38" s="1692"/>
      <c r="T38" s="1692"/>
      <c r="U38" s="1692"/>
    </row>
    <row r="39" spans="1:21">
      <c r="A39" s="3235"/>
      <c r="B39" s="326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47" t="s">
        <v>1986</v>
      </c>
      <c r="T40" s="1729" t="str">
        <f>NUMBERSTRING(7-K40,1)&amp;"通"</f>
        <v>七通</v>
      </c>
      <c r="U40" s="1692"/>
    </row>
    <row r="41" spans="1:21" ht="28.5">
      <c r="A41" s="1661"/>
      <c r="B41" s="3239" t="s">
        <v>1722</v>
      </c>
      <c r="C41" s="3239"/>
      <c r="D41" s="3239"/>
      <c r="E41" s="3239"/>
      <c r="F41" s="1730" t="str">
        <f>C10</f>
        <v>广东省潮州市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7"/>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8" t="s">
        <v>2334</v>
      </c>
      <c r="BA2" s="2339"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9053.03+9822.6+14597.3+13333.33</f>
        <v>46806.26</v>
      </c>
      <c r="B3" s="22">
        <f>IF(C3="否",G5-AT5,G5)</f>
        <v>245520.35</v>
      </c>
      <c r="C3" s="23" t="s">
        <v>952</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245520.35</v>
      </c>
      <c r="H5" s="27">
        <f t="shared" ref="H5:AT5" si="0">SUM(H13:H641)</f>
        <v>185735.98</v>
      </c>
      <c r="I5" s="27">
        <f t="shared" si="0"/>
        <v>182994.76</v>
      </c>
      <c r="J5" s="27">
        <f t="shared" si="0"/>
        <v>0</v>
      </c>
      <c r="K5" s="27">
        <f t="shared" si="0"/>
        <v>2741.22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59784.369999999995</v>
      </c>
      <c r="AD5" s="27">
        <f t="shared" si="0"/>
        <v>1187.3599999999999</v>
      </c>
      <c r="AE5" s="27">
        <f t="shared" si="0"/>
        <v>0</v>
      </c>
      <c r="AF5" s="27">
        <f t="shared" si="0"/>
        <v>0</v>
      </c>
      <c r="AG5" s="27">
        <f t="shared" si="0"/>
        <v>0</v>
      </c>
      <c r="AH5" s="27">
        <f t="shared" si="0"/>
        <v>301.7</v>
      </c>
      <c r="AI5" s="27">
        <f t="shared" si="0"/>
        <v>0</v>
      </c>
      <c r="AJ5" s="27">
        <f t="shared" si="0"/>
        <v>0</v>
      </c>
      <c r="AK5" s="27">
        <f t="shared" si="0"/>
        <v>0</v>
      </c>
      <c r="AL5" s="27">
        <f t="shared" si="0"/>
        <v>3896.64</v>
      </c>
      <c r="AM5" s="27">
        <f t="shared" si="0"/>
        <v>0</v>
      </c>
      <c r="AN5" s="27">
        <f t="shared" si="0"/>
        <v>54398.67</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245520.35</v>
      </c>
      <c r="BA5" s="29">
        <f t="shared" si="1"/>
        <v>185735.98</v>
      </c>
      <c r="BB5" s="29">
        <f t="shared" si="1"/>
        <v>182994.76</v>
      </c>
      <c r="BC5" s="29">
        <f t="shared" si="1"/>
        <v>2741.22</v>
      </c>
      <c r="BD5" s="29">
        <f t="shared" si="1"/>
        <v>0</v>
      </c>
      <c r="BE5" s="29">
        <f t="shared" si="1"/>
        <v>0</v>
      </c>
      <c r="BF5" s="29">
        <f t="shared" si="1"/>
        <v>0</v>
      </c>
      <c r="BG5" s="29">
        <f t="shared" si="1"/>
        <v>0</v>
      </c>
      <c r="BH5" s="29">
        <f t="shared" si="1"/>
        <v>0</v>
      </c>
      <c r="BI5" s="29">
        <f t="shared" si="1"/>
        <v>0</v>
      </c>
      <c r="BJ5" s="29">
        <f t="shared" si="1"/>
        <v>0</v>
      </c>
      <c r="BK5" s="29">
        <f t="shared" si="1"/>
        <v>0</v>
      </c>
      <c r="BL5" s="29">
        <f t="shared" si="1"/>
        <v>59784.369999999995</v>
      </c>
      <c r="BM5" s="29">
        <f t="shared" si="1"/>
        <v>1187.3599999999999</v>
      </c>
      <c r="BN5" s="29">
        <f t="shared" si="1"/>
        <v>0</v>
      </c>
      <c r="BO5" s="29">
        <f t="shared" si="1"/>
        <v>301.7</v>
      </c>
      <c r="BP5" s="29">
        <f t="shared" si="1"/>
        <v>0</v>
      </c>
      <c r="BQ5" s="29">
        <f t="shared" si="1"/>
        <v>3896.64</v>
      </c>
      <c r="BR5" s="29">
        <f t="shared" si="1"/>
        <v>54398.67</v>
      </c>
      <c r="BS5" s="29">
        <f t="shared" si="1"/>
        <v>0</v>
      </c>
      <c r="BT5" s="30">
        <f t="shared" si="1"/>
        <v>0</v>
      </c>
    </row>
    <row r="6" spans="1:72" s="37" customFormat="1" ht="12.75">
      <c r="A6" s="26" t="s">
        <v>169</v>
      </c>
      <c r="B6" s="31"/>
      <c r="C6" s="31"/>
      <c r="D6" s="32"/>
      <c r="E6" s="27">
        <f>H6+AC6+AT6</f>
        <v>46806.27</v>
      </c>
      <c r="F6" s="27" t="s">
        <v>1</v>
      </c>
      <c r="G6" s="27" t="s">
        <v>2</v>
      </c>
      <c r="H6" s="33">
        <f>SUMIF(I$12:AB$12,"总值",I6:AB6)</f>
        <v>35408.909999999996</v>
      </c>
      <c r="I6" s="27">
        <f t="shared" ref="I6:AB6" si="2">ROUND($A$3*I5/$B$3,2)</f>
        <v>34886.32</v>
      </c>
      <c r="J6" s="27">
        <f t="shared" si="2"/>
        <v>0</v>
      </c>
      <c r="K6" s="27">
        <f t="shared" si="2"/>
        <v>522.59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11397.36</v>
      </c>
      <c r="AD6" s="27">
        <f t="shared" ref="AD6:AS6" si="3">ROUND($A$3*AD5/$B$3,2)</f>
        <v>226.36</v>
      </c>
      <c r="AE6" s="27">
        <f t="shared" si="3"/>
        <v>0</v>
      </c>
      <c r="AF6" s="27">
        <f t="shared" si="3"/>
        <v>0</v>
      </c>
      <c r="AG6" s="27">
        <f t="shared" si="3"/>
        <v>0</v>
      </c>
      <c r="AH6" s="27">
        <f t="shared" si="3"/>
        <v>57.52</v>
      </c>
      <c r="AI6" s="27">
        <f t="shared" si="3"/>
        <v>0</v>
      </c>
      <c r="AJ6" s="27">
        <f t="shared" si="3"/>
        <v>0</v>
      </c>
      <c r="AK6" s="27">
        <f t="shared" si="3"/>
        <v>0</v>
      </c>
      <c r="AL6" s="27">
        <f t="shared" si="3"/>
        <v>742.86</v>
      </c>
      <c r="AM6" s="27">
        <f t="shared" si="3"/>
        <v>0</v>
      </c>
      <c r="AN6" s="27">
        <f t="shared" si="3"/>
        <v>10370.620000000001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46806.26</v>
      </c>
      <c r="AZ6" s="27" t="s">
        <v>3</v>
      </c>
      <c r="BA6" s="27">
        <f>ROUND($AY$6*BA5/$AZ$5,2)</f>
        <v>35408.9</v>
      </c>
      <c r="BB6" s="27">
        <f>ROUND($AY$6*BB5/$AZ$5,2)</f>
        <v>34886.32</v>
      </c>
      <c r="BC6" s="27">
        <f t="shared" ref="BC6:BH6" si="4">ROUND($AY$6*BC5/$AZ$5,2)</f>
        <v>522.59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11397.36</v>
      </c>
      <c r="BM6" s="27">
        <f t="shared" si="5"/>
        <v>226.36</v>
      </c>
      <c r="BN6" s="27">
        <f t="shared" si="5"/>
        <v>0</v>
      </c>
      <c r="BO6" s="27">
        <f t="shared" si="5"/>
        <v>57.52</v>
      </c>
      <c r="BP6" s="27">
        <f t="shared" si="5"/>
        <v>0</v>
      </c>
      <c r="BQ6" s="27">
        <f t="shared" si="5"/>
        <v>742.86</v>
      </c>
      <c r="BR6" s="27">
        <f t="shared" si="5"/>
        <v>10370.620000000001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4" t="s">
        <v>2991</v>
      </c>
      <c r="J9" s="51"/>
      <c r="K9" s="2994" t="s">
        <v>2991</v>
      </c>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4" t="s">
        <v>923</v>
      </c>
      <c r="J10" s="51"/>
      <c r="K10" s="2996" t="s">
        <v>2993</v>
      </c>
      <c r="L10" s="51"/>
      <c r="M10" s="2996"/>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5" t="s">
        <v>2992</v>
      </c>
      <c r="J11" s="71"/>
      <c r="K11" s="2995" t="s">
        <v>2994</v>
      </c>
      <c r="L11" s="71"/>
      <c r="M11" s="70"/>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9"/>
      <c r="B13" s="2989" t="s">
        <v>2989</v>
      </c>
      <c r="C13" s="2989"/>
      <c r="D13" s="2990" t="s">
        <v>1679</v>
      </c>
      <c r="E13" s="27">
        <f t="shared" ref="E13:E20" si="6">IF($C$3="是",ROUND($A$3*G13/$B$3,2),ROUND($A$3*(G13-AT13)/$B$3,2))</f>
        <v>46806.26</v>
      </c>
      <c r="F13" s="81"/>
      <c r="G13" s="82">
        <f t="shared" ref="G13:G20" si="7">H13+AC13+AT13</f>
        <v>245520.35</v>
      </c>
      <c r="H13" s="33">
        <f t="shared" ref="H13:H20" si="8">SUMIF(I$12:AB$12,"总值",I13:AB13)</f>
        <v>185735.98</v>
      </c>
      <c r="I13" s="2993">
        <v>182994.76</v>
      </c>
      <c r="J13" s="2993"/>
      <c r="K13" s="2993">
        <v>2741.22</v>
      </c>
      <c r="L13" s="2993"/>
      <c r="M13" s="2993"/>
      <c r="N13" s="83"/>
      <c r="O13" s="83"/>
      <c r="P13" s="83"/>
      <c r="Q13" s="83"/>
      <c r="R13" s="83"/>
      <c r="S13" s="83"/>
      <c r="T13" s="83"/>
      <c r="U13" s="83"/>
      <c r="V13" s="83"/>
      <c r="W13" s="83"/>
      <c r="X13" s="83"/>
      <c r="Y13" s="83"/>
      <c r="Z13" s="83"/>
      <c r="AA13" s="83"/>
      <c r="AB13" s="83"/>
      <c r="AC13" s="27">
        <f t="shared" ref="AC13:AC20" si="9">SUMIF(AD$12:AS$12,"总值",AD13:AS13)</f>
        <v>59784.369999999995</v>
      </c>
      <c r="AD13" s="2997">
        <f>1489.06-AH13</f>
        <v>1187.3599999999999</v>
      </c>
      <c r="AE13" s="2997"/>
      <c r="AF13" s="2997"/>
      <c r="AG13" s="2997"/>
      <c r="AH13" s="2997">
        <v>301.7</v>
      </c>
      <c r="AI13" s="2997"/>
      <c r="AJ13" s="2997"/>
      <c r="AK13" s="2997"/>
      <c r="AL13" s="2997">
        <v>3896.64</v>
      </c>
      <c r="AM13" s="2997"/>
      <c r="AN13" s="2997">
        <v>54398.67</v>
      </c>
      <c r="AO13" s="2997"/>
      <c r="AP13" s="2997"/>
      <c r="AQ13" s="2997"/>
      <c r="AR13" s="2997"/>
      <c r="AS13" s="2997"/>
      <c r="AT13" s="2998"/>
      <c r="AU13" s="2999"/>
      <c r="AV13" s="17">
        <f t="shared" ref="AV13:AX20" si="10">A13</f>
        <v>0</v>
      </c>
      <c r="AW13" s="17" t="str">
        <f t="shared" si="10"/>
        <v>企业提供</v>
      </c>
      <c r="AX13" s="17">
        <f t="shared" si="10"/>
        <v>0</v>
      </c>
      <c r="AY13" s="995">
        <f t="shared" ref="AY13:AY20" si="11">ROUND($AY$6*AZ13/$AZ$5,2)</f>
        <v>46806.26</v>
      </c>
      <c r="AZ13" s="27">
        <f t="shared" ref="AZ13:AZ20" si="12">BA13+BL13</f>
        <v>245520.35</v>
      </c>
      <c r="BA13" s="27">
        <f t="shared" ref="BA13:BA20" si="13">SUM(BB13:BK13)</f>
        <v>185735.98</v>
      </c>
      <c r="BB13" s="27">
        <f t="shared" ref="BB13:BB20" si="14">IF($D13="是",I13-J13,0)</f>
        <v>182994.76</v>
      </c>
      <c r="BC13" s="27">
        <f t="shared" ref="BC13:BC20" si="15">IF($D13="是",K13-L13,0)</f>
        <v>2741.22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59784.369999999995</v>
      </c>
      <c r="BM13" s="27">
        <f t="shared" ref="BM13:BM20" si="25">IF($D13="是",AD13-AE13,0)</f>
        <v>1187.3599999999999</v>
      </c>
      <c r="BN13" s="27">
        <f t="shared" ref="BN13:BN20" si="26">IF($D13="是",AF13-AG13,0)</f>
        <v>0</v>
      </c>
      <c r="BO13" s="27">
        <f t="shared" ref="BO13:BO20" si="27">IF($D13="是",AH13-AI13,0)</f>
        <v>301.7</v>
      </c>
      <c r="BP13" s="27">
        <f t="shared" ref="BP13:BP20" si="28">IF($D13="是",AJ13-AK13,0)</f>
        <v>0</v>
      </c>
      <c r="BQ13" s="27">
        <f t="shared" ref="BQ13:BQ20" si="29">IF($D13="是",AL13-AM13,0)</f>
        <v>3896.64</v>
      </c>
      <c r="BR13" s="27">
        <f t="shared" ref="BR13:BR20" si="30">IF($D13="是",AN13-AO13,0)</f>
        <v>54398.67</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t="e">
        <f>#REF!</f>
        <v>#REF!</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989"/>
      <c r="B15" s="2989"/>
      <c r="C15" s="85"/>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t="e">
        <f>#REF!</f>
        <v>#REF!</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989"/>
      <c r="B16" s="2989"/>
      <c r="C16" s="1394"/>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t="e">
        <f>#REF!</f>
        <v>#REF!</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C14</f>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D18" s="299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C15</f>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C16</f>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2" sqref="G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6" t="s">
        <v>203</v>
      </c>
      <c r="B2" s="3286"/>
      <c r="C2" s="3286"/>
      <c r="D2" s="1974" t="s">
        <v>204</v>
      </c>
      <c r="E2" s="106" t="s">
        <v>205</v>
      </c>
      <c r="F2" s="1983"/>
      <c r="G2" s="1197"/>
      <c r="H2" s="1198"/>
      <c r="I2" s="1199" t="s">
        <v>857</v>
      </c>
      <c r="J2" s="1983"/>
      <c r="K2" s="1983"/>
      <c r="L2" s="1983"/>
    </row>
    <row r="3" spans="1:16" ht="15.75" thickBot="1">
      <c r="A3" s="3287" t="s">
        <v>206</v>
      </c>
      <c r="B3" s="3287"/>
      <c r="C3" s="3287"/>
      <c r="D3" s="107">
        <f>'数据-基础表'!AY6</f>
        <v>46806.26</v>
      </c>
      <c r="E3" s="107">
        <f>'数据-基础表'!AZ5</f>
        <v>245520.35</v>
      </c>
      <c r="F3" s="1983"/>
      <c r="G3" s="280" t="s">
        <v>858</v>
      </c>
      <c r="H3" s="275" t="s">
        <v>859</v>
      </c>
      <c r="I3" s="1975">
        <f>ROUND('数据-基础表'!B3/'数据-基础表'!A3,2)</f>
        <v>5.25</v>
      </c>
      <c r="J3" s="1983"/>
      <c r="K3" s="1983"/>
      <c r="L3" s="1983"/>
    </row>
    <row r="4" spans="1:16" ht="15">
      <c r="A4" s="3288"/>
      <c r="B4" s="3289"/>
      <c r="C4" s="3290"/>
      <c r="D4" s="108" t="s">
        <v>204</v>
      </c>
      <c r="E4" s="109" t="s">
        <v>205</v>
      </c>
      <c r="F4" s="1983"/>
      <c r="G4" s="1200"/>
      <c r="H4" s="275" t="s">
        <v>860</v>
      </c>
      <c r="I4" s="1975">
        <f>ROUND(SUMIF('数据-基础表'!I9:AS9,"地上",'数据-基础表'!I5:AS5)/'数据-基础表'!A3,2)</f>
        <v>4.08</v>
      </c>
      <c r="J4" s="1983"/>
      <c r="K4" s="1983"/>
      <c r="L4" s="1983"/>
    </row>
    <row r="5" spans="1:16">
      <c r="A5" s="110" t="s">
        <v>207</v>
      </c>
      <c r="B5" s="3291" t="s">
        <v>230</v>
      </c>
      <c r="C5" s="3291"/>
      <c r="D5" s="111">
        <f>ROUND($D$3*E5/$E$3,2)</f>
        <v>34886.32</v>
      </c>
      <c r="E5" s="112">
        <f>SUMIF('数据-基础表'!$11:$11,"住宅",'数据-基础表'!$5:$5)</f>
        <v>182994.76</v>
      </c>
      <c r="F5" s="1983"/>
      <c r="G5" s="280" t="s">
        <v>861</v>
      </c>
      <c r="H5" s="275" t="s">
        <v>859</v>
      </c>
      <c r="I5" s="1975">
        <f>ROUND(E31/D31,2)</f>
        <v>5.25</v>
      </c>
      <c r="J5" s="1983"/>
      <c r="K5" s="1983"/>
      <c r="L5" s="1983"/>
    </row>
    <row r="6" spans="1:16" ht="15" thickBot="1">
      <c r="A6" s="113"/>
      <c r="B6" s="3291" t="s">
        <v>208</v>
      </c>
      <c r="C6" s="3291"/>
      <c r="D6" s="111">
        <f>ROUND($D$3*E6/$E$3,2)</f>
        <v>11919.94</v>
      </c>
      <c r="E6" s="112">
        <f>E3-E5</f>
        <v>62525.59</v>
      </c>
      <c r="F6" s="1983"/>
      <c r="G6" s="1200"/>
      <c r="H6" s="275" t="s">
        <v>860</v>
      </c>
      <c r="I6" s="1975">
        <f>ROUND(F31/D31,2)</f>
        <v>4.08</v>
      </c>
      <c r="J6" s="1983"/>
      <c r="K6" s="1983"/>
      <c r="L6" s="1983"/>
    </row>
    <row r="7" spans="1:16" ht="15">
      <c r="A7" s="3283"/>
      <c r="B7" s="3284"/>
      <c r="C7" s="3285"/>
      <c r="D7" s="108" t="s">
        <v>204</v>
      </c>
      <c r="E7" s="114" t="s">
        <v>231</v>
      </c>
      <c r="F7" s="1983"/>
      <c r="G7" s="1155" t="s">
        <v>1646</v>
      </c>
      <c r="H7" s="1156"/>
      <c r="I7" s="1845">
        <f>187225.04/D3</f>
        <v>4</v>
      </c>
      <c r="J7" s="1983"/>
      <c r="K7" s="1983"/>
      <c r="L7" s="1983"/>
    </row>
    <row r="8" spans="1:16">
      <c r="A8" s="110" t="s">
        <v>209</v>
      </c>
      <c r="B8" s="115" t="s">
        <v>210</v>
      </c>
      <c r="C8" s="111" t="s">
        <v>211</v>
      </c>
      <c r="D8" s="111">
        <f t="shared" ref="D8:D15" si="0">ROUND($D$3*E8/$E$3,2)</f>
        <v>35408.9</v>
      </c>
      <c r="E8" s="116">
        <f>SUMIF('数据-基础表'!BB10:BK10,"地上",'数据-基础表'!BB5:BK5)</f>
        <v>185735.98</v>
      </c>
      <c r="F8" s="1983"/>
      <c r="G8" s="1985"/>
      <c r="H8" s="1985"/>
      <c r="I8" s="1983"/>
      <c r="J8" s="1983"/>
      <c r="K8" s="1983"/>
      <c r="L8" s="1983"/>
    </row>
    <row r="9" spans="1:16">
      <c r="A9" s="117"/>
      <c r="B9" s="118"/>
      <c r="C9" s="111" t="s">
        <v>212</v>
      </c>
      <c r="D9" s="111">
        <f t="shared" si="0"/>
        <v>0</v>
      </c>
      <c r="E9" s="119"/>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35408.9</v>
      </c>
      <c r="E16" s="120">
        <f>SUM(E8:E15)</f>
        <v>185735.98</v>
      </c>
      <c r="F16" s="1983"/>
      <c r="G16" s="1985"/>
      <c r="H16" s="967" t="s">
        <v>219</v>
      </c>
      <c r="I16" s="968"/>
      <c r="J16" s="1983"/>
      <c r="K16" s="3277" t="s">
        <v>2567</v>
      </c>
      <c r="L16" s="3278"/>
      <c r="M16" s="3278"/>
      <c r="N16" s="3278"/>
      <c r="O16" s="3278"/>
      <c r="P16" s="3279"/>
    </row>
    <row r="17" spans="1:19" ht="15">
      <c r="A17" s="121" t="s">
        <v>216</v>
      </c>
      <c r="B17" s="122" t="s">
        <v>217</v>
      </c>
      <c r="C17" s="2297" t="s">
        <v>2314</v>
      </c>
      <c r="D17" s="108" t="s">
        <v>204</v>
      </c>
      <c r="E17" s="124" t="s">
        <v>205</v>
      </c>
      <c r="F17" s="125"/>
      <c r="G17" s="1365"/>
      <c r="H17" s="969" t="s">
        <v>218</v>
      </c>
      <c r="I17" s="970" t="s">
        <v>2313</v>
      </c>
      <c r="J17" s="1983"/>
      <c r="K17" s="3280" t="s">
        <v>2568</v>
      </c>
      <c r="L17" s="3281"/>
      <c r="M17" s="3282"/>
      <c r="N17" s="3280" t="s">
        <v>2569</v>
      </c>
      <c r="O17" s="3281"/>
      <c r="P17" s="3282"/>
      <c r="R17" s="2298" t="s">
        <v>2312</v>
      </c>
      <c r="S17" s="144"/>
    </row>
    <row r="18" spans="1:19" ht="15">
      <c r="A18" s="117"/>
      <c r="B18" s="128"/>
      <c r="C18" s="129"/>
      <c r="D18" s="2620"/>
      <c r="E18" s="130" t="s">
        <v>220</v>
      </c>
      <c r="F18" s="131" t="s">
        <v>221</v>
      </c>
      <c r="G18" s="1366" t="s">
        <v>222</v>
      </c>
      <c r="H18" s="971" t="s">
        <v>223</v>
      </c>
      <c r="I18" s="972"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3000" t="s">
        <v>2996</v>
      </c>
      <c r="D19" s="111">
        <f t="shared" ref="D19:D26" si="1">ROUND($D$3*E19/$E$3,2)</f>
        <v>34886.32</v>
      </c>
      <c r="E19" s="134">
        <f t="shared" ref="E19:E26" si="2">SUM(F19:G19)</f>
        <v>182994.76</v>
      </c>
      <c r="F19" s="135">
        <f>'数据-基础表'!I5</f>
        <v>182994.76</v>
      </c>
      <c r="G19" s="1367"/>
      <c r="H19" s="973">
        <f>ROUND($D$3*I19/$E$3,2)</f>
        <v>11233.34</v>
      </c>
      <c r="I19" s="116">
        <f>IF($I$17="自定义",P19,M19)</f>
        <v>58924.009999999995</v>
      </c>
      <c r="J19" s="1983"/>
      <c r="K19" s="2586">
        <f t="shared" ref="K19:K26" si="3">ROUND(E$28*E19/E$27,2)</f>
        <v>57434.95</v>
      </c>
      <c r="L19" s="275">
        <f t="shared" ref="L19:L26" si="4">ROUND(IF(COUNTIF(C19,"*住宅*")&gt;0,E$29*E19/E$32,0),2)</f>
        <v>1489.06</v>
      </c>
      <c r="M19" s="2587">
        <f>K19+L19</f>
        <v>58924.009999999995</v>
      </c>
      <c r="N19" s="2588"/>
      <c r="O19" s="2589"/>
      <c r="P19" s="2590">
        <f>N19+O19</f>
        <v>0</v>
      </c>
      <c r="R19" s="275">
        <f t="shared" ref="R19:S26" si="5">D19+H19</f>
        <v>46119.66</v>
      </c>
      <c r="S19" s="2300">
        <f t="shared" si="5"/>
        <v>241918.77000000002</v>
      </c>
    </row>
    <row r="20" spans="1:19">
      <c r="A20" s="138"/>
      <c r="B20" s="115" t="s">
        <v>226</v>
      </c>
      <c r="C20" s="3000" t="s">
        <v>2997</v>
      </c>
      <c r="D20" s="111">
        <f t="shared" si="1"/>
        <v>522.59</v>
      </c>
      <c r="E20" s="134">
        <f t="shared" si="2"/>
        <v>2741.22</v>
      </c>
      <c r="F20" s="135">
        <f>'数据-基础表'!K5</f>
        <v>2741.22</v>
      </c>
      <c r="G20" s="1367"/>
      <c r="H20" s="973">
        <f t="shared" ref="H20:H26" si="6">ROUND($D$3*I20/$E$3,2)</f>
        <v>164.02</v>
      </c>
      <c r="I20" s="116">
        <f t="shared" ref="I20:I26" si="7">IF($I$17="自定义",P20,M20)</f>
        <v>860.36</v>
      </c>
      <c r="J20" s="1983"/>
      <c r="K20" s="2586">
        <f t="shared" si="3"/>
        <v>860.36</v>
      </c>
      <c r="L20" s="275">
        <f t="shared" si="4"/>
        <v>0</v>
      </c>
      <c r="M20" s="2587">
        <f t="shared" ref="M20:M26" si="8">K20+L20</f>
        <v>860.36</v>
      </c>
      <c r="N20" s="2588"/>
      <c r="O20" s="2589"/>
      <c r="P20" s="2590">
        <f t="shared" ref="P20:P26" si="9">N20+O20</f>
        <v>0</v>
      </c>
      <c r="R20" s="275">
        <f t="shared" si="5"/>
        <v>686.61</v>
      </c>
      <c r="S20" s="2300">
        <f t="shared" si="5"/>
        <v>3601.58</v>
      </c>
    </row>
    <row r="21" spans="1:19">
      <c r="A21" s="138"/>
      <c r="B21" s="115" t="s">
        <v>226</v>
      </c>
      <c r="C21" s="3000"/>
      <c r="D21" s="111">
        <f t="shared" si="1"/>
        <v>0</v>
      </c>
      <c r="E21" s="134">
        <f t="shared" si="2"/>
        <v>0</v>
      </c>
      <c r="F21" s="135"/>
      <c r="G21" s="1367"/>
      <c r="H21" s="973">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29.25" thickBot="1">
      <c r="A27" s="138"/>
      <c r="B27" s="111"/>
      <c r="C27" s="127" t="s">
        <v>215</v>
      </c>
      <c r="D27" s="134">
        <f>SUM(D19:D26)</f>
        <v>35408.909999999996</v>
      </c>
      <c r="E27" s="143">
        <f>IF(SUM(E19:E26)='数据-基础表'!BA5,SUM(E19:E26),IF(F27="地上面积有误","面积有误","地下面积有误"))</f>
        <v>185735.98</v>
      </c>
      <c r="F27" s="134">
        <f>IF(SUM(F19:F26)=E8,SUM(F19:F26),"地上面积有误")</f>
        <v>185735.98</v>
      </c>
      <c r="G27" s="112">
        <f>SUM(G19:G26)</f>
        <v>0</v>
      </c>
      <c r="H27" s="974">
        <f>SUM(H19:H26)</f>
        <v>11397.36</v>
      </c>
      <c r="I27" s="975">
        <f>SUM(I19:I26)</f>
        <v>59784.369999999995</v>
      </c>
      <c r="J27" s="1983"/>
      <c r="K27" s="2595">
        <f>SUM(K19:K26)</f>
        <v>58295.31</v>
      </c>
      <c r="L27" s="2596">
        <f>SUM(L19:L26)</f>
        <v>1489.06</v>
      </c>
      <c r="M27" s="2597">
        <f>SUM(M19:M26)</f>
        <v>59784.369999999995</v>
      </c>
      <c r="N27" s="2595">
        <f t="shared" ref="N27:O27" si="10">SUM(N19:N26)</f>
        <v>0</v>
      </c>
      <c r="O27" s="2596">
        <f t="shared" si="10"/>
        <v>0</v>
      </c>
      <c r="P27" s="2598">
        <f>SUM(P19:P26)</f>
        <v>0</v>
      </c>
      <c r="R27" s="2304" t="str">
        <f>IF(SUM(R19:R26)=$D$3,SUM(R19:R26),SUM(R19:R26)&amp;"误差"&amp;ROUND(SUM(R19:R26)-$D$3,2))</f>
        <v>46806.27误差0.01</v>
      </c>
      <c r="S27" s="275">
        <f>IF(SUM(S19:S26)=$E$3,SUM(S19:S26),SUM(S19:S26)&amp;"误差"&amp;ROUND(SUM(S19:S26)-E3,2))</f>
        <v>245520.35</v>
      </c>
    </row>
    <row r="28" spans="1:19">
      <c r="A28" s="138"/>
      <c r="B28" s="115" t="s">
        <v>227</v>
      </c>
      <c r="C28" s="136" t="s">
        <v>228</v>
      </c>
      <c r="D28" s="111">
        <f>ROUND($D$3*E28/$E$3,2)</f>
        <v>11113.48</v>
      </c>
      <c r="E28" s="134">
        <f>SUM(F28:G28)</f>
        <v>58295.31</v>
      </c>
      <c r="F28" s="144">
        <f>'数据-基础表'!BQ5+'数据-基础表'!BS5</f>
        <v>3896.64</v>
      </c>
      <c r="G28" s="145">
        <f>'数据-基础表'!BR5+'数据-基础表'!BT5</f>
        <v>54398.67</v>
      </c>
      <c r="H28" s="1983"/>
      <c r="I28" s="1983"/>
      <c r="J28" s="1983"/>
      <c r="K28" s="1983"/>
      <c r="L28" s="1983"/>
    </row>
    <row r="29" spans="1:19">
      <c r="A29" s="138"/>
      <c r="B29" s="115" t="s">
        <v>227</v>
      </c>
      <c r="C29" s="2312" t="s">
        <v>2321</v>
      </c>
      <c r="D29" s="111">
        <f>ROUND($D$3*E29/$E$3,2)</f>
        <v>283.88</v>
      </c>
      <c r="E29" s="134">
        <f>SUM(F29:G29)</f>
        <v>1489.06</v>
      </c>
      <c r="F29" s="144">
        <f>'数据-基础表'!BM5+'数据-基础表'!BO5</f>
        <v>1489.06</v>
      </c>
      <c r="G29" s="146">
        <f>'数据-基础表'!BN5+'数据-基础表'!BP5</f>
        <v>0</v>
      </c>
      <c r="H29" s="1983"/>
      <c r="I29" s="1983"/>
      <c r="J29" s="1983"/>
      <c r="K29" s="1983"/>
      <c r="L29" s="1983"/>
    </row>
    <row r="30" spans="1:19">
      <c r="A30" s="138"/>
      <c r="B30" s="111"/>
      <c r="C30" s="147" t="s">
        <v>215</v>
      </c>
      <c r="D30" s="134">
        <f>SUM(D28:D29)</f>
        <v>11397.359999999999</v>
      </c>
      <c r="E30" s="134">
        <f>SUM(E28:E29)</f>
        <v>59784.369999999995</v>
      </c>
      <c r="F30" s="134">
        <f>SUM(F28:F29)</f>
        <v>5385.7</v>
      </c>
      <c r="G30" s="112">
        <f>SUM(G28:G29)</f>
        <v>54398.67</v>
      </c>
      <c r="H30" s="1983"/>
      <c r="I30" s="1983"/>
      <c r="J30" s="1983"/>
      <c r="K30" s="1983"/>
      <c r="L30" s="1983"/>
    </row>
    <row r="31" spans="1:19" ht="32.25" customHeight="1" thickBot="1">
      <c r="A31" s="1369"/>
      <c r="B31" s="1370" t="s">
        <v>229</v>
      </c>
      <c r="C31" s="2329" t="s">
        <v>2323</v>
      </c>
      <c r="D31" s="1371">
        <f>D27+D30</f>
        <v>46806.27</v>
      </c>
      <c r="E31" s="1371">
        <f>E27+E30</f>
        <v>245520.35</v>
      </c>
      <c r="F31" s="1372">
        <f>F27+F30</f>
        <v>191121.68000000002</v>
      </c>
      <c r="G31" s="1373">
        <f>G27+G30</f>
        <v>54398.67</v>
      </c>
      <c r="H31" s="1983"/>
      <c r="I31" s="1983"/>
      <c r="J31" s="1983"/>
      <c r="K31" s="1983"/>
      <c r="L31" s="1983"/>
    </row>
    <row r="32" spans="1:19">
      <c r="A32" s="1983"/>
      <c r="B32" s="2341" t="s">
        <v>2322</v>
      </c>
      <c r="C32" s="2625"/>
      <c r="D32" s="1200"/>
      <c r="E32" s="1200">
        <f>SUMIF(C19:C26,"*住宅*",E19:E26)</f>
        <v>182994.76</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6" activePane="bottomRight" state="frozen"/>
      <selection pane="topRight" activeCell="D1" sqref="D1"/>
      <selection pane="bottomLeft" activeCell="A4" sqref="A4"/>
      <selection pane="bottomRight" activeCell="L14" sqref="L1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43438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高层住宅</v>
      </c>
      <c r="B6" s="2336" t="str">
        <f>IF(A6=0,"","经营性")</f>
        <v>经营性</v>
      </c>
      <c r="C6" s="173" t="s">
        <v>923</v>
      </c>
      <c r="D6" s="2307">
        <f>SUMIF(项目基本情况!D$15:I$15,C6,项目基本情况!D$18:I$18)</f>
        <v>70</v>
      </c>
      <c r="E6" s="2308">
        <f>IF(B6="","",SUMIF(项目基本情况!D$15:I$15,C6,项目基本情况!D$17:I$17))</f>
        <v>63955</v>
      </c>
      <c r="F6" s="174">
        <f>SUMIF(项目基本情况!D$15:I$15,C6,项目基本情况!D$19:I$19)</f>
        <v>56.21</v>
      </c>
      <c r="G6" s="175">
        <f>IF(ISERROR(ROUND(POWER(1+H6,D6-F6)*(POWER(1+H6,F6)-1)/(POWER(1+H6,D6)-1),3)),0,ROUND(POWER(1+H6,D6-F6)*(POWER(1+H6,F6)-1)/(POWER(1+H6,D6)-1),3))</f>
        <v>0.96</v>
      </c>
      <c r="H6" s="3001">
        <v>4.4999999999999998E-2</v>
      </c>
      <c r="I6" s="3001">
        <v>0.05</v>
      </c>
      <c r="J6" s="176">
        <v>8.5000000000000006E-2</v>
      </c>
      <c r="K6" s="179">
        <f>SUMIF('数据-汇总表'!C$19:C$33,'数据-取费表'!A6,'数据-汇总表'!E$19:E$33)</f>
        <v>182994.76</v>
      </c>
      <c r="L6" s="3002">
        <v>2500</v>
      </c>
      <c r="M6" s="177">
        <f t="shared" ref="M6:M14" si="0">ROUND(K6*L6/10000,0)</f>
        <v>45749</v>
      </c>
      <c r="N6" s="3003">
        <v>0</v>
      </c>
      <c r="O6" s="177">
        <f>IF($N$5="成新度","——",ROUND(M6*N6,0))</f>
        <v>0</v>
      </c>
      <c r="P6" s="178">
        <f>IF($N$5="成新度","——",M6-O6)</f>
        <v>45749</v>
      </c>
      <c r="Q6" s="3004">
        <v>0.15</v>
      </c>
      <c r="R6" s="179">
        <f>SUMIF('数据-汇总表'!C$19:C$33,A6,'数据-汇总表'!R$19:R$33)</f>
        <v>46119.66</v>
      </c>
      <c r="S6" s="132">
        <f>IF('数据-汇总表'!$I$17="按面积比例",SUMIF('数据-汇总表'!C$19:C$33,A6,'数据-汇总表'!K$19:K$33),SUMIF('数据-汇总表'!C$19:C$33,A6,'数据-汇总表'!N$19:N$33))</f>
        <v>57434.95</v>
      </c>
      <c r="T6" s="2233">
        <f>IF($T$4="按面积比例",IF(ISERROR(ROUND($M$14*S6/S$16,0)),"0",ROUND($M$14*S6/S$16,0)),"需自行计算录入")</f>
        <v>11487</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15"/>
      <c r="AN6" s="2370"/>
      <c r="AO6" s="1999"/>
      <c r="AP6" s="1203">
        <f>ROUND(1-1/(1+H6)^F6,3)</f>
        <v>0.91600000000000004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底商</v>
      </c>
      <c r="B7" s="2336" t="str">
        <f t="shared" ref="B7:B13" si="1">IF(A7=0,"","经营性")</f>
        <v>经营性</v>
      </c>
      <c r="C7" s="173" t="s">
        <v>2993</v>
      </c>
      <c r="D7" s="2307">
        <f>SUMIF(项目基本情况!D$15:I$15,C7,项目基本情况!D$18:I$18)</f>
        <v>40</v>
      </c>
      <c r="E7" s="2308">
        <f>IF(B7="","",SUMIF(项目基本情况!D$15:I$15,C7,项目基本情况!D$17:I$17))</f>
        <v>52998</v>
      </c>
      <c r="F7" s="174">
        <f>SUMIF(项目基本情况!D$15:I$15,C7,项目基本情况!D$19:I$19)</f>
        <v>26.19</v>
      </c>
      <c r="G7" s="175">
        <f t="shared" ref="G7:G11" si="2">IF(ISERROR(ROUND(POWER(1+H7,D7-F7)*(POWER(1+H7,F7)-1)/(POWER(1+H7,D7)-1),3)),0,ROUND(POWER(1+H7,D7-F7)*(POWER(1+H7,F7)-1)/(POWER(1+H7,D7)-1),3))</f>
        <v>0.85399999999999998</v>
      </c>
      <c r="H7" s="3001">
        <v>5.5E-2</v>
      </c>
      <c r="I7" s="3001">
        <v>0.06</v>
      </c>
      <c r="J7" s="176">
        <v>8.5000000000000006E-2</v>
      </c>
      <c r="K7" s="179">
        <f>SUMIF('数据-汇总表'!C$19:C$33,'数据-取费表'!A7,'数据-汇总表'!E$19:E$33)</f>
        <v>2741.22</v>
      </c>
      <c r="L7" s="3002">
        <v>2000</v>
      </c>
      <c r="M7" s="177">
        <f t="shared" si="0"/>
        <v>548</v>
      </c>
      <c r="N7" s="3003">
        <v>0</v>
      </c>
      <c r="O7" s="177">
        <f t="shared" ref="O7:O14" si="3">IF($N$5="成新度","——",ROUND(M7*N7,0))</f>
        <v>0</v>
      </c>
      <c r="P7" s="178">
        <f t="shared" ref="P7:P14" si="4">IF($N$5="成新度","——",M7-O7)</f>
        <v>548</v>
      </c>
      <c r="Q7" s="3004">
        <v>0.2</v>
      </c>
      <c r="R7" s="179">
        <f>SUMIF('数据-汇总表'!C$19:C$33,A7,'数据-汇总表'!R$19:R$33)</f>
        <v>686.61</v>
      </c>
      <c r="S7" s="132">
        <f>IF('数据-汇总表'!$I$17="按面积比例",SUMIF('数据-汇总表'!C$19:C$33,A7,'数据-汇总表'!K$19:K$33),SUMIF('数据-汇总表'!C$19:C$33,A7,'数据-汇总表'!N$19:N$33))</f>
        <v>860.36</v>
      </c>
      <c r="T7" s="2233">
        <f t="shared" ref="T7:T13" si="5">IF($T$4="按面积比例",IF(ISERROR(ROUND($M$14*S7/S$16,0)),"0",ROUND($M$14*S7/S$16,0)),"需自行计算录入")</f>
        <v>172</v>
      </c>
      <c r="U7" s="180">
        <v>3.5</v>
      </c>
      <c r="V7" s="181">
        <v>3.5000000000000003E-2</v>
      </c>
      <c r="W7" s="181">
        <v>0.05</v>
      </c>
      <c r="X7" s="2320"/>
      <c r="Y7" s="182">
        <v>1</v>
      </c>
      <c r="Z7" s="183"/>
      <c r="AA7" s="176"/>
      <c r="AB7" s="176"/>
      <c r="AC7" s="2323"/>
      <c r="AD7" s="184"/>
      <c r="AE7" s="971">
        <f t="shared" ref="AE7:AE13" ca="1" si="6">IF(AN7="",0,SUMIF(INDIRECT("'"&amp;AN7&amp;"'"&amp;"!E:E"),$AE$5,INDIRECT("'"&amp;AN7&amp;"'"&amp;"!F:F")))</f>
        <v>26.19</v>
      </c>
      <c r="AF7" s="141"/>
      <c r="AG7" s="1212">
        <f t="shared" ref="AG7:AG13" si="7">IF(AF7="",0,AE7-AF7)</f>
        <v>0</v>
      </c>
      <c r="AH7" s="141"/>
      <c r="AI7" s="187">
        <v>365</v>
      </c>
      <c r="AJ7" s="188"/>
      <c r="AK7" s="189">
        <v>1.4999999999999999E-2</v>
      </c>
      <c r="AL7" s="190">
        <v>1.5E-3</v>
      </c>
      <c r="AM7" s="2368">
        <v>0.01</v>
      </c>
      <c r="AN7" s="2370" t="s">
        <v>2998</v>
      </c>
      <c r="AO7" s="1999"/>
      <c r="AP7" s="1203">
        <f t="shared" ref="AP7:AP13" si="8">ROUND(1-1/(1+H7)^F7,3)</f>
        <v>0.754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68"/>
      <c r="AN8" s="2370"/>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58295.31</v>
      </c>
      <c r="L14" s="193">
        <f>L7</f>
        <v>2000</v>
      </c>
      <c r="M14" s="177">
        <f t="shared" si="0"/>
        <v>11659</v>
      </c>
      <c r="N14" s="194">
        <v>0</v>
      </c>
      <c r="O14" s="177">
        <f t="shared" si="3"/>
        <v>0</v>
      </c>
      <c r="P14" s="178">
        <f t="shared" si="4"/>
        <v>11659</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1489.06</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0.95799999999999996</v>
      </c>
      <c r="H16" s="203">
        <f>ROUND(SUMPRODUCT(H6:H13,K6:K13)/SUMPRODUCT((H6:H13&gt;0)*(K6:K13)),3)</f>
        <v>4.4999999999999998E-2</v>
      </c>
      <c r="I16" s="204"/>
      <c r="J16" s="204"/>
      <c r="K16" s="205">
        <f>SUM(K6:K15)</f>
        <v>245520.35</v>
      </c>
      <c r="L16" s="206">
        <f>ROUND(M16*10000/SUM(K6:K14),0)</f>
        <v>2375</v>
      </c>
      <c r="M16" s="206">
        <f>SUM(M6:M14)</f>
        <v>57956</v>
      </c>
      <c r="N16" s="207">
        <f>ROUND(SUMPRODUCT(M6:M14,N6:N14)/M16,3)</f>
        <v>0</v>
      </c>
      <c r="O16" s="206">
        <f>SUM(O6:O14)</f>
        <v>0</v>
      </c>
      <c r="P16" s="206">
        <f>SUM(P6:P14)</f>
        <v>57956</v>
      </c>
      <c r="Q16" s="208">
        <f>ROUND(SUMPRODUCT(Q6:Q13,K6:K13)/SUMPRODUCT((Q6:Q13&gt;0)*(K6:K13)),2)</f>
        <v>0.15</v>
      </c>
      <c r="R16" s="2310">
        <f>SUM(R6:R13)</f>
        <v>46806.270000000004</v>
      </c>
      <c r="S16" s="209">
        <f>SUM(S6:S13)</f>
        <v>58295.31</v>
      </c>
      <c r="T16" s="210">
        <f>IF(SUMIF(T6:T13,"&lt;9E307")=M14,SUMIF(T6:T13,"&lt;9E307"),"有误，请检查")</f>
        <v>11659</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227">
        <v>140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140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43"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0.04</v>
      </c>
      <c r="C34" s="2343" t="s">
        <v>2895</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0.01</v>
      </c>
      <c r="C37" s="2343"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0.01</v>
      </c>
      <c r="C38" s="2343"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50"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1"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1"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9</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52" t="s">
        <v>2905</v>
      </c>
      <c r="D53" s="3053"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5" t="s">
        <v>2907</v>
      </c>
      <c r="B54" s="186">
        <v>9</v>
      </c>
      <c r="C54" s="1993">
        <v>30</v>
      </c>
      <c r="D54" s="305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5" t="s">
        <v>2908</v>
      </c>
      <c r="B55" s="186"/>
      <c r="C55" s="1993">
        <v>24</v>
      </c>
      <c r="D55" s="305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5" t="s">
        <v>2909</v>
      </c>
      <c r="B56" s="186"/>
      <c r="C56" s="1993">
        <v>18</v>
      </c>
      <c r="D56" s="305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5" t="s">
        <v>2910</v>
      </c>
      <c r="B57" s="186"/>
      <c r="C57" s="1993">
        <v>12</v>
      </c>
      <c r="D57" s="305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5" t="s">
        <v>2911</v>
      </c>
      <c r="B58" s="186"/>
      <c r="C58" s="1993">
        <v>3</v>
      </c>
      <c r="D58" s="305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5" t="s">
        <v>2912</v>
      </c>
      <c r="B59" s="186"/>
      <c r="C59" s="1993">
        <v>1.5</v>
      </c>
      <c r="D59" s="305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5"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5"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5"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6" t="s">
        <v>2916</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9" sqref="B1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2" t="s">
        <v>1664</v>
      </c>
      <c r="B1" s="3293"/>
      <c r="C1" s="3293"/>
      <c r="D1" s="3293"/>
      <c r="E1" s="3293"/>
      <c r="F1" s="3293"/>
      <c r="G1" s="3293"/>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67.5">
      <c r="A3" s="1226" t="s">
        <v>1667</v>
      </c>
      <c r="B3" s="1227" t="s">
        <v>1654</v>
      </c>
      <c r="C3" s="3182" t="s">
        <v>3243</v>
      </c>
      <c r="D3" s="2008"/>
      <c r="E3" s="1228" t="s">
        <v>1667</v>
      </c>
      <c r="F3" s="1229" t="s">
        <v>1655</v>
      </c>
      <c r="G3" s="3060" t="s">
        <v>2921</v>
      </c>
      <c r="H3" s="2007"/>
      <c r="I3" s="2007"/>
      <c r="J3" s="2007"/>
      <c r="K3" s="2007"/>
      <c r="L3" s="2007"/>
      <c r="M3" s="2007"/>
      <c r="N3" s="2007"/>
      <c r="O3" s="2007"/>
      <c r="P3" s="2007"/>
      <c r="Q3" s="2007"/>
      <c r="R3" s="2007"/>
    </row>
    <row r="4" spans="1:18" ht="41.25">
      <c r="A4" s="1228"/>
      <c r="B4" s="1230" t="s">
        <v>1668</v>
      </c>
      <c r="C4" s="3057" t="s">
        <v>2922</v>
      </c>
      <c r="D4" s="2008"/>
      <c r="E4" s="1231"/>
      <c r="F4" s="1232" t="s">
        <v>1669</v>
      </c>
      <c r="G4" s="3058" t="s">
        <v>2918</v>
      </c>
      <c r="H4" s="2007"/>
      <c r="I4" s="2007"/>
      <c r="J4" s="2007"/>
      <c r="K4" s="2007"/>
      <c r="L4" s="2007"/>
      <c r="M4" s="2007"/>
      <c r="N4" s="2007"/>
      <c r="O4" s="2007"/>
      <c r="P4" s="2007"/>
      <c r="Q4" s="2007"/>
      <c r="R4" s="2007"/>
    </row>
    <row r="5" spans="1:18" ht="41.25">
      <c r="A5" s="1228"/>
      <c r="B5" s="1230" t="s">
        <v>1670</v>
      </c>
      <c r="C5" s="3057" t="s">
        <v>2923</v>
      </c>
      <c r="D5" s="2008"/>
      <c r="E5" s="1231"/>
      <c r="F5" s="1230" t="s">
        <v>2547</v>
      </c>
      <c r="G5" s="3058" t="s">
        <v>2919</v>
      </c>
      <c r="H5" s="2007"/>
      <c r="I5" s="2007"/>
      <c r="J5" s="2007"/>
      <c r="K5" s="2007"/>
      <c r="L5" s="2007"/>
      <c r="M5" s="2007"/>
      <c r="N5" s="2007"/>
      <c r="O5" s="2007"/>
      <c r="P5" s="2007"/>
      <c r="Q5" s="2007"/>
      <c r="R5" s="2007"/>
    </row>
    <row r="6" spans="1:18" ht="67.5">
      <c r="A6" s="1228"/>
      <c r="B6" s="1230" t="s">
        <v>1656</v>
      </c>
      <c r="C6" s="3183" t="s">
        <v>3071</v>
      </c>
      <c r="D6" s="2008"/>
      <c r="E6" s="1231"/>
      <c r="F6" s="1230" t="s">
        <v>2548</v>
      </c>
      <c r="G6" s="3058" t="s">
        <v>2917</v>
      </c>
      <c r="H6" s="2007"/>
      <c r="I6" s="2007"/>
      <c r="J6" s="2007"/>
      <c r="K6" s="2007"/>
      <c r="L6" s="2007"/>
      <c r="M6" s="2007"/>
      <c r="N6" s="2007"/>
      <c r="O6" s="2007"/>
      <c r="P6" s="2007"/>
      <c r="Q6" s="2007"/>
      <c r="R6" s="2007"/>
    </row>
    <row r="7" spans="1:18" ht="54.75" thickBot="1">
      <c r="A7" s="1228"/>
      <c r="B7" s="1230" t="s">
        <v>2547</v>
      </c>
      <c r="C7" s="3183" t="s">
        <v>3072</v>
      </c>
      <c r="D7" s="2009"/>
      <c r="E7" s="1233"/>
      <c r="F7" s="1234" t="s">
        <v>1671</v>
      </c>
      <c r="G7" s="3061" t="s">
        <v>2920</v>
      </c>
      <c r="H7" s="2007"/>
      <c r="I7" s="2007"/>
      <c r="J7" s="2007"/>
      <c r="K7" s="2007"/>
      <c r="L7" s="2007"/>
      <c r="M7" s="2007"/>
      <c r="N7" s="2007"/>
      <c r="O7" s="2007"/>
      <c r="P7" s="2007"/>
      <c r="Q7" s="2007"/>
      <c r="R7" s="2007"/>
    </row>
    <row r="8" spans="1:18" ht="27">
      <c r="A8" s="1228"/>
      <c r="B8" s="1230" t="s">
        <v>2548</v>
      </c>
      <c r="C8" s="3183" t="s">
        <v>3251</v>
      </c>
      <c r="D8" s="2009"/>
      <c r="E8" s="2009"/>
      <c r="F8" s="1553"/>
      <c r="G8" s="1553"/>
      <c r="H8" s="2007"/>
      <c r="I8" s="2007"/>
      <c r="J8" s="2007"/>
      <c r="K8" s="2007"/>
      <c r="L8" s="2007"/>
      <c r="M8" s="2007"/>
      <c r="N8" s="2007"/>
      <c r="O8" s="2007"/>
      <c r="P8" s="2007"/>
      <c r="Q8" s="2007"/>
      <c r="R8" s="2007"/>
    </row>
    <row r="9" spans="1:18" ht="54">
      <c r="A9" s="1228"/>
      <c r="B9" s="1230" t="s">
        <v>1657</v>
      </c>
      <c r="C9" s="3184" t="s">
        <v>3073</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9" t="s">
        <v>3070</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3"/>
      <c r="E13" s="2556"/>
      <c r="F13" s="2556"/>
      <c r="G13" s="2556"/>
    </row>
    <row r="14" spans="1:18" ht="14.25" thickBot="1">
      <c r="A14" s="1237"/>
      <c r="B14" s="1238"/>
      <c r="C14" s="1239" t="s">
        <v>1665</v>
      </c>
      <c r="D14" s="2008"/>
      <c r="E14" s="1240"/>
      <c r="F14" s="1240"/>
      <c r="G14" s="1222" t="s">
        <v>1666</v>
      </c>
    </row>
    <row r="15" spans="1:18" ht="67.5">
      <c r="A15" s="2566" t="s">
        <v>1658</v>
      </c>
      <c r="B15" s="1241" t="s">
        <v>1654</v>
      </c>
      <c r="C15" s="1242" t="str">
        <f>C3</f>
        <v>估价对象周边居住用地比例较多、周边有腾瑞四季园、恒大等小区，社区发展完善程度较完善，综合评价居住社区成熟度较好</v>
      </c>
      <c r="D15" s="2008"/>
      <c r="E15" s="2563" t="s">
        <v>1659</v>
      </c>
      <c r="F15" s="1241" t="s">
        <v>1674</v>
      </c>
      <c r="G15" s="1243" t="str">
        <f>G3</f>
        <v>估价对象位于XX开发区，园区建设成熟度XX，产业集聚程度XX</v>
      </c>
    </row>
    <row r="16" spans="1:18" ht="40.5">
      <c r="A16" s="2567"/>
      <c r="B16" s="1244" t="s">
        <v>1668</v>
      </c>
      <c r="C16" s="1245" t="str">
        <f>C4</f>
        <v>估价对象位于XX商圈，周边商业氛围成熟，人流量大，商业繁华度好</v>
      </c>
      <c r="D16" s="2008"/>
      <c r="E16" s="2564"/>
      <c r="F16" s="1246" t="s">
        <v>1669</v>
      </c>
      <c r="G16" s="1004" t="str">
        <f>G4</f>
        <v>估价对象周边道路状况、公共交通通达情况、停车便捷程度，综合评价交通便捷度较好</v>
      </c>
    </row>
    <row r="17" spans="1:7" ht="40.5">
      <c r="A17" s="2567"/>
      <c r="B17" s="1244" t="s">
        <v>1670</v>
      </c>
      <c r="C17" s="1245" t="str">
        <f>C5</f>
        <v>估价对象位于XX商圈，周边办公楼项目较多，入驻率高，办公集聚程度较好</v>
      </c>
      <c r="D17" s="2009"/>
      <c r="E17" s="2564"/>
      <c r="F17" s="1246" t="s">
        <v>1675</v>
      </c>
      <c r="G17" s="2772"/>
    </row>
    <row r="18" spans="1:7" ht="67.5">
      <c r="A18" s="2567"/>
      <c r="B18" s="1246" t="s">
        <v>1656</v>
      </c>
      <c r="C18" s="1004" t="str">
        <f>C6</f>
        <v>估价对象有主干道东山路和次干道金马大道、有12、13、108等公交车经停、停车便捷程度较好，综合评价交通便捷度较好</v>
      </c>
      <c r="D18" s="2009"/>
      <c r="E18" s="2564"/>
      <c r="F18" s="1246" t="s">
        <v>1671</v>
      </c>
      <c r="G18" s="1004" t="str">
        <f>G7</f>
        <v>该园区内是否有污染型企业，绿化情况，卫生条件，整体环境状况判断</v>
      </c>
    </row>
    <row r="19" spans="1:7" ht="27">
      <c r="A19" s="2567"/>
      <c r="B19" s="1246" t="s">
        <v>1660</v>
      </c>
      <c r="C19" s="3193" t="s">
        <v>3241</v>
      </c>
      <c r="D19" s="2008"/>
      <c r="E19" s="2564"/>
      <c r="F19" s="1230" t="s">
        <v>2547</v>
      </c>
      <c r="G19" s="1004" t="str">
        <f>G5</f>
        <v>估价对象所在区域公共配套设施齐备情况</v>
      </c>
    </row>
    <row r="20" spans="1:7" ht="54">
      <c r="A20" s="2567"/>
      <c r="B20" s="1246" t="s">
        <v>1661</v>
      </c>
      <c r="C20" s="1245" t="str">
        <f>C9</f>
        <v>区域自然环境：；人文环境（潮州市行政学院、慧如公园）；综合评价环境状况较好</v>
      </c>
      <c r="D20" s="2009"/>
      <c r="E20" s="2564"/>
      <c r="F20" s="1230" t="s">
        <v>2548</v>
      </c>
      <c r="G20" s="1004" t="str">
        <f>G6</f>
        <v>估价对象所在区域基础设施水平</v>
      </c>
    </row>
    <row r="21" spans="1:7" ht="54">
      <c r="A21" s="2567"/>
      <c r="B21" s="1230" t="s">
        <v>2547</v>
      </c>
      <c r="C21" s="1004" t="str">
        <f>C7</f>
        <v>估价对象所在区域公共配套设施齐备较齐全（有金山中学、中国银行、韩溪眼科医院）</v>
      </c>
      <c r="D21" s="2008"/>
      <c r="E21" s="2564"/>
      <c r="F21" s="1246" t="s">
        <v>1662</v>
      </c>
      <c r="G21" s="3062"/>
    </row>
    <row r="22" spans="1:7" ht="27">
      <c r="A22" s="2567"/>
      <c r="B22" s="1230" t="s">
        <v>2548</v>
      </c>
      <c r="C22" s="1004" t="str">
        <f>C8</f>
        <v>估价对象所在区域基础设施水平较高</v>
      </c>
      <c r="D22" s="2008"/>
      <c r="E22" s="2564"/>
      <c r="F22" s="1246" t="s">
        <v>1672</v>
      </c>
      <c r="G22" s="2772"/>
    </row>
    <row r="23" spans="1:7" ht="15" thickBot="1">
      <c r="A23" s="2567"/>
      <c r="B23" s="1246" t="s">
        <v>1662</v>
      </c>
      <c r="C23" s="3062"/>
      <c r="E23" s="2565"/>
      <c r="F23" s="1247" t="s">
        <v>1676</v>
      </c>
      <c r="G23" s="3063"/>
    </row>
    <row r="24" spans="1:7" ht="14.25" thickBot="1">
      <c r="A24" s="2568"/>
      <c r="B24" s="1247" t="s">
        <v>1663</v>
      </c>
      <c r="C24" s="1248" t="str">
        <f>C10</f>
        <v>东山路-主干道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2845</v>
      </c>
      <c r="B1" s="3021">
        <f>SUM(B14:B23)</f>
        <v>245520.35</v>
      </c>
      <c r="C1" s="3022"/>
      <c r="D1" s="3022"/>
      <c r="E1" s="3022"/>
      <c r="F1" s="3022"/>
    </row>
    <row r="2" spans="1:9" ht="16.5">
      <c r="A2" s="3021" t="s">
        <v>2846</v>
      </c>
      <c r="B2" s="3021">
        <f>SUM(C14:C23)</f>
        <v>46806.26</v>
      </c>
      <c r="C2" s="3022"/>
      <c r="D2" s="3022"/>
      <c r="E2" s="3022"/>
      <c r="F2" s="3022"/>
    </row>
    <row r="3" spans="1:9" ht="16.5">
      <c r="A3" s="3021" t="s">
        <v>2847</v>
      </c>
      <c r="B3" s="3023">
        <f>项目基本情况!D3</f>
        <v>43438</v>
      </c>
      <c r="C3" s="3022"/>
      <c r="D3" s="3022"/>
      <c r="E3" s="3022"/>
      <c r="F3" s="3022"/>
    </row>
    <row r="4" spans="1:9" ht="33">
      <c r="A4" s="3021" t="s">
        <v>2848</v>
      </c>
      <c r="B4" s="3021" t="s">
        <v>2849</v>
      </c>
      <c r="C4" s="3021" t="s">
        <v>2850</v>
      </c>
      <c r="D4" s="3021" t="s">
        <v>2851</v>
      </c>
      <c r="E4" s="3022"/>
      <c r="F4" s="3022"/>
    </row>
    <row r="5" spans="1:9" ht="16.5">
      <c r="A5" s="3021" t="s">
        <v>2852</v>
      </c>
      <c r="B5" s="3021">
        <f ca="1">SUM(D14:D23)</f>
        <v>39475</v>
      </c>
      <c r="C5" s="3021">
        <f ca="1">ROUND(B5*10000/$B$1,0)</f>
        <v>1608</v>
      </c>
      <c r="D5" s="3021">
        <f ca="1">ROUND(B5*10000/$B$2,0)</f>
        <v>8434</v>
      </c>
      <c r="E5" s="3022"/>
      <c r="F5" s="3022"/>
    </row>
    <row r="6" spans="1:9" ht="16.5">
      <c r="A6" s="3021" t="s">
        <v>2853</v>
      </c>
      <c r="B6" s="3021">
        <f>SUM(G14:G23)</f>
        <v>0</v>
      </c>
      <c r="C6" s="3021">
        <f t="shared" ref="C6:C8" si="0">ROUND(B6*10000/$B$1,0)</f>
        <v>0</v>
      </c>
      <c r="D6" s="3021">
        <f t="shared" ref="D6:D8" si="1">ROUND(B6*10000/$B$2,0)</f>
        <v>0</v>
      </c>
      <c r="E6" s="3022"/>
      <c r="F6" s="3022"/>
    </row>
    <row r="7" spans="1:9" ht="16.5">
      <c r="A7" s="3021" t="s">
        <v>2854</v>
      </c>
      <c r="B7" s="3021">
        <f>SUM(H14:H23)</f>
        <v>0</v>
      </c>
      <c r="C7" s="3021">
        <f t="shared" si="0"/>
        <v>0</v>
      </c>
      <c r="D7" s="3021">
        <f t="shared" si="1"/>
        <v>0</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245520.35</v>
      </c>
      <c r="C14" s="3025">
        <f>结果表!K38</f>
        <v>46806.26</v>
      </c>
      <c r="D14" s="3025">
        <f ca="1">结果表!C42</f>
        <v>39475</v>
      </c>
      <c r="E14" s="3025">
        <f ca="1">ROUND(D14*10000/B14,0)</f>
        <v>1608</v>
      </c>
      <c r="F14" s="3025">
        <f ca="1">ROUND(D14*10000/C14,0)</f>
        <v>8434</v>
      </c>
      <c r="G14" s="3025" t="str">
        <f>结果表!C44</f>
        <v>——</v>
      </c>
      <c r="H14" s="3025" t="str">
        <f>结果表!C45</f>
        <v>——</v>
      </c>
      <c r="I14" s="3025" t="str">
        <f>结果表!C46</f>
        <v>——</v>
      </c>
    </row>
    <row r="15" spans="1:9" ht="16.5">
      <c r="A15" s="3028" t="s">
        <v>2862</v>
      </c>
      <c r="B15" s="3029"/>
      <c r="C15" s="3029"/>
      <c r="D15" s="3029"/>
      <c r="E15" s="3025" t="e">
        <f t="shared" ref="E15:E23" si="2">ROUND(D15*10000/B15,0)</f>
        <v>#DIV/0!</v>
      </c>
      <c r="F15" s="3025" t="e">
        <f t="shared" ref="F15:F23" si="3">ROUND(D15*10000/C15,0)</f>
        <v>#DIV/0!</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2" zoomScaleNormal="100" zoomScaleSheetLayoutView="100" zoomScalePageLayoutView="80" workbookViewId="0">
      <selection activeCell="G37" sqref="G3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330" t="str">
        <f>项目基本情况!K2</f>
        <v>广东省潮州市潮州市东山旅游度假区A6、B7出让国有建设用地使用权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4.25">
      <c r="A3" s="3323" t="s">
        <v>298</v>
      </c>
      <c r="B3" s="3324"/>
      <c r="C3" s="3324"/>
      <c r="D3" s="3324"/>
      <c r="E3" s="3324"/>
      <c r="F3" s="3324"/>
      <c r="G3" s="3324"/>
      <c r="H3" s="3324"/>
      <c r="I3" s="3324"/>
      <c r="J3" s="2029"/>
      <c r="K3" s="2028"/>
      <c r="L3" s="2028"/>
      <c r="M3" s="2028"/>
      <c r="N3" s="2028"/>
      <c r="O3" s="2028"/>
      <c r="P3" s="2028"/>
      <c r="Q3" s="2028"/>
      <c r="R3" s="2028"/>
      <c r="S3" s="2028"/>
      <c r="T3" s="2028"/>
      <c r="U3" s="2028"/>
      <c r="V3" s="2028"/>
    </row>
    <row r="4" spans="1:22" ht="14.25">
      <c r="A4" s="258" t="s">
        <v>299</v>
      </c>
      <c r="B4" s="259" t="s">
        <v>300</v>
      </c>
      <c r="C4" s="260" t="s">
        <v>3055</v>
      </c>
      <c r="D4" s="260" t="s">
        <v>3056</v>
      </c>
      <c r="E4" s="3295" t="s">
        <v>301</v>
      </c>
      <c r="F4" s="3296"/>
      <c r="G4" s="3296"/>
      <c r="H4" s="3296"/>
      <c r="I4" s="3325"/>
      <c r="J4" s="2029"/>
      <c r="K4" s="2028"/>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94" t="s">
        <v>302</v>
      </c>
      <c r="B5" s="3320">
        <v>25</v>
      </c>
      <c r="C5" s="3318"/>
      <c r="D5" s="3322"/>
      <c r="E5" s="261" t="s">
        <v>303</v>
      </c>
      <c r="F5" s="262"/>
      <c r="G5" s="262"/>
      <c r="H5" s="262"/>
      <c r="I5" s="263"/>
      <c r="J5" s="2029"/>
      <c r="K5" s="2028"/>
      <c r="L5" s="2028"/>
      <c r="M5" s="2028"/>
      <c r="N5" s="2028"/>
      <c r="O5" s="2028"/>
      <c r="P5" s="2028"/>
      <c r="Q5" s="2028"/>
      <c r="R5" s="2028"/>
      <c r="S5" s="2028"/>
      <c r="T5" s="2028"/>
      <c r="U5" s="2028"/>
      <c r="V5" s="2028"/>
    </row>
    <row r="6" spans="1:22" ht="14.25">
      <c r="A6" s="3294"/>
      <c r="B6" s="3320"/>
      <c r="C6" s="3321"/>
      <c r="D6" s="3322"/>
      <c r="E6" s="261" t="s">
        <v>304</v>
      </c>
      <c r="F6" s="262"/>
      <c r="G6" s="262"/>
      <c r="H6" s="262"/>
      <c r="I6" s="263"/>
      <c r="J6" s="2029"/>
      <c r="K6" s="2028"/>
      <c r="L6" s="2028"/>
      <c r="M6" s="2028"/>
      <c r="N6" s="2028"/>
      <c r="O6" s="2028"/>
      <c r="P6" s="2028"/>
      <c r="Q6" s="2028"/>
      <c r="R6" s="2028"/>
      <c r="S6" s="2028"/>
      <c r="T6" s="2028"/>
      <c r="U6" s="2028"/>
      <c r="V6" s="2028"/>
    </row>
    <row r="7" spans="1:22" ht="14.25">
      <c r="A7" s="3294"/>
      <c r="B7" s="3320"/>
      <c r="C7" s="3319"/>
      <c r="D7" s="3322"/>
      <c r="E7" s="261" t="s">
        <v>305</v>
      </c>
      <c r="F7" s="262"/>
      <c r="G7" s="262"/>
      <c r="H7" s="262"/>
      <c r="I7" s="263"/>
      <c r="J7" s="2029"/>
      <c r="K7" s="2028"/>
      <c r="L7" s="2028"/>
      <c r="M7" s="2028"/>
      <c r="N7" s="2028"/>
      <c r="O7" s="2028"/>
      <c r="P7" s="2028"/>
      <c r="Q7" s="2028"/>
      <c r="R7" s="2028"/>
      <c r="S7" s="2028"/>
      <c r="T7" s="2028"/>
      <c r="U7" s="2028"/>
      <c r="V7" s="2028"/>
    </row>
    <row r="8" spans="1:22" ht="14.25">
      <c r="A8" s="3294" t="s">
        <v>306</v>
      </c>
      <c r="B8" s="3320">
        <v>15</v>
      </c>
      <c r="C8" s="3318"/>
      <c r="D8" s="3322"/>
      <c r="E8" s="261" t="s">
        <v>307</v>
      </c>
      <c r="F8" s="262"/>
      <c r="G8" s="262"/>
      <c r="H8" s="262"/>
      <c r="I8" s="263"/>
      <c r="J8" s="2029"/>
      <c r="K8" s="2028"/>
      <c r="L8" s="2028"/>
      <c r="M8" s="2028"/>
      <c r="N8" s="2028"/>
      <c r="O8" s="2028"/>
      <c r="P8" s="2028"/>
      <c r="Q8" s="2028"/>
      <c r="R8" s="2028"/>
      <c r="S8" s="2028"/>
      <c r="T8" s="2028"/>
      <c r="U8" s="2028"/>
      <c r="V8" s="2028"/>
    </row>
    <row r="9" spans="1:22" ht="14.25">
      <c r="A9" s="3294"/>
      <c r="B9" s="3320"/>
      <c r="C9" s="3319"/>
      <c r="D9" s="3322"/>
      <c r="E9" s="261" t="s">
        <v>308</v>
      </c>
      <c r="F9" s="262"/>
      <c r="G9" s="262"/>
      <c r="H9" s="262"/>
      <c r="I9" s="263"/>
      <c r="J9" s="2029"/>
      <c r="K9" s="2028"/>
      <c r="L9" s="2028"/>
      <c r="M9" s="2028"/>
      <c r="N9" s="2028"/>
      <c r="O9" s="2028"/>
      <c r="P9" s="2028"/>
      <c r="Q9" s="2028"/>
      <c r="R9" s="2028"/>
      <c r="S9" s="2028"/>
      <c r="T9" s="2028"/>
      <c r="U9" s="2028"/>
      <c r="V9" s="2028"/>
    </row>
    <row r="10" spans="1:22" ht="14.25">
      <c r="A10" s="3294" t="s">
        <v>309</v>
      </c>
      <c r="B10" s="3320">
        <v>15</v>
      </c>
      <c r="C10" s="3318"/>
      <c r="D10" s="3322"/>
      <c r="E10" s="261" t="s">
        <v>310</v>
      </c>
      <c r="F10" s="262"/>
      <c r="G10" s="262"/>
      <c r="H10" s="262"/>
      <c r="I10" s="263"/>
      <c r="J10" s="2029"/>
      <c r="K10" s="2028"/>
      <c r="L10" s="2028"/>
      <c r="M10" s="2028"/>
      <c r="N10" s="2028"/>
      <c r="O10" s="2028"/>
      <c r="P10" s="2028"/>
      <c r="Q10" s="2028"/>
      <c r="R10" s="2028"/>
      <c r="S10" s="2028"/>
      <c r="T10" s="2028"/>
      <c r="U10" s="2028"/>
      <c r="V10" s="2028"/>
    </row>
    <row r="11" spans="1:22" ht="14.25">
      <c r="A11" s="3294"/>
      <c r="B11" s="3320"/>
      <c r="C11" s="3319"/>
      <c r="D11" s="3322"/>
      <c r="E11" s="261" t="s">
        <v>311</v>
      </c>
      <c r="F11" s="262"/>
      <c r="G11" s="262"/>
      <c r="H11" s="262"/>
      <c r="I11" s="263"/>
      <c r="J11" s="2029"/>
      <c r="K11" s="2028"/>
      <c r="L11" s="2028"/>
      <c r="M11" s="2028"/>
      <c r="N11" s="2028"/>
      <c r="O11" s="2028"/>
      <c r="P11" s="2028"/>
      <c r="Q11" s="2028"/>
      <c r="R11" s="2028"/>
      <c r="S11" s="2028"/>
      <c r="T11" s="2028"/>
      <c r="U11" s="2028"/>
      <c r="V11" s="2028"/>
    </row>
    <row r="12" spans="1:22" ht="14.25">
      <c r="A12" s="3294" t="s">
        <v>312</v>
      </c>
      <c r="B12" s="3320">
        <v>15</v>
      </c>
      <c r="C12" s="3318"/>
      <c r="D12" s="3322"/>
      <c r="E12" s="261" t="s">
        <v>313</v>
      </c>
      <c r="F12" s="262"/>
      <c r="G12" s="262"/>
      <c r="H12" s="262"/>
      <c r="I12" s="263"/>
      <c r="J12" s="2029"/>
      <c r="K12" s="2028"/>
      <c r="L12" s="2028"/>
      <c r="M12" s="2028"/>
      <c r="N12" s="2028"/>
      <c r="O12" s="2028"/>
      <c r="P12" s="2028"/>
      <c r="Q12" s="2028"/>
      <c r="R12" s="2028"/>
      <c r="S12" s="2028"/>
      <c r="T12" s="2028"/>
      <c r="U12" s="2028"/>
      <c r="V12" s="2028"/>
    </row>
    <row r="13" spans="1:22" ht="14.25">
      <c r="A13" s="3294"/>
      <c r="B13" s="3320"/>
      <c r="C13" s="3319"/>
      <c r="D13" s="3322"/>
      <c r="E13" s="261" t="s">
        <v>314</v>
      </c>
      <c r="F13" s="262"/>
      <c r="G13" s="262"/>
      <c r="H13" s="262"/>
      <c r="I13" s="263"/>
      <c r="J13" s="2029"/>
      <c r="K13" s="2028"/>
      <c r="L13" s="2028"/>
      <c r="M13" s="2028"/>
      <c r="N13" s="2028"/>
      <c r="O13" s="2028"/>
      <c r="P13" s="2028"/>
      <c r="Q13" s="2028"/>
      <c r="R13" s="2028"/>
      <c r="S13" s="2028"/>
      <c r="T13" s="2028"/>
      <c r="U13" s="2028"/>
      <c r="V13" s="2028"/>
    </row>
    <row r="14" spans="1:22" ht="14.25">
      <c r="A14" s="3294" t="s">
        <v>315</v>
      </c>
      <c r="B14" s="3320">
        <v>30</v>
      </c>
      <c r="C14" s="3318">
        <v>5</v>
      </c>
      <c r="D14" s="3322">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94"/>
      <c r="B15" s="3320"/>
      <c r="C15" s="3321"/>
      <c r="D15" s="3322"/>
      <c r="E15" s="261" t="s">
        <v>317</v>
      </c>
      <c r="F15" s="262"/>
      <c r="G15" s="262"/>
      <c r="H15" s="262"/>
      <c r="I15" s="263"/>
      <c r="J15" s="2029"/>
      <c r="K15" s="2028"/>
      <c r="L15" s="2028"/>
      <c r="M15" s="2028"/>
      <c r="N15" s="2028"/>
      <c r="O15" s="2028"/>
      <c r="P15" s="2028"/>
      <c r="Q15" s="2028"/>
      <c r="R15" s="2028"/>
      <c r="S15" s="2028"/>
      <c r="T15" s="2028"/>
      <c r="U15" s="2028"/>
      <c r="V15" s="2028"/>
    </row>
    <row r="16" spans="1:22" ht="14.25">
      <c r="A16" s="3294"/>
      <c r="B16" s="3320"/>
      <c r="C16" s="3319"/>
      <c r="D16" s="3322"/>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37456</v>
      </c>
      <c r="D19" s="271">
        <f ca="1">SUMIF(INDIRECT("'"&amp;D4&amp;"'"&amp;"!A:A"),结果表!B19,INDIRECT("'"&amp;D4&amp;"'"&amp;"!B:B"))</f>
        <v>41493</v>
      </c>
      <c r="E19" s="268" t="s">
        <v>323</v>
      </c>
      <c r="F19" s="269" t="s">
        <v>322</v>
      </c>
      <c r="G19" s="272">
        <f ca="1">ROUND(C19*$C$18+D19*$D$18,0)</f>
        <v>39475</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1526</v>
      </c>
      <c r="D20" s="277">
        <f ca="1">SUMIF(INDIRECT("'"&amp;D4&amp;"'"&amp;"!A:A"),结果表!B20,INDIRECT("'"&amp;D4&amp;"'"&amp;"!B:B"))</f>
        <v>1690</v>
      </c>
      <c r="E20" s="274"/>
      <c r="F20" s="275" t="s">
        <v>325</v>
      </c>
      <c r="G20" s="278">
        <f ca="1">ROUND(C20*$C$18+D20*$D$18,0)</f>
        <v>1608</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8002</v>
      </c>
      <c r="D21" s="151">
        <f ca="1">SUMIF(INDIRECT("'"&amp;D4&amp;"'"&amp;"!A:A"),结果表!B21,INDIRECT("'"&amp;D4&amp;"'"&amp;"!B:B"))</f>
        <v>8865</v>
      </c>
      <c r="E21" s="274"/>
      <c r="F21" s="280" t="s">
        <v>327</v>
      </c>
      <c r="G21" s="282">
        <f ca="1">ROUND(C21*$C$18+D21*$D$18,0)</f>
        <v>8434</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0.10777979495941903</v>
      </c>
      <c r="E22" s="284"/>
      <c r="F22" s="285"/>
      <c r="G22" s="286">
        <f ca="1">ROUND(G19/('数据-汇总表'!D3/666.67),0)</f>
        <v>562</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0"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01"/>
      <c r="B25" s="1320" t="s">
        <v>331</v>
      </c>
      <c r="C25" s="290">
        <f>IF(B30=0,0,C30)</f>
        <v>0</v>
      </c>
      <c r="D25" s="291"/>
      <c r="E25" s="311"/>
      <c r="F25" s="311"/>
      <c r="G25" s="311"/>
      <c r="H25" s="311"/>
      <c r="I25" s="311"/>
      <c r="J25" s="2028"/>
      <c r="K25" s="1254" t="str">
        <f ca="1">项目基本情况!B16&amp;"国有建设用地使用权价格："&amp;O38&amp;"万元"</f>
        <v>出让国有建设用地使用权价格：39475万元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大写金额：人民币叁亿玖仟肆佰柒拾伍万元整</v>
      </c>
      <c r="L26" s="1251"/>
      <c r="M26" s="1251"/>
      <c r="N26" s="1251"/>
      <c r="O26" s="1250"/>
      <c r="P26" s="2028"/>
      <c r="Q26" s="2028"/>
      <c r="R26" s="2028"/>
      <c r="S26" s="2028"/>
      <c r="T26" s="2028"/>
      <c r="U26" s="2028"/>
      <c r="V26" s="2028"/>
      <c r="W26" s="292"/>
      <c r="X26" s="292"/>
      <c r="Y26" s="292"/>
      <c r="Z26" s="292"/>
    </row>
    <row r="27" spans="1:26" ht="18">
      <c r="A27" s="293"/>
      <c r="B27" s="294"/>
      <c r="C27" s="294"/>
      <c r="D27" s="295">
        <f ca="1">G19/'数据-汇总表'!F31*10000</f>
        <v>2065.4381020510073</v>
      </c>
      <c r="E27" s="311"/>
      <c r="F27" s="311"/>
      <c r="G27" s="311"/>
      <c r="H27" s="311"/>
      <c r="I27" s="311"/>
      <c r="J27" s="2028"/>
      <c r="K27" s="1257" t="str">
        <f ca="1">"单位面积地价："&amp;M38&amp;"元/平方米"</f>
        <v>单位面积地价：8434元/平方米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楼面地价：1608元/平方米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05" t="s">
        <v>336</v>
      </c>
      <c r="B30" s="309"/>
      <c r="C30" s="309"/>
      <c r="D30" s="310"/>
      <c r="E30" s="3106" t="s">
        <v>2970</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抵押担保权已注销时的抵押价格：——万元</v>
      </c>
      <c r="L31" s="2443"/>
      <c r="M31" s="2443"/>
      <c r="N31" s="2443"/>
      <c r="O31" s="2444"/>
      <c r="P31" s="2028"/>
      <c r="V31" s="2028"/>
    </row>
    <row r="32" spans="1:26" ht="18.75" thickBot="1">
      <c r="A32" s="268" t="s">
        <v>337</v>
      </c>
      <c r="B32" s="1381" t="s">
        <v>1689</v>
      </c>
      <c r="C32" s="1382">
        <f ca="1">G19-C24</f>
        <v>39475</v>
      </c>
      <c r="D32" s="1383" t="s">
        <v>1690</v>
      </c>
      <c r="E32" s="311"/>
      <c r="F32" s="311"/>
      <c r="G32" s="311"/>
      <c r="H32" s="311"/>
      <c r="I32" s="311"/>
      <c r="J32" s="2028"/>
      <c r="K32" s="2442" t="e">
        <f>IF(K31="——","——","大写金额：人民币"&amp;NUMBERSTRING(INT(O40*10000),2)&amp;"元整")</f>
        <v>#VALUE!</v>
      </c>
      <c r="L32" s="2445"/>
      <c r="M32" s="2445"/>
      <c r="N32" s="2445"/>
      <c r="O32" s="2446"/>
      <c r="P32" s="2028"/>
      <c r="V32" s="2028"/>
    </row>
    <row r="33" spans="1:26" ht="18.75" thickBot="1">
      <c r="A33" s="298" t="s">
        <v>340</v>
      </c>
      <c r="B33" s="1384" t="s">
        <v>1691</v>
      </c>
      <c r="C33" s="264">
        <f ca="1">ROUND(C32*10000/'数据-汇总表'!E3,0)</f>
        <v>1608</v>
      </c>
      <c r="D33" s="1385" t="s">
        <v>1692</v>
      </c>
      <c r="E33" s="3300" t="s">
        <v>338</v>
      </c>
      <c r="F33" s="296" t="s">
        <v>339</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8434</v>
      </c>
      <c r="D34" s="1387" t="s">
        <v>1692</v>
      </c>
      <c r="E34" s="3341"/>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562</v>
      </c>
      <c r="D35" s="1390" t="s">
        <v>1694</v>
      </c>
      <c r="E35" s="3342"/>
      <c r="F35" s="301" t="s">
        <v>342</v>
      </c>
      <c r="G35" s="981"/>
      <c r="H35" s="980" t="s">
        <v>343</v>
      </c>
      <c r="I35" s="311"/>
      <c r="J35" s="2028"/>
      <c r="K35" s="3315" t="s">
        <v>350</v>
      </c>
      <c r="L35" s="3315" t="s">
        <v>351</v>
      </c>
      <c r="M35" s="1263" t="s">
        <v>352</v>
      </c>
      <c r="N35" s="3315" t="s">
        <v>353</v>
      </c>
      <c r="O35" s="3315" t="s">
        <v>354</v>
      </c>
      <c r="P35" s="2028"/>
      <c r="V35" s="2028"/>
    </row>
    <row r="36" spans="1:26" ht="16.5" customHeight="1">
      <c r="A36" s="303" t="s">
        <v>344</v>
      </c>
      <c r="B36" s="304" t="s">
        <v>333</v>
      </c>
      <c r="C36" s="305" t="s">
        <v>345</v>
      </c>
      <c r="D36" s="305" t="s">
        <v>346</v>
      </c>
      <c r="E36" s="306" t="s">
        <v>347</v>
      </c>
      <c r="F36" s="311"/>
      <c r="G36" s="311"/>
      <c r="H36" s="311"/>
      <c r="I36" s="311"/>
      <c r="J36" s="2030"/>
      <c r="K36" s="3316"/>
      <c r="L36" s="3316"/>
      <c r="M36" s="1265" t="s">
        <v>355</v>
      </c>
      <c r="N36" s="3316"/>
      <c r="O36" s="3316"/>
      <c r="P36" s="2028"/>
      <c r="V36" s="2028"/>
    </row>
    <row r="37" spans="1:26" ht="16.5" customHeight="1" thickBot="1">
      <c r="A37" s="1259" t="s">
        <v>348</v>
      </c>
      <c r="B37" s="307"/>
      <c r="C37" s="294"/>
      <c r="D37" s="294"/>
      <c r="E37" s="295"/>
      <c r="F37" s="311"/>
      <c r="G37" s="311"/>
      <c r="H37" s="311"/>
      <c r="I37" s="311"/>
      <c r="J37" s="2030"/>
      <c r="K37" s="3317"/>
      <c r="L37" s="3317"/>
      <c r="M37" s="1266"/>
      <c r="N37" s="3317"/>
      <c r="O37" s="3317"/>
      <c r="P37" s="2028"/>
      <c r="V37" s="2028"/>
    </row>
    <row r="38" spans="1:26" ht="16.5" customHeight="1" thickBot="1">
      <c r="A38" s="1259" t="s">
        <v>349</v>
      </c>
      <c r="B38" s="307"/>
      <c r="C38" s="294"/>
      <c r="D38" s="294"/>
      <c r="E38" s="295"/>
      <c r="F38" s="311"/>
      <c r="G38" s="311"/>
      <c r="H38" s="311"/>
      <c r="I38" s="311"/>
      <c r="J38" s="2030"/>
      <c r="K38" s="1267">
        <f>'数据-汇总表'!D3</f>
        <v>46806.26</v>
      </c>
      <c r="L38" s="1268">
        <f>'数据-汇总表'!E3</f>
        <v>245520.35</v>
      </c>
      <c r="M38" s="1268">
        <f ca="1">C34</f>
        <v>8434</v>
      </c>
      <c r="N38" s="1268">
        <f ca="1">C33</f>
        <v>1608</v>
      </c>
      <c r="O38" s="1269">
        <f ca="1">C32</f>
        <v>39475</v>
      </c>
      <c r="P38" s="2028"/>
      <c r="V38" s="2028"/>
    </row>
    <row r="39" spans="1:26" ht="16.5" customHeight="1" thickBot="1">
      <c r="A39" s="1264"/>
      <c r="B39" s="308"/>
      <c r="C39" s="309"/>
      <c r="D39" s="309"/>
      <c r="E39" s="310"/>
      <c r="F39" s="311"/>
      <c r="G39" s="311"/>
      <c r="H39" s="311"/>
      <c r="I39" s="311"/>
      <c r="J39" s="2030"/>
      <c r="K39" s="3360" t="str">
        <f>MID(A44,3,LEN(A44)-2)</f>
        <v/>
      </c>
      <c r="L39" s="3361"/>
      <c r="M39" s="3361"/>
      <c r="N39" s="3362"/>
      <c r="O39" s="1392" t="str">
        <f>C44</f>
        <v>——</v>
      </c>
      <c r="P39" s="2028"/>
      <c r="V39" s="2028"/>
    </row>
    <row r="40" spans="1:26" ht="19.5" thickBot="1">
      <c r="A40" s="104" t="s">
        <v>873</v>
      </c>
      <c r="B40" s="311"/>
      <c r="C40" s="311"/>
      <c r="D40" s="311"/>
      <c r="E40" s="311"/>
      <c r="F40" s="311"/>
      <c r="G40" s="311"/>
      <c r="H40" s="311"/>
      <c r="I40" s="311"/>
      <c r="J40" s="2030"/>
      <c r="K40" s="3360" t="str">
        <f t="shared" ref="K40:K41" si="0">MID(A45,3,LEN(A45)-2)</f>
        <v/>
      </c>
      <c r="L40" s="3361"/>
      <c r="M40" s="3361"/>
      <c r="N40" s="3362"/>
      <c r="O40" s="1392" t="str">
        <f>C45</f>
        <v>——</v>
      </c>
      <c r="P40" s="2028"/>
      <c r="V40" s="2028"/>
    </row>
    <row r="41" spans="1:26" ht="16.5" thickBot="1">
      <c r="A41" s="312" t="s">
        <v>356</v>
      </c>
      <c r="B41" s="313"/>
      <c r="C41" s="314" t="s">
        <v>357</v>
      </c>
      <c r="D41" s="315" t="s">
        <v>358</v>
      </c>
      <c r="E41" s="315" t="s">
        <v>359</v>
      </c>
      <c r="F41" s="316" t="s">
        <v>360</v>
      </c>
      <c r="G41" s="311"/>
      <c r="H41" s="311"/>
      <c r="I41" s="311"/>
      <c r="J41" s="2030"/>
      <c r="K41" s="3360" t="str">
        <f t="shared" si="0"/>
        <v/>
      </c>
      <c r="L41" s="3361"/>
      <c r="M41" s="3361"/>
      <c r="N41" s="3362"/>
      <c r="O41" s="1392" t="str">
        <f>C46</f>
        <v>——</v>
      </c>
      <c r="P41" s="2028"/>
      <c r="V41" s="2028"/>
    </row>
    <row r="42" spans="1:26" ht="29.25">
      <c r="A42" s="3302" t="s">
        <v>2068</v>
      </c>
      <c r="B42" s="3303"/>
      <c r="C42" s="264">
        <f ca="1">C32</f>
        <v>39475</v>
      </c>
      <c r="D42" s="317">
        <f ca="1">C33</f>
        <v>1608</v>
      </c>
      <c r="E42" s="317">
        <f ca="1">C34</f>
        <v>8434</v>
      </c>
      <c r="F42" s="318">
        <f ca="1">C35</f>
        <v>562</v>
      </c>
      <c r="G42" s="311"/>
      <c r="H42" s="311"/>
      <c r="I42" s="319"/>
      <c r="J42" s="2030"/>
      <c r="K42" s="1270" t="s">
        <v>361</v>
      </c>
      <c r="L42" s="2047" t="s">
        <v>362</v>
      </c>
      <c r="M42" s="1271" t="s">
        <v>363</v>
      </c>
      <c r="N42" s="2048" t="s">
        <v>364</v>
      </c>
      <c r="O42" s="2049" t="s">
        <v>365</v>
      </c>
      <c r="P42" s="2028"/>
      <c r="V42" s="2028"/>
    </row>
    <row r="43" spans="1:26" ht="30">
      <c r="A43" s="3313" t="s">
        <v>2731</v>
      </c>
      <c r="B43" s="3314"/>
      <c r="C43" s="264">
        <f>IF(H33="正常操作",G33+G34+G35,G34+G35)</f>
        <v>0</v>
      </c>
      <c r="D43" s="317" t="s">
        <v>43</v>
      </c>
      <c r="E43" s="317" t="s">
        <v>44</v>
      </c>
      <c r="F43" s="318" t="s">
        <v>44</v>
      </c>
      <c r="G43" s="2845" t="s">
        <v>952</v>
      </c>
      <c r="H43" s="311"/>
      <c r="I43" s="319"/>
      <c r="J43" s="2030"/>
      <c r="K43" s="1272" t="str">
        <f>C4</f>
        <v>剩余法-待开发</v>
      </c>
      <c r="L43" s="1273">
        <f ca="1">IF(L42="估价结果/万元",C19,C20)</f>
        <v>37456</v>
      </c>
      <c r="M43" s="1274">
        <f>C18</f>
        <v>0.5</v>
      </c>
      <c r="N43" s="1275">
        <f ca="1">IF(N42="测算结果/万元",G19,G20)</f>
        <v>39475</v>
      </c>
      <c r="O43" s="1276">
        <f ca="1">IF(O42="最终结果/万元",C32,C33)</f>
        <v>39475</v>
      </c>
      <c r="P43" s="2028"/>
      <c r="V43" s="2028"/>
    </row>
    <row r="44" spans="1:26" ht="30.75" thickBot="1">
      <c r="A44" s="3302" t="str">
        <f>IF(OR(项目基本情况!E8="抵押价格",项目基本情况!E8="已注销及未注销"),"3.抵押价格","——")</f>
        <v>——</v>
      </c>
      <c r="B44" s="3303"/>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比较法-住宅、综合</v>
      </c>
      <c r="L44" s="1278">
        <f ca="1">IF(L42="估价结果/万元",D19,D20)</f>
        <v>41493</v>
      </c>
      <c r="M44" s="1279">
        <f>D18</f>
        <v>0.5</v>
      </c>
      <c r="N44" s="1280"/>
      <c r="O44" s="1281"/>
      <c r="P44" s="2028"/>
      <c r="V44" s="2028"/>
    </row>
    <row r="45" spans="1:26" ht="15">
      <c r="A45" s="3308" t="str">
        <f>IF(项目基本情况!E8="已注销及未注销","4.抵押担保权已注销时的抵押价格",IF(项目基本情况!E8="已注销","3.抵押担保权已注销时的抵押价格","——"))</f>
        <v>——</v>
      </c>
      <c r="B45" s="3309"/>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4" t="str">
        <f>IF(项目基本情况!E9="抵押净值",IF(A45="——","4.抵押净值","5.抵押净值"),"——")</f>
        <v>——</v>
      </c>
      <c r="B46" s="330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9" t="s">
        <v>374</v>
      </c>
      <c r="B63" s="3350"/>
      <c r="C63" s="3351"/>
      <c r="D63" s="341">
        <f ca="1">ROUND(C42*F63,0)</f>
        <v>23685</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10" t="s">
        <v>378</v>
      </c>
      <c r="B64" s="3311"/>
      <c r="C64" s="3311"/>
      <c r="D64" s="3311"/>
      <c r="E64" s="3311"/>
      <c r="F64" s="3311"/>
      <c r="G64" s="3312"/>
      <c r="H64" s="1287"/>
      <c r="I64" s="947"/>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06" t="s">
        <v>386</v>
      </c>
      <c r="B66" s="3307"/>
      <c r="C66" s="3307"/>
      <c r="D66" s="261">
        <f ca="1">IF(H66="情况1",0,IF(H66="情况2",D70,IF(H66="情况3",D71,IF(H66="情况4",D72))))</f>
        <v>1263</v>
      </c>
      <c r="E66" s="992" t="str">
        <f>IF(H66="情况4","(销售额-原购置价)×税（费）率","销售额×税（费）率")</f>
        <v>销售额×税（费）率</v>
      </c>
      <c r="F66" s="350">
        <f>IF(H66="情况1","免征",'数据-取费表'!B41)</f>
        <v>5.6000000000000001E-2</v>
      </c>
      <c r="G66" s="351" t="s">
        <v>387</v>
      </c>
      <c r="H66" s="191" t="s">
        <v>388</v>
      </c>
      <c r="I66" s="1287"/>
      <c r="J66" s="2034"/>
      <c r="K66" s="1290">
        <v>1</v>
      </c>
      <c r="L66" s="3364" t="s">
        <v>385</v>
      </c>
      <c r="M66" s="3365"/>
      <c r="N66" s="2437"/>
      <c r="O66" s="2438"/>
      <c r="P66" s="2439"/>
      <c r="Q66" s="2028"/>
      <c r="R66" s="2028"/>
      <c r="S66" s="2028"/>
      <c r="T66" s="2028"/>
      <c r="U66" s="2028"/>
      <c r="V66" s="2028"/>
    </row>
    <row r="67" spans="1:22" ht="25.5" customHeight="1">
      <c r="A67" s="352" t="s">
        <v>390</v>
      </c>
      <c r="B67" s="3297" t="s">
        <v>391</v>
      </c>
      <c r="C67" s="3297"/>
      <c r="D67" s="353">
        <v>0</v>
      </c>
      <c r="E67" s="41" t="s">
        <v>392</v>
      </c>
      <c r="F67" s="62" t="s">
        <v>21</v>
      </c>
      <c r="G67" s="3352"/>
      <c r="H67" s="311"/>
      <c r="I67" s="1291"/>
      <c r="J67" s="2035"/>
      <c r="K67" s="1976">
        <v>2</v>
      </c>
      <c r="L67" s="3363" t="s">
        <v>389</v>
      </c>
      <c r="M67" s="3363"/>
      <c r="N67" s="1324">
        <f>'数据-取费表'!B2</f>
        <v>43438</v>
      </c>
      <c r="O67" s="1324"/>
      <c r="P67" s="1324"/>
      <c r="Q67" s="2028"/>
      <c r="R67" s="2028"/>
      <c r="S67" s="2028"/>
      <c r="T67" s="2028"/>
      <c r="U67" s="2028"/>
      <c r="V67" s="2028"/>
    </row>
    <row r="68" spans="1:22" ht="25.5" customHeight="1">
      <c r="A68" s="354"/>
      <c r="B68" s="3297" t="s">
        <v>394</v>
      </c>
      <c r="C68" s="3297"/>
      <c r="D68" s="355"/>
      <c r="E68" s="77"/>
      <c r="F68" s="356"/>
      <c r="G68" s="3353"/>
      <c r="H68" s="311"/>
      <c r="I68" s="1291"/>
      <c r="J68" s="2035"/>
      <c r="K68" s="1976">
        <v>3</v>
      </c>
      <c r="L68" s="3363" t="s">
        <v>393</v>
      </c>
      <c r="M68" s="3363"/>
      <c r="N68" s="1292">
        <f ca="1">C42</f>
        <v>39475</v>
      </c>
      <c r="O68" s="1292"/>
      <c r="P68" s="1292"/>
      <c r="Q68" s="2028"/>
      <c r="R68" s="2028"/>
      <c r="S68" s="2028"/>
      <c r="T68" s="2028"/>
      <c r="U68" s="2028"/>
      <c r="V68" s="2028"/>
    </row>
    <row r="69" spans="1:22" ht="12" customHeight="1">
      <c r="A69" s="357"/>
      <c r="B69" s="3297" t="s">
        <v>395</v>
      </c>
      <c r="C69" s="3297"/>
      <c r="D69" s="358"/>
      <c r="E69" s="73"/>
      <c r="F69" s="356"/>
      <c r="G69" s="3354"/>
      <c r="H69" s="311"/>
      <c r="I69" s="1291"/>
      <c r="J69" s="2035"/>
      <c r="K69" s="1293">
        <v>4</v>
      </c>
      <c r="L69" s="3368" t="s">
        <v>2884</v>
      </c>
      <c r="M69" s="3369"/>
      <c r="N69" s="1294" t="str">
        <f>C44</f>
        <v>——</v>
      </c>
      <c r="O69" s="1294"/>
      <c r="P69" s="1294"/>
      <c r="Q69" s="2028"/>
      <c r="R69" s="2028"/>
      <c r="S69" s="2028"/>
      <c r="T69" s="2028"/>
      <c r="U69" s="2028"/>
      <c r="V69" s="2028"/>
    </row>
    <row r="70" spans="1:22" ht="24" customHeight="1">
      <c r="A70" s="359" t="s">
        <v>396</v>
      </c>
      <c r="B70" s="3297" t="s">
        <v>397</v>
      </c>
      <c r="C70" s="3297"/>
      <c r="D70" s="358">
        <f ca="1">ROUND(D63*'数据-取费表'!B41/(1+'数据-取费表'!C42),0)</f>
        <v>1263</v>
      </c>
      <c r="E70" s="17" t="s">
        <v>398</v>
      </c>
      <c r="F70" s="360">
        <f>'数据-取费表'!B41</f>
        <v>5.6000000000000001E-2</v>
      </c>
      <c r="G70" s="361"/>
      <c r="H70" s="311"/>
      <c r="I70" s="1291"/>
      <c r="J70" s="2035"/>
      <c r="K70" s="3038"/>
      <c r="L70" s="3039"/>
      <c r="M70" s="3039"/>
      <c r="N70" s="3040" t="s">
        <v>2889</v>
      </c>
      <c r="O70" s="3039"/>
      <c r="P70" s="3041"/>
      <c r="Q70" s="2028"/>
      <c r="R70" s="2028"/>
      <c r="S70" s="2028"/>
      <c r="T70" s="2028"/>
      <c r="U70" s="2028"/>
      <c r="V70" s="2028"/>
    </row>
    <row r="71" spans="1:22" ht="12" customHeight="1">
      <c r="A71" s="359" t="s">
        <v>404</v>
      </c>
      <c r="B71" s="3298" t="s">
        <v>405</v>
      </c>
      <c r="C71" s="3299"/>
      <c r="D71" s="358">
        <f ca="1">ROUND(D63*'数据-取费表'!B41/(1+'数据-取费表'!C42),0)</f>
        <v>1263</v>
      </c>
      <c r="E71" s="17" t="s">
        <v>398</v>
      </c>
      <c r="F71" s="360">
        <f>'数据-取费表'!B41</f>
        <v>5.6000000000000001E-2</v>
      </c>
      <c r="G71" s="361"/>
      <c r="H71" s="311"/>
      <c r="I71" s="1291"/>
      <c r="J71" s="2035"/>
      <c r="K71" s="3037" t="s">
        <v>399</v>
      </c>
      <c r="L71" s="3370" t="s">
        <v>400</v>
      </c>
      <c r="M71" s="3370"/>
      <c r="N71" s="3037" t="s">
        <v>401</v>
      </c>
      <c r="O71" s="3037" t="s">
        <v>402</v>
      </c>
      <c r="P71" s="3037" t="s">
        <v>403</v>
      </c>
      <c r="Q71" s="2028"/>
      <c r="R71" s="2028"/>
      <c r="S71" s="2028"/>
      <c r="T71" s="2028"/>
      <c r="U71" s="2028"/>
      <c r="V71" s="2028"/>
    </row>
    <row r="72" spans="1:22" ht="12" customHeight="1">
      <c r="A72" s="359" t="s">
        <v>407</v>
      </c>
      <c r="B72" s="3298" t="s">
        <v>408</v>
      </c>
      <c r="C72" s="3299"/>
      <c r="D72" s="358">
        <f ca="1">C86</f>
        <v>1151</v>
      </c>
      <c r="E72" s="73" t="s">
        <v>409</v>
      </c>
      <c r="F72" s="360">
        <f>'数据-取费表'!B41</f>
        <v>5.6000000000000001E-2</v>
      </c>
      <c r="G72" s="361"/>
      <c r="H72" s="1297"/>
      <c r="I72" s="1291"/>
      <c r="J72" s="2035"/>
      <c r="K72" s="1976">
        <v>1</v>
      </c>
      <c r="L72" s="3345" t="s">
        <v>406</v>
      </c>
      <c r="M72" s="3345"/>
      <c r="N72" s="1295">
        <f ca="1">D66</f>
        <v>1263</v>
      </c>
      <c r="O72" s="1859" t="str">
        <f>E66</f>
        <v>销售额×税（费）率</v>
      </c>
      <c r="P72" s="1296">
        <f>F66</f>
        <v>5.6000000000000001E-2</v>
      </c>
      <c r="Q72" s="2028"/>
      <c r="R72" s="2028"/>
      <c r="S72" s="2028"/>
      <c r="T72" s="2028"/>
      <c r="U72" s="2028"/>
      <c r="V72" s="2028"/>
    </row>
    <row r="73" spans="1:22" ht="24" customHeight="1">
      <c r="A73" s="3339" t="s">
        <v>411</v>
      </c>
      <c r="B73" s="3307"/>
      <c r="C73" s="3307"/>
      <c r="D73" s="362">
        <f>IF(H73="个人住宅",0,ROUND(D63*I73,0))</f>
        <v>0</v>
      </c>
      <c r="E73" s="17" t="s">
        <v>412</v>
      </c>
      <c r="F73" s="360" t="str">
        <f>IF(H73="正常",I73,"免征")</f>
        <v>免征</v>
      </c>
      <c r="G73" s="361"/>
      <c r="H73" s="191" t="s">
        <v>2456</v>
      </c>
      <c r="I73" s="360">
        <f>'数据-取费表'!B49</f>
        <v>5.0000000000000001E-4</v>
      </c>
      <c r="J73" s="2035"/>
      <c r="K73" s="1976">
        <v>2</v>
      </c>
      <c r="L73" s="3345" t="s">
        <v>410</v>
      </c>
      <c r="M73" s="3345"/>
      <c r="N73" s="1295">
        <f t="shared" ref="N73:P74" si="1">D73</f>
        <v>0</v>
      </c>
      <c r="O73" s="1859" t="str">
        <f t="shared" si="1"/>
        <v>销售额×税（费）率</v>
      </c>
      <c r="P73" s="1296" t="str">
        <f t="shared" si="1"/>
        <v>免征</v>
      </c>
      <c r="Q73" s="2028"/>
      <c r="R73" s="2028"/>
      <c r="S73" s="2028"/>
      <c r="T73" s="2028"/>
      <c r="U73" s="2028"/>
      <c r="V73" s="2028"/>
    </row>
    <row r="74" spans="1:22" ht="24.75">
      <c r="A74" s="3339" t="s">
        <v>415</v>
      </c>
      <c r="B74" s="3307"/>
      <c r="C74" s="3307"/>
      <c r="D74" s="362">
        <f ca="1">IF(H74="个人住宅",D75,D76)</f>
        <v>12750</v>
      </c>
      <c r="E74" s="17" t="s">
        <v>416</v>
      </c>
      <c r="F74" s="360" t="str">
        <f>IF(H74="正常",F76,"免征")</f>
        <v>——</v>
      </c>
      <c r="G74" s="982" t="s">
        <v>417</v>
      </c>
      <c r="H74" s="363" t="s">
        <v>413</v>
      </c>
      <c r="I74" s="42"/>
      <c r="J74" s="2035"/>
      <c r="K74" s="1976">
        <v>3</v>
      </c>
      <c r="L74" s="3345" t="s">
        <v>414</v>
      </c>
      <c r="M74" s="3345"/>
      <c r="N74" s="1295">
        <f t="shared" ca="1" si="1"/>
        <v>12750</v>
      </c>
      <c r="O74" s="1859" t="str">
        <f t="shared" si="1"/>
        <v>增值额×税（费）率</v>
      </c>
      <c r="P74" s="1298" t="str">
        <f t="shared" si="1"/>
        <v>——</v>
      </c>
      <c r="Q74" s="2028"/>
      <c r="R74" s="2028"/>
      <c r="S74" s="2028"/>
      <c r="T74" s="2028"/>
      <c r="U74" s="2028"/>
      <c r="V74" s="2028"/>
    </row>
    <row r="75" spans="1:22" ht="24">
      <c r="A75" s="359" t="s">
        <v>418</v>
      </c>
      <c r="B75" s="3295" t="s">
        <v>419</v>
      </c>
      <c r="C75" s="3325"/>
      <c r="D75" s="364">
        <v>0</v>
      </c>
      <c r="E75" s="41" t="s">
        <v>420</v>
      </c>
      <c r="F75" s="365"/>
      <c r="G75" s="361"/>
      <c r="H75" s="42"/>
      <c r="I75" s="42"/>
      <c r="J75" s="2035"/>
      <c r="K75" s="3030">
        <f>IF(H77="非个人房产","",4)</f>
        <v>4</v>
      </c>
      <c r="L75" s="3345" t="str">
        <f>IF(H77="非个人房产","——","个人所得税")</f>
        <v>个人所得税</v>
      </c>
      <c r="M75" s="3345"/>
      <c r="N75" s="1299">
        <f ca="1">D77</f>
        <v>237</v>
      </c>
      <c r="O75" s="1872" t="str">
        <f>E77</f>
        <v>销售额×税（费）率</v>
      </c>
      <c r="P75" s="1300">
        <f>F77</f>
        <v>0.01</v>
      </c>
      <c r="Q75" s="2028"/>
      <c r="R75" s="2028"/>
      <c r="S75" s="2028"/>
      <c r="T75" s="2028"/>
      <c r="U75" s="2028"/>
      <c r="V75" s="2028"/>
    </row>
    <row r="76" spans="1:22" ht="24.75">
      <c r="A76" s="359" t="s">
        <v>396</v>
      </c>
      <c r="B76" s="3295" t="s">
        <v>422</v>
      </c>
      <c r="C76" s="3296"/>
      <c r="D76" s="362">
        <f ca="1">IF(H76="转让取得",C99,C115)</f>
        <v>12750</v>
      </c>
      <c r="E76" s="17" t="s">
        <v>423</v>
      </c>
      <c r="F76" s="53" t="s">
        <v>21</v>
      </c>
      <c r="G76" s="361"/>
      <c r="H76" s="363" t="s">
        <v>424</v>
      </c>
      <c r="I76" s="42"/>
      <c r="J76" s="2035"/>
      <c r="K76" s="3030" t="str">
        <f>IF(项目基本情况!K6="上海银行",IF(K75="",4,K75+1),"")</f>
        <v/>
      </c>
      <c r="L76" s="3356" t="str">
        <f>IF(项目基本情况!K6="上海银行","其他处置费用","")</f>
        <v/>
      </c>
      <c r="M76" s="3357"/>
      <c r="N76" s="1295" t="str">
        <f>IF(项目基本情况!K6="上海银行",N89,"")</f>
        <v/>
      </c>
      <c r="O76" s="3358" t="str">
        <f>IF(项目基本情况!K6="上海银行","包含处置中涉及的律师、诉讼、拍卖、评估等费用","")</f>
        <v/>
      </c>
      <c r="P76" s="3359"/>
      <c r="Q76" s="2028"/>
      <c r="R76" s="2028"/>
      <c r="S76" s="2028"/>
      <c r="T76" s="2028"/>
      <c r="U76" s="2028"/>
      <c r="V76" s="2028"/>
    </row>
    <row r="77" spans="1:22" ht="26.25" thickBot="1">
      <c r="A77" s="3347" t="s">
        <v>426</v>
      </c>
      <c r="B77" s="3348"/>
      <c r="C77" s="3348"/>
      <c r="D77" s="366">
        <f ca="1">IF(H77="非个人房产","——",IF(H77="个人住宅",0,ROUND(D63*I77,0)))</f>
        <v>237</v>
      </c>
      <c r="E77" s="367" t="str">
        <f>IF(H77="非个人房产","——","销售额×税（费）率")</f>
        <v>销售额×税（费）率</v>
      </c>
      <c r="F77" s="368">
        <f>IF(H77="非个人房产","——",IF(H77="个人住宅","免征",I77))</f>
        <v>0.01</v>
      </c>
      <c r="G77" s="983" t="s">
        <v>417</v>
      </c>
      <c r="H77" s="363" t="s">
        <v>2885</v>
      </c>
      <c r="I77" s="369">
        <v>0.01</v>
      </c>
      <c r="J77" s="2035"/>
      <c r="K77" s="3346">
        <f>IF(AND(K75="",K76=""),4,IF(项目基本情况!K6="上海银行",K76+1,K75+1))</f>
        <v>5</v>
      </c>
      <c r="L77" s="3345" t="s">
        <v>2886</v>
      </c>
      <c r="M77" s="3036" t="s">
        <v>421</v>
      </c>
      <c r="N77" s="1301"/>
      <c r="O77" s="1302">
        <f ca="1">SUMIF(N72:N76,"&lt;9e307")</f>
        <v>14250</v>
      </c>
      <c r="P77" s="1303"/>
      <c r="Q77" s="3034" t="e">
        <f ca="1">O77/N69</f>
        <v>#VALUE!</v>
      </c>
      <c r="R77" s="2028"/>
      <c r="S77" s="2028"/>
      <c r="T77" s="2028"/>
      <c r="U77" s="2028"/>
      <c r="V77" s="2028"/>
    </row>
    <row r="78" spans="1:22" ht="12" customHeight="1">
      <c r="A78" s="1304"/>
      <c r="B78" s="311"/>
      <c r="C78" s="311"/>
      <c r="D78" s="311"/>
      <c r="E78" s="42"/>
      <c r="F78" s="42"/>
      <c r="G78" s="42"/>
      <c r="H78" s="1002"/>
      <c r="I78" s="311"/>
      <c r="J78" s="2035"/>
      <c r="K78" s="3346"/>
      <c r="L78" s="3345"/>
      <c r="M78" s="3036" t="s">
        <v>425</v>
      </c>
      <c r="N78" s="1301"/>
      <c r="O78" s="1302" t="str">
        <f ca="1">NUMBERSTRING(INT(O77*10000),2)&amp;"元整"</f>
        <v>壹亿肆仟贰佰伍拾万元整</v>
      </c>
      <c r="P78" s="1303"/>
      <c r="Q78" s="2028"/>
      <c r="R78" s="2028"/>
      <c r="S78" s="2028"/>
      <c r="T78" s="2028"/>
      <c r="U78" s="2028"/>
      <c r="V78" s="2028"/>
    </row>
    <row r="79" spans="1:22" ht="13.5" thickBot="1">
      <c r="A79" s="3340" t="s">
        <v>427</v>
      </c>
      <c r="B79" s="3340"/>
      <c r="C79" s="3340"/>
      <c r="D79" s="3340"/>
      <c r="E79" s="3340"/>
      <c r="F79" s="42"/>
      <c r="G79" s="42"/>
      <c r="H79" s="1002"/>
      <c r="I79" s="311"/>
      <c r="J79" s="2035"/>
      <c r="K79" s="3366">
        <f>K77+1</f>
        <v>6</v>
      </c>
      <c r="L79" s="3345" t="s">
        <v>2887</v>
      </c>
      <c r="M79" s="3036" t="s">
        <v>421</v>
      </c>
      <c r="N79" s="1301"/>
      <c r="O79" s="1302" t="e">
        <f ca="1">N69-O77</f>
        <v>#VALUE!</v>
      </c>
      <c r="P79" s="1303"/>
      <c r="Q79" s="2028"/>
      <c r="R79" s="2028"/>
      <c r="S79" s="2028"/>
      <c r="T79" s="2028"/>
      <c r="U79" s="2028"/>
      <c r="V79" s="2028"/>
    </row>
    <row r="80" spans="1:22" ht="12.75">
      <c r="A80" s="3335" t="s">
        <v>428</v>
      </c>
      <c r="B80" s="3336"/>
      <c r="C80" s="993"/>
      <c r="D80" s="993" t="s">
        <v>429</v>
      </c>
      <c r="E80" s="370" t="s">
        <v>430</v>
      </c>
      <c r="F80" s="42"/>
      <c r="G80" s="42"/>
      <c r="H80" s="1002"/>
      <c r="I80" s="311"/>
      <c r="J80" s="2028"/>
      <c r="K80" s="3367"/>
      <c r="L80" s="3345"/>
      <c r="M80" s="3036" t="s">
        <v>425</v>
      </c>
      <c r="N80" s="1301"/>
      <c r="O80" s="1302" t="e">
        <f ca="1">NUMBERSTRING(INT(O79*10000),2)&amp;"元整"</f>
        <v>#VALUE!</v>
      </c>
      <c r="P80" s="1303"/>
      <c r="Q80" s="2028"/>
      <c r="R80" s="2028"/>
      <c r="S80" s="2028"/>
      <c r="T80" s="2028"/>
      <c r="U80" s="2028"/>
      <c r="V80" s="2028"/>
    </row>
    <row r="81" spans="1:26" ht="13.5" thickBot="1">
      <c r="A81" s="381" t="s">
        <v>1824</v>
      </c>
      <c r="B81" s="371" t="s">
        <v>431</v>
      </c>
      <c r="C81" s="372">
        <f ca="1">ROUND((C82+C83)/(1+'数据-取费表'!C42),0)</f>
        <v>22557</v>
      </c>
      <c r="D81" s="373"/>
      <c r="E81" s="374"/>
      <c r="F81" s="42"/>
      <c r="G81" s="42"/>
      <c r="H81" s="1002"/>
      <c r="I81" s="311"/>
      <c r="J81" s="2028"/>
      <c r="K81" s="3030">
        <f>K79+1</f>
        <v>7</v>
      </c>
      <c r="L81" s="3343" t="s">
        <v>2888</v>
      </c>
      <c r="M81" s="3344"/>
      <c r="N81" s="1305"/>
      <c r="O81" s="1306" t="e">
        <f ca="1">ROUND(O79*10000/'数据-汇总表'!E3,0)</f>
        <v>#VALUE!</v>
      </c>
      <c r="P81" s="1307"/>
      <c r="Q81" s="2028"/>
      <c r="R81" s="2028"/>
      <c r="S81" s="2028"/>
      <c r="T81" s="2028"/>
      <c r="U81" s="2028"/>
      <c r="V81" s="2028"/>
    </row>
    <row r="82" spans="1:26" ht="13.5" thickTop="1">
      <c r="A82" s="375" t="s">
        <v>1825</v>
      </c>
      <c r="B82" s="376" t="s">
        <v>432</v>
      </c>
      <c r="C82" s="377">
        <f ca="1">D63</f>
        <v>23685</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355" t="s">
        <v>2875</v>
      </c>
      <c r="L83" s="3042" t="s">
        <v>2876</v>
      </c>
      <c r="M83" s="3032" t="e">
        <f>IF(N69&gt;10000,N69*0.5%,IF(AND(N69&gt;1000,N69&lt;=10000),N69*1%,IF(AND(N69&gt;100,N69&lt;=1000),N69*3%,IF(AND(N69&gt;10,N69&lt;=100),N69*5%,N69*8%))))</f>
        <v>#VALUE!</v>
      </c>
      <c r="N83" s="53" t="e">
        <f>ROUND(M83,1)</f>
        <v>#VALUE!</v>
      </c>
      <c r="O83" s="3035"/>
      <c r="P83" s="2028"/>
      <c r="Q83" s="2028"/>
      <c r="R83" s="2028"/>
      <c r="S83" s="2028"/>
      <c r="T83" s="2028"/>
      <c r="U83" s="2028"/>
      <c r="V83" s="2028"/>
    </row>
    <row r="84" spans="1:26" ht="12.75">
      <c r="A84" s="381" t="s">
        <v>1827</v>
      </c>
      <c r="B84" s="382" t="s">
        <v>434</v>
      </c>
      <c r="C84" s="383">
        <v>2000</v>
      </c>
      <c r="D84" s="384" t="s">
        <v>19</v>
      </c>
      <c r="E84" s="3076" t="s">
        <v>2942</v>
      </c>
      <c r="F84" s="42"/>
      <c r="G84" s="42"/>
      <c r="H84" s="1002"/>
      <c r="I84" s="311"/>
      <c r="J84" s="2028"/>
      <c r="K84" s="3355"/>
      <c r="L84" s="3042" t="s">
        <v>2877</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2878</v>
      </c>
      <c r="P84" s="2028"/>
      <c r="Q84" s="2028"/>
      <c r="R84" s="2028"/>
      <c r="S84" s="2028"/>
      <c r="T84" s="2028"/>
      <c r="U84" s="2028"/>
      <c r="V84" s="2028"/>
    </row>
    <row r="85" spans="1:26" ht="12.75">
      <c r="A85" s="381" t="s">
        <v>1828</v>
      </c>
      <c r="B85" s="382" t="s">
        <v>435</v>
      </c>
      <c r="C85" s="385">
        <f ca="1">C81-C84</f>
        <v>20557</v>
      </c>
      <c r="D85" s="378" t="s">
        <v>19</v>
      </c>
      <c r="E85" s="379"/>
      <c r="F85" s="42"/>
      <c r="G85" s="42"/>
      <c r="H85" s="1002"/>
      <c r="I85" s="311"/>
      <c r="J85" s="2028"/>
      <c r="K85" s="3355"/>
      <c r="L85" s="3042" t="s">
        <v>2879</v>
      </c>
      <c r="M85" s="3032" t="e">
        <f>IF(N69&gt;1000,N69*0.1%,IF(AND(N69&gt;500,N69&lt;=1000),N69*0.5%,IF(AND(N69&gt;50,N69&lt;=500),N69*1%,IF(AND(N69&gt;1,N69&lt;=50),N69*1.5%))))</f>
        <v>#VALUE!</v>
      </c>
      <c r="N85" s="53" t="e">
        <f t="shared" si="2"/>
        <v>#VALUE!</v>
      </c>
      <c r="O85" s="2028" t="s">
        <v>2878</v>
      </c>
      <c r="P85" s="2028"/>
      <c r="Q85" s="2028"/>
      <c r="R85" s="2028"/>
      <c r="S85" s="2028"/>
      <c r="T85" s="2028"/>
      <c r="U85" s="2028"/>
      <c r="V85" s="2028"/>
    </row>
    <row r="86" spans="1:26" ht="13.5" thickBot="1">
      <c r="A86" s="386" t="s">
        <v>1829</v>
      </c>
      <c r="B86" s="387" t="s">
        <v>436</v>
      </c>
      <c r="C86" s="388">
        <f ca="1">IF(C85&lt;=0,0,ROUND(C85*D86,0))</f>
        <v>1151</v>
      </c>
      <c r="D86" s="389">
        <f>'数据-取费表'!B41</f>
        <v>5.6000000000000001E-2</v>
      </c>
      <c r="E86" s="390"/>
      <c r="F86" s="42"/>
      <c r="G86" s="42"/>
      <c r="H86" s="1002"/>
      <c r="I86" s="311"/>
      <c r="J86" s="2028"/>
      <c r="K86" s="3355"/>
      <c r="L86" s="3042" t="s">
        <v>2880</v>
      </c>
      <c r="M86" s="3032" t="e">
        <f>N69*0.5%</f>
        <v>#VALUE!</v>
      </c>
      <c r="N86" s="53" t="e">
        <f>IF(M86&gt;0.5,0.5,ROUND(M86,0))</f>
        <v>#VALUE!</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55"/>
      <c r="L87" s="3042" t="s">
        <v>2882</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8"/>
      <c r="R87" s="2028"/>
      <c r="S87" s="2028"/>
      <c r="T87" s="2028"/>
      <c r="U87" s="2028"/>
      <c r="V87" s="2028"/>
      <c r="W87" s="292"/>
      <c r="X87" s="292"/>
      <c r="Y87" s="292"/>
      <c r="Z87" s="292"/>
    </row>
    <row r="88" spans="1:26" s="1313" customFormat="1" ht="15" thickBot="1">
      <c r="A88" s="3337" t="s">
        <v>437</v>
      </c>
      <c r="B88" s="3338"/>
      <c r="C88" s="3338"/>
      <c r="D88" s="3338"/>
      <c r="E88" s="3338"/>
      <c r="F88" s="3338"/>
      <c r="G88" s="3338"/>
      <c r="H88" s="3338"/>
      <c r="I88" s="1314"/>
      <c r="J88" s="2036"/>
      <c r="K88" s="3355"/>
      <c r="L88" s="3042" t="s">
        <v>2883</v>
      </c>
      <c r="M88" s="3032" t="e">
        <f>IF(N69&gt;10000,N69*0.5%,IF(AND(N69&gt;5000,N69&lt;=10000),N69*1%,IF(AND(N69&gt;1000,N69&lt;=5000),N69*2%,IF(AND(N69&gt;200,N69&lt;=1000),N69*3%,N69*5%))))</f>
        <v>#VALUE!</v>
      </c>
      <c r="N88" s="53" t="e">
        <f>ROUND(M88,1)</f>
        <v>#VALUE!</v>
      </c>
      <c r="O88" s="3035"/>
      <c r="P88" s="11"/>
      <c r="Q88" s="2033"/>
      <c r="R88" s="2033"/>
      <c r="S88" s="2033"/>
      <c r="T88" s="2033"/>
      <c r="U88" s="2033"/>
      <c r="V88" s="2033"/>
      <c r="W88" s="2037"/>
      <c r="X88" s="2037"/>
      <c r="Y88" s="2037"/>
      <c r="Z88" s="2037"/>
    </row>
    <row r="89" spans="1:26" s="1313" customFormat="1" ht="14.25">
      <c r="A89" s="3335" t="s">
        <v>428</v>
      </c>
      <c r="B89" s="3336"/>
      <c r="C89" s="993"/>
      <c r="D89" s="993" t="s">
        <v>429</v>
      </c>
      <c r="E89" s="391" t="s">
        <v>438</v>
      </c>
      <c r="F89" s="392"/>
      <c r="G89" s="392"/>
      <c r="H89" s="393"/>
      <c r="I89" s="1315"/>
      <c r="J89" s="2038"/>
      <c r="K89" s="3355"/>
      <c r="L89" s="3042" t="s">
        <v>27</v>
      </c>
      <c r="M89" s="3033"/>
      <c r="N89" s="53" t="e">
        <f>ROUND(SUM(N83:N88),0)</f>
        <v>#VALUE!</v>
      </c>
      <c r="O89" s="3043" t="e">
        <f>N89/N69</f>
        <v>#VALUE!</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22557</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2696</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298" t="s">
        <v>447</v>
      </c>
      <c r="F94" s="3297"/>
      <c r="G94" s="3297"/>
      <c r="H94" s="333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135</v>
      </c>
      <c r="D96" s="406">
        <f>'数据-取费表'!B43</f>
        <v>6.000000000000001E-3</v>
      </c>
      <c r="E96" s="3326" t="s">
        <v>2429</v>
      </c>
      <c r="F96" s="3327"/>
      <c r="G96" s="3327"/>
      <c r="H96" s="332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2" t="s">
        <v>451</v>
      </c>
      <c r="C97" s="385">
        <f ca="1">C90-C91</f>
        <v>19861</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2" t="s">
        <v>452</v>
      </c>
      <c r="C98" s="407">
        <f ca="1">IF(C97&lt;=0,0,C97/C91)</f>
        <v>7.366839762611276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10973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7" t="s">
        <v>454</v>
      </c>
      <c r="B101" s="3338"/>
      <c r="C101" s="3338"/>
      <c r="D101" s="3338"/>
      <c r="E101" s="3338"/>
      <c r="F101" s="3338"/>
      <c r="G101" s="3338"/>
      <c r="H101" s="333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5" t="s">
        <v>428</v>
      </c>
      <c r="B102" s="3336"/>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22557</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825</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IF(H109="——",IF(F1="现房",'剩余法-现房'!C18,'剩余法-待开发'!C18),I109)</f>
        <v>55</v>
      </c>
      <c r="D109" s="406"/>
      <c r="E109" s="3329" t="s">
        <v>462</v>
      </c>
      <c r="F109" s="3327"/>
      <c r="G109" s="3327"/>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29" t="s">
        <v>464</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135</v>
      </c>
      <c r="D111" s="406">
        <f>'数据-取费表'!B43</f>
        <v>6.000000000000001E-3</v>
      </c>
      <c r="E111" s="3326" t="s">
        <v>2429</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29" t="s">
        <v>2454</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2" t="s">
        <v>451</v>
      </c>
      <c r="C113" s="385">
        <f ca="1">ROUND(C103-C104,0)</f>
        <v>21732</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2" t="s">
        <v>452</v>
      </c>
      <c r="C114" s="407">
        <f ca="1">IF(C113&lt;=0,0,C113/C104)</f>
        <v>26.341818181818184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12750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E31" sqref="E3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41493</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1690</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8865</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591</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80" t="s">
        <v>522</v>
      </c>
      <c r="D6" s="3381"/>
      <c r="E6" s="3380" t="s">
        <v>523</v>
      </c>
      <c r="F6" s="3381"/>
      <c r="G6" s="3380" t="s">
        <v>524</v>
      </c>
      <c r="H6" s="3381"/>
      <c r="I6" s="3380" t="s">
        <v>525</v>
      </c>
      <c r="J6" s="3381"/>
      <c r="K6" s="514" t="s">
        <v>526</v>
      </c>
      <c r="L6" s="2133"/>
      <c r="M6" s="2132"/>
      <c r="N6" s="2132"/>
      <c r="O6" s="2134"/>
      <c r="P6" s="3382" t="s">
        <v>527</v>
      </c>
      <c r="Q6" s="3383"/>
      <c r="R6" s="3388" t="s">
        <v>523</v>
      </c>
      <c r="S6" s="3389"/>
      <c r="T6" s="3388" t="s">
        <v>524</v>
      </c>
      <c r="U6" s="3389"/>
      <c r="V6" s="3375" t="s">
        <v>525</v>
      </c>
      <c r="W6" s="3375"/>
      <c r="X6" s="1567"/>
      <c r="Y6" s="3388" t="s">
        <v>527</v>
      </c>
      <c r="Z6" s="3389"/>
      <c r="AA6" s="3377" t="s">
        <v>523</v>
      </c>
      <c r="AB6" s="3378" t="s">
        <v>524</v>
      </c>
      <c r="AC6" s="3377" t="s">
        <v>525</v>
      </c>
    </row>
    <row r="7" spans="1:30" ht="20.25">
      <c r="A7" s="515"/>
      <c r="B7" s="516"/>
      <c r="C7" s="3396" t="s">
        <v>3057</v>
      </c>
      <c r="D7" s="3397"/>
      <c r="E7" s="3401" t="str">
        <f>土地案例!A2</f>
        <v>桥东街道东山路东侧</v>
      </c>
      <c r="F7" s="3397"/>
      <c r="G7" s="3396" t="str">
        <f>土地案例!A3</f>
        <v>枫溪区新风路南侧地段(原面粉厂)</v>
      </c>
      <c r="H7" s="3397"/>
      <c r="I7" s="3396" t="str">
        <f>土地案例!A7</f>
        <v>饶平县黄冈镇新港西路(原汕头利平实业发展有限公司)</v>
      </c>
      <c r="J7" s="3397"/>
      <c r="K7" s="514"/>
      <c r="L7" s="2133"/>
      <c r="M7" s="2132"/>
      <c r="N7" s="2132"/>
      <c r="O7" s="2134"/>
      <c r="P7" s="3384"/>
      <c r="Q7" s="3385"/>
      <c r="R7" s="3390"/>
      <c r="S7" s="3391"/>
      <c r="T7" s="3390"/>
      <c r="U7" s="3391"/>
      <c r="V7" s="3375"/>
      <c r="W7" s="3375"/>
      <c r="X7" s="1567"/>
      <c r="Y7" s="3390"/>
      <c r="Z7" s="3391"/>
      <c r="AA7" s="3378"/>
      <c r="AB7" s="3378"/>
      <c r="AC7" s="3378"/>
    </row>
    <row r="8" spans="1:30" ht="21" thickBot="1">
      <c r="A8" s="515"/>
      <c r="B8" s="516"/>
      <c r="C8" s="3398" t="s">
        <v>3058</v>
      </c>
      <c r="D8" s="3399"/>
      <c r="E8" s="3400" t="str">
        <f>土地案例!F2</f>
        <v>桥东街道东山路东侧</v>
      </c>
      <c r="F8" s="3399"/>
      <c r="G8" s="3394" t="str">
        <f>土地案例!F3</f>
        <v>枫溪区新风路南侧地段(原面粉厂)</v>
      </c>
      <c r="H8" s="3395"/>
      <c r="I8" s="3394" t="str">
        <f>土地案例!F7</f>
        <v>饶平县黄冈镇新港西路(原汕头利平实业发展有限公司)</v>
      </c>
      <c r="J8" s="3395"/>
      <c r="K8" s="514" t="s">
        <v>528</v>
      </c>
      <c r="L8" s="2133"/>
      <c r="M8" s="2132"/>
      <c r="N8" s="2132"/>
      <c r="O8" s="2134"/>
      <c r="P8" s="3386"/>
      <c r="Q8" s="3387"/>
      <c r="R8" s="3390"/>
      <c r="S8" s="3391"/>
      <c r="T8" s="3392"/>
      <c r="U8" s="3393"/>
      <c r="V8" s="3375"/>
      <c r="W8" s="3375"/>
      <c r="X8" s="1567"/>
      <c r="Y8" s="3392"/>
      <c r="Z8" s="3393"/>
      <c r="AA8" s="3379"/>
      <c r="AB8" s="3379"/>
      <c r="AC8" s="3379"/>
    </row>
    <row r="9" spans="1:30" s="1219" customFormat="1" ht="21" thickBot="1">
      <c r="A9" s="2891"/>
      <c r="B9" s="2898" t="s">
        <v>529</v>
      </c>
      <c r="C9" s="2890">
        <f>'数据-取费表'!B2</f>
        <v>43438</v>
      </c>
      <c r="D9" s="520">
        <v>100</v>
      </c>
      <c r="E9" s="521" t="str">
        <f>土地案例!AA2</f>
        <v>2018-11-29</v>
      </c>
      <c r="F9" s="522">
        <f>SUMIF(72:72,YEAR(E9)&amp;"-"&amp;INT((MONTH(E9)+2)/3),73:73)</f>
        <v>100</v>
      </c>
      <c r="G9" s="523" t="str">
        <f>土地案例!AA3</f>
        <v>2018-08-13</v>
      </c>
      <c r="H9" s="520">
        <f>SUMIF(72:72,YEAR(G9)&amp;"-"&amp;INT((MONTH(G9)+2)/3),73:73)</f>
        <v>99.9</v>
      </c>
      <c r="I9" s="523" t="str">
        <f>土地案例!AA7</f>
        <v>2017-04-25</v>
      </c>
      <c r="J9" s="520">
        <f>SUMIF(72:72,YEAR(I9)&amp;"-"&amp;INT((MONTH(I9)+2)/3),73:73)</f>
        <v>99.4</v>
      </c>
      <c r="K9" s="524"/>
      <c r="L9" s="2135"/>
      <c r="M9" s="2132"/>
      <c r="N9" s="2132"/>
      <c r="O9" s="2136"/>
      <c r="P9" s="3407" t="s">
        <v>530</v>
      </c>
      <c r="Q9" s="3409"/>
      <c r="R9" s="1568" t="s">
        <v>8</v>
      </c>
      <c r="S9" s="1569">
        <f t="shared" ref="S9:S17" si="0">F9</f>
        <v>100</v>
      </c>
      <c r="T9" s="1568" t="s">
        <v>8</v>
      </c>
      <c r="U9" s="1569">
        <f t="shared" ref="U9:U17" si="1">H9</f>
        <v>99.9</v>
      </c>
      <c r="V9" s="1568" t="s">
        <v>8</v>
      </c>
      <c r="W9" s="1569">
        <f t="shared" ref="W9:W17" si="2">J9</f>
        <v>99.4</v>
      </c>
      <c r="X9" s="1570"/>
      <c r="Y9" s="3407" t="s">
        <v>530</v>
      </c>
      <c r="Z9" s="3408"/>
      <c r="AA9" s="1571">
        <f>D9/F9</f>
        <v>1</v>
      </c>
      <c r="AB9" s="1571">
        <f>D9/H9</f>
        <v>1.0010010010010009</v>
      </c>
      <c r="AC9" s="1571">
        <f>D9/J9</f>
        <v>1.0060362173038229</v>
      </c>
    </row>
    <row r="10" spans="1:30" s="1219" customFormat="1" ht="21" thickBot="1">
      <c r="A10" s="2892"/>
      <c r="B10" s="2899" t="s">
        <v>531</v>
      </c>
      <c r="C10" s="856" t="s">
        <v>532</v>
      </c>
      <c r="D10" s="520">
        <v>100</v>
      </c>
      <c r="E10" s="525" t="s">
        <v>3023</v>
      </c>
      <c r="F10" s="522">
        <f>SUMIF(75:75,E10,76:76)-SUMIF(75:75,C10,76:76)+100</f>
        <v>100</v>
      </c>
      <c r="G10" s="525" t="s">
        <v>3023</v>
      </c>
      <c r="H10" s="520">
        <f>SUMIF(75:75,G10,76:76)-SUMIF(75:75,C10,76:76)+100</f>
        <v>100</v>
      </c>
      <c r="I10" s="525" t="s">
        <v>3023</v>
      </c>
      <c r="J10" s="520">
        <f>SUMIF(75:75,I10,76:76)-SUMIF(75:75,C10,76:76)+100</f>
        <v>100</v>
      </c>
      <c r="K10" s="524"/>
      <c r="L10" s="2135"/>
      <c r="M10" s="2132"/>
      <c r="N10" s="2132"/>
      <c r="O10" s="2136"/>
      <c r="P10" s="3407" t="s">
        <v>533</v>
      </c>
      <c r="Q10" s="3408"/>
      <c r="R10" s="1568" t="s">
        <v>8</v>
      </c>
      <c r="S10" s="1569">
        <f t="shared" si="0"/>
        <v>100</v>
      </c>
      <c r="T10" s="1568" t="s">
        <v>8</v>
      </c>
      <c r="U10" s="1569">
        <f t="shared" si="1"/>
        <v>100</v>
      </c>
      <c r="V10" s="1568" t="s">
        <v>8</v>
      </c>
      <c r="W10" s="1569">
        <f t="shared" si="2"/>
        <v>100</v>
      </c>
      <c r="X10" s="1570"/>
      <c r="Y10" s="3407" t="s">
        <v>533</v>
      </c>
      <c r="Z10" s="3408"/>
      <c r="AA10" s="1571">
        <f t="shared" ref="AA10:AA47" si="3">D10/F10</f>
        <v>1</v>
      </c>
      <c r="AB10" s="1571">
        <f t="shared" ref="AB10:AB47" si="4">D10/H10</f>
        <v>1</v>
      </c>
      <c r="AC10" s="1571">
        <f t="shared" ref="AC10:AC47" si="5">D10/J10</f>
        <v>1</v>
      </c>
    </row>
    <row r="11" spans="1:30" s="1219" customFormat="1" ht="20.25">
      <c r="A11" s="2893"/>
      <c r="B11" s="2900" t="s">
        <v>2757</v>
      </c>
      <c r="C11" s="2887" t="s">
        <v>3060</v>
      </c>
      <c r="D11" s="254">
        <v>100</v>
      </c>
      <c r="E11" s="2887" t="s">
        <v>3060</v>
      </c>
      <c r="F11" s="254">
        <f>SUMIF(77:77,E11,78:78)-SUMIF(77:77,C11,78:78)+100</f>
        <v>100</v>
      </c>
      <c r="G11" s="2887" t="s">
        <v>3060</v>
      </c>
      <c r="H11" s="254">
        <f>SUMIF(77:77,G11,78:78)-SUMIF(77:77,C11,78:78)+100</f>
        <v>100</v>
      </c>
      <c r="I11" s="2887" t="s">
        <v>3060</v>
      </c>
      <c r="J11" s="254">
        <f>SUMIF(77:77,I11,78:78)-SUMIF(77:77,C11,78:78)+100</f>
        <v>100</v>
      </c>
      <c r="K11" s="524"/>
      <c r="L11" s="2135"/>
      <c r="M11" s="2132"/>
      <c r="N11" s="2132"/>
      <c r="O11" s="2137"/>
      <c r="P11" s="3374" t="s">
        <v>535</v>
      </c>
      <c r="Q11" s="1150" t="str">
        <f t="shared" ref="Q11:Q17" si="6">B11</f>
        <v>用途</v>
      </c>
      <c r="R11" s="1568" t="s">
        <v>8</v>
      </c>
      <c r="S11" s="1569">
        <f t="shared" si="0"/>
        <v>100</v>
      </c>
      <c r="T11" s="1568" t="s">
        <v>8</v>
      </c>
      <c r="U11" s="1569">
        <f t="shared" si="1"/>
        <v>100</v>
      </c>
      <c r="V11" s="1568" t="s">
        <v>8</v>
      </c>
      <c r="W11" s="1569">
        <f t="shared" si="2"/>
        <v>100</v>
      </c>
      <c r="X11" s="1570"/>
      <c r="Y11" s="3320" t="s">
        <v>536</v>
      </c>
      <c r="Z11" s="1149" t="str">
        <f t="shared" ref="Z11:Z17" si="7">Q11</f>
        <v>用途</v>
      </c>
      <c r="AA11" s="1571">
        <f t="shared" si="3"/>
        <v>1</v>
      </c>
      <c r="AB11" s="1571">
        <f t="shared" si="4"/>
        <v>1</v>
      </c>
      <c r="AC11" s="1571">
        <f t="shared" si="5"/>
        <v>1</v>
      </c>
    </row>
    <row r="12" spans="1:30" s="1337" customFormat="1" ht="27">
      <c r="A12" s="2894"/>
      <c r="B12" s="2899" t="s">
        <v>2758</v>
      </c>
      <c r="C12" s="909">
        <v>70</v>
      </c>
      <c r="D12" s="255">
        <v>100</v>
      </c>
      <c r="E12" s="529" t="s">
        <v>3062</v>
      </c>
      <c r="F12" s="255">
        <f>ROUND(100/'数据-取费表'!G16,0)</f>
        <v>104</v>
      </c>
      <c r="G12" s="530" t="s">
        <v>3062</v>
      </c>
      <c r="H12" s="255">
        <f>ROUND(100/'数据-取费表'!G16,0)</f>
        <v>104</v>
      </c>
      <c r="I12" s="530" t="s">
        <v>3079</v>
      </c>
      <c r="J12" s="255">
        <f>ROUND(100/'数据-取费表'!G16,0)</f>
        <v>104</v>
      </c>
      <c r="K12" s="531"/>
      <c r="L12" s="2138"/>
      <c r="M12" s="2132"/>
      <c r="N12" s="2132"/>
      <c r="O12" s="2139"/>
      <c r="P12" s="3374"/>
      <c r="Q12" s="1150" t="str">
        <f t="shared" si="6"/>
        <v>土地使用年限（年）</v>
      </c>
      <c r="R12" s="1568" t="s">
        <v>8</v>
      </c>
      <c r="S12" s="1569">
        <f t="shared" si="0"/>
        <v>104</v>
      </c>
      <c r="T12" s="1568" t="s">
        <v>8</v>
      </c>
      <c r="U12" s="1569">
        <f t="shared" si="1"/>
        <v>104</v>
      </c>
      <c r="V12" s="1568" t="s">
        <v>8</v>
      </c>
      <c r="W12" s="1569">
        <f t="shared" si="2"/>
        <v>104</v>
      </c>
      <c r="X12" s="1570"/>
      <c r="Y12" s="3320"/>
      <c r="Z12" s="1149" t="str">
        <f t="shared" si="7"/>
        <v>土地使用年限（年）</v>
      </c>
      <c r="AA12" s="1571">
        <f t="shared" si="3"/>
        <v>0.96153846153846156</v>
      </c>
      <c r="AB12" s="1571">
        <f t="shared" si="4"/>
        <v>0.96153846153846156</v>
      </c>
      <c r="AC12" s="1571">
        <f t="shared" si="5"/>
        <v>0.96153846153846156</v>
      </c>
    </row>
    <row r="13" spans="1:30" ht="20.25">
      <c r="A13" s="2895"/>
      <c r="B13" s="2899" t="s">
        <v>2759</v>
      </c>
      <c r="C13" s="534">
        <v>4</v>
      </c>
      <c r="D13" s="255">
        <v>100</v>
      </c>
      <c r="E13" s="533">
        <v>4</v>
      </c>
      <c r="F13" s="255">
        <f>LOOKUP(E13,82:82,83:83)-LOOKUP(C13,82:82,83:83)+100</f>
        <v>100</v>
      </c>
      <c r="G13" s="534">
        <v>4</v>
      </c>
      <c r="H13" s="255">
        <f>LOOKUP(G13,82:82,83:83)-LOOKUP(C13,82:82,83:83)+100</f>
        <v>100</v>
      </c>
      <c r="I13" s="533">
        <v>4</v>
      </c>
      <c r="J13" s="255">
        <f>LOOKUP(I13,82:82,83:83)-LOOKUP(C13,82:82,83:83)+100</f>
        <v>100</v>
      </c>
      <c r="K13" s="535">
        <v>1</v>
      </c>
      <c r="L13" s="2140"/>
      <c r="M13" s="2132"/>
      <c r="N13" s="2132"/>
      <c r="O13" s="2141"/>
      <c r="P13" s="3374"/>
      <c r="Q13" s="1150" t="str">
        <f t="shared" si="6"/>
        <v>容积率</v>
      </c>
      <c r="R13" s="1568" t="s">
        <v>8</v>
      </c>
      <c r="S13" s="1569">
        <f t="shared" si="0"/>
        <v>100</v>
      </c>
      <c r="T13" s="1568" t="s">
        <v>8</v>
      </c>
      <c r="U13" s="1569">
        <f t="shared" si="1"/>
        <v>100</v>
      </c>
      <c r="V13" s="1568" t="s">
        <v>8</v>
      </c>
      <c r="W13" s="1569">
        <f t="shared" si="2"/>
        <v>100</v>
      </c>
      <c r="X13" s="1570"/>
      <c r="Y13" s="3320"/>
      <c r="Z13" s="1149" t="str">
        <f t="shared" si="7"/>
        <v>容积率</v>
      </c>
      <c r="AA13" s="1571">
        <f t="shared" si="3"/>
        <v>1</v>
      </c>
      <c r="AB13" s="1571">
        <f t="shared" si="4"/>
        <v>1</v>
      </c>
      <c r="AC13" s="1571">
        <f t="shared" si="5"/>
        <v>1</v>
      </c>
    </row>
    <row r="14" spans="1:30" s="1219" customFormat="1" ht="20.25">
      <c r="A14" s="2892"/>
      <c r="B14" s="2901" t="s">
        <v>2760</v>
      </c>
      <c r="C14" s="2888"/>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74"/>
      <c r="Q14" s="1150" t="str">
        <f t="shared" si="6"/>
        <v>配建</v>
      </c>
      <c r="R14" s="1568" t="s">
        <v>8</v>
      </c>
      <c r="S14" s="1569">
        <f t="shared" si="0"/>
        <v>100</v>
      </c>
      <c r="T14" s="1568" t="s">
        <v>8</v>
      </c>
      <c r="U14" s="1569">
        <f t="shared" si="1"/>
        <v>100</v>
      </c>
      <c r="V14" s="1568" t="s">
        <v>8</v>
      </c>
      <c r="W14" s="1569">
        <f t="shared" si="2"/>
        <v>100</v>
      </c>
      <c r="X14" s="1570"/>
      <c r="Y14" s="3320"/>
      <c r="Z14" s="1149" t="str">
        <f t="shared" si="7"/>
        <v>配建</v>
      </c>
      <c r="AA14" s="1571">
        <f>D14/F14</f>
        <v>1</v>
      </c>
      <c r="AB14" s="1571">
        <f>D14/H14</f>
        <v>1</v>
      </c>
      <c r="AC14" s="1571">
        <f>D14/J14</f>
        <v>1</v>
      </c>
    </row>
    <row r="15" spans="1:30" ht="20.25">
      <c r="A15" s="2896"/>
      <c r="B15" s="2902">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4"/>
      <c r="Q15" s="1150">
        <f t="shared" si="6"/>
        <v>111</v>
      </c>
      <c r="R15" s="1568" t="s">
        <v>8</v>
      </c>
      <c r="S15" s="1569">
        <f t="shared" si="0"/>
        <v>100</v>
      </c>
      <c r="T15" s="1568" t="s">
        <v>8</v>
      </c>
      <c r="U15" s="1569">
        <f t="shared" si="1"/>
        <v>100</v>
      </c>
      <c r="V15" s="1568" t="s">
        <v>8</v>
      </c>
      <c r="W15" s="1569">
        <f t="shared" si="2"/>
        <v>100</v>
      </c>
      <c r="X15" s="1570"/>
      <c r="Y15" s="3320"/>
      <c r="Z15" s="1149">
        <f t="shared" si="7"/>
        <v>111</v>
      </c>
      <c r="AA15" s="1571">
        <f>D15/F15</f>
        <v>1</v>
      </c>
      <c r="AB15" s="1571">
        <f>D15/H15</f>
        <v>1</v>
      </c>
      <c r="AC15" s="1571">
        <f>D15/J15</f>
        <v>1</v>
      </c>
    </row>
    <row r="16" spans="1:30" ht="21" thickBot="1">
      <c r="A16" s="2897"/>
      <c r="B16" s="2903">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4"/>
      <c r="Q16" s="1150">
        <f t="shared" si="6"/>
        <v>111</v>
      </c>
      <c r="R16" s="1568" t="s">
        <v>8</v>
      </c>
      <c r="S16" s="1569">
        <f t="shared" si="0"/>
        <v>100</v>
      </c>
      <c r="T16" s="1568" t="s">
        <v>8</v>
      </c>
      <c r="U16" s="1569">
        <f t="shared" si="1"/>
        <v>100</v>
      </c>
      <c r="V16" s="1568" t="s">
        <v>8</v>
      </c>
      <c r="W16" s="1569">
        <f t="shared" si="2"/>
        <v>100</v>
      </c>
      <c r="X16" s="1570"/>
      <c r="Y16" s="3320"/>
      <c r="Z16" s="1149">
        <f t="shared" si="7"/>
        <v>111</v>
      </c>
      <c r="AA16" s="1571">
        <f>D16/F16</f>
        <v>1</v>
      </c>
      <c r="AB16" s="1571">
        <f>D16/H16</f>
        <v>1</v>
      </c>
      <c r="AC16" s="1571">
        <f>D16/J16</f>
        <v>1</v>
      </c>
    </row>
    <row r="17" spans="1:29" ht="114">
      <c r="A17" s="2889" t="s">
        <v>2755</v>
      </c>
      <c r="B17" s="578" t="s">
        <v>295</v>
      </c>
      <c r="C17" s="548" t="str">
        <f>估价对象房地状况!C15</f>
        <v>估价对象周边居住用地比例较多、周边有腾瑞四季园、恒大等小区，社区发展完善程度较完善，综合评价居住社区成熟度较好</v>
      </c>
      <c r="D17" s="551">
        <v>100</v>
      </c>
      <c r="E17" s="3191" t="str">
        <f>C17</f>
        <v>估价对象周边居住用地比例较多、周边有腾瑞四季园、恒大等小区，社区发展完善程度较完善，综合评价居住社区成熟度较好</v>
      </c>
      <c r="F17" s="549">
        <f>SUMIF(90:90,E18,91:91)-SUMIF(90:90,C18,91:91)+100</f>
        <v>100</v>
      </c>
      <c r="G17" s="3191" t="s">
        <v>3258</v>
      </c>
      <c r="H17" s="549">
        <f>SUMIF(90:90,G18,91:91)-SUMIF(90:90,C18,91:91)+100</f>
        <v>98</v>
      </c>
      <c r="I17" s="3192" t="s">
        <v>3239</v>
      </c>
      <c r="J17" s="549">
        <f>SUMIF(90:90,I18,91:91)-SUMIF(90:90,C18,91:91)+100</f>
        <v>100</v>
      </c>
      <c r="K17" s="535">
        <v>1</v>
      </c>
      <c r="L17" s="2142"/>
      <c r="M17" s="2132"/>
      <c r="N17" s="2132"/>
      <c r="O17" s="2141"/>
      <c r="P17" s="3410" t="s">
        <v>540</v>
      </c>
      <c r="Q17" s="1572" t="str">
        <f t="shared" si="6"/>
        <v>居住社区成熟度</v>
      </c>
      <c r="R17" s="1573" t="s">
        <v>8</v>
      </c>
      <c r="S17" s="1574">
        <f t="shared" si="0"/>
        <v>100</v>
      </c>
      <c r="T17" s="1573" t="s">
        <v>8</v>
      </c>
      <c r="U17" s="1574">
        <f t="shared" si="1"/>
        <v>98</v>
      </c>
      <c r="V17" s="1573" t="s">
        <v>8</v>
      </c>
      <c r="W17" s="1574">
        <f t="shared" si="2"/>
        <v>100</v>
      </c>
      <c r="X17" s="1567"/>
      <c r="Y17" s="3410" t="s">
        <v>540</v>
      </c>
      <c r="Z17" s="1575" t="str">
        <f t="shared" si="7"/>
        <v>居住社区成熟度</v>
      </c>
      <c r="AA17" s="1576">
        <f t="shared" si="3"/>
        <v>1</v>
      </c>
      <c r="AB17" s="1576">
        <f t="shared" si="4"/>
        <v>1.0204081632653061</v>
      </c>
      <c r="AC17" s="1576">
        <f t="shared" si="5"/>
        <v>1</v>
      </c>
    </row>
    <row r="18" spans="1:29" ht="20.25">
      <c r="A18" s="532"/>
      <c r="B18" s="553"/>
      <c r="C18" s="554" t="s">
        <v>3002</v>
      </c>
      <c r="D18" s="557"/>
      <c r="E18" s="579" t="s">
        <v>3002</v>
      </c>
      <c r="F18" s="555"/>
      <c r="G18" s="579" t="s">
        <v>3267</v>
      </c>
      <c r="H18" s="559"/>
      <c r="I18" s="579" t="s">
        <v>3002</v>
      </c>
      <c r="J18" s="555"/>
      <c r="K18" s="531"/>
      <c r="L18" s="2142"/>
      <c r="M18" s="2132"/>
      <c r="N18" s="2132"/>
      <c r="O18" s="2141"/>
      <c r="P18" s="3411"/>
      <c r="Q18" s="1572"/>
      <c r="R18" s="1573"/>
      <c r="S18" s="1574"/>
      <c r="T18" s="1573"/>
      <c r="U18" s="1574"/>
      <c r="V18" s="1573"/>
      <c r="W18" s="1574"/>
      <c r="X18" s="1567"/>
      <c r="Y18" s="3411"/>
      <c r="Z18" s="1575"/>
      <c r="AA18" s="1576">
        <v>1</v>
      </c>
      <c r="AB18" s="1576">
        <v>1</v>
      </c>
      <c r="AC18" s="1576">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11"/>
      <c r="Q19" s="1572" t="str">
        <f>B19</f>
        <v>商业繁华度</v>
      </c>
      <c r="R19" s="1573" t="s">
        <v>8</v>
      </c>
      <c r="S19" s="1574">
        <f>F19</f>
        <v>100</v>
      </c>
      <c r="T19" s="1573" t="s">
        <v>8</v>
      </c>
      <c r="U19" s="1574">
        <f>H19</f>
        <v>100</v>
      </c>
      <c r="V19" s="1573" t="s">
        <v>8</v>
      </c>
      <c r="W19" s="1574">
        <f>J19</f>
        <v>100</v>
      </c>
      <c r="X19" s="1567"/>
      <c r="Y19" s="3411"/>
      <c r="Z19" s="1575" t="str">
        <f>Q19</f>
        <v>商业繁华度</v>
      </c>
      <c r="AA19" s="1576">
        <f t="shared" si="3"/>
        <v>1</v>
      </c>
      <c r="AB19" s="1576">
        <f t="shared" si="4"/>
        <v>1</v>
      </c>
      <c r="AC19" s="1576">
        <f t="shared" si="5"/>
        <v>1</v>
      </c>
    </row>
    <row r="20" spans="1:29" ht="20.25" hidden="1">
      <c r="A20" s="532"/>
      <c r="B20" s="566"/>
      <c r="C20" s="567" t="s">
        <v>3002</v>
      </c>
      <c r="D20" s="563"/>
      <c r="E20" s="579" t="s">
        <v>3002</v>
      </c>
      <c r="F20" s="559"/>
      <c r="G20" s="579" t="s">
        <v>3002</v>
      </c>
      <c r="H20" s="555"/>
      <c r="I20" s="579" t="s">
        <v>3002</v>
      </c>
      <c r="J20" s="555"/>
      <c r="K20" s="531"/>
      <c r="L20" s="2142"/>
      <c r="M20" s="2132"/>
      <c r="N20" s="2132"/>
      <c r="O20" s="2141"/>
      <c r="P20" s="3411"/>
      <c r="Q20" s="1572"/>
      <c r="R20" s="1573"/>
      <c r="S20" s="1574"/>
      <c r="T20" s="1573"/>
      <c r="U20" s="1574"/>
      <c r="V20" s="1573"/>
      <c r="W20" s="1574"/>
      <c r="X20" s="1567"/>
      <c r="Y20" s="3411"/>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11"/>
      <c r="Q21" s="1572" t="str">
        <f>B21</f>
        <v>办公集聚程度</v>
      </c>
      <c r="R21" s="1573" t="s">
        <v>8</v>
      </c>
      <c r="S21" s="1574">
        <f>F21</f>
        <v>100</v>
      </c>
      <c r="T21" s="1573" t="s">
        <v>8</v>
      </c>
      <c r="U21" s="1574">
        <f>H21</f>
        <v>100</v>
      </c>
      <c r="V21" s="1573" t="s">
        <v>8</v>
      </c>
      <c r="W21" s="1574">
        <f>J21</f>
        <v>100</v>
      </c>
      <c r="X21" s="1567"/>
      <c r="Y21" s="3411"/>
      <c r="Z21" s="1575" t="str">
        <f>Q21</f>
        <v>办公集聚程度</v>
      </c>
      <c r="AA21" s="1576">
        <f t="shared" si="3"/>
        <v>1</v>
      </c>
      <c r="AB21" s="1576">
        <f t="shared" si="4"/>
        <v>1</v>
      </c>
      <c r="AC21" s="1576">
        <f t="shared" si="5"/>
        <v>1</v>
      </c>
    </row>
    <row r="22" spans="1:29" ht="20.25" hidden="1">
      <c r="A22" s="532"/>
      <c r="B22" s="566"/>
      <c r="C22" s="554" t="s">
        <v>3002</v>
      </c>
      <c r="D22" s="557"/>
      <c r="E22" s="579" t="s">
        <v>3002</v>
      </c>
      <c r="F22" s="555"/>
      <c r="G22" s="579" t="s">
        <v>3002</v>
      </c>
      <c r="H22" s="555"/>
      <c r="I22" s="579" t="s">
        <v>3002</v>
      </c>
      <c r="J22" s="555"/>
      <c r="K22" s="531"/>
      <c r="L22" s="2142"/>
      <c r="M22" s="2132"/>
      <c r="N22" s="2132"/>
      <c r="O22" s="2141"/>
      <c r="P22" s="3411"/>
      <c r="Q22" s="1572"/>
      <c r="R22" s="1573"/>
      <c r="S22" s="1574"/>
      <c r="T22" s="1573"/>
      <c r="U22" s="1574"/>
      <c r="V22" s="1573"/>
      <c r="W22" s="1574"/>
      <c r="X22" s="1567"/>
      <c r="Y22" s="3411"/>
      <c r="Z22" s="1575"/>
      <c r="AA22" s="1576">
        <v>1</v>
      </c>
      <c r="AB22" s="1576">
        <v>1</v>
      </c>
      <c r="AC22" s="1576">
        <v>1</v>
      </c>
    </row>
    <row r="23" spans="1:29" ht="114">
      <c r="A23" s="532"/>
      <c r="B23" s="560" t="s">
        <v>543</v>
      </c>
      <c r="C23" s="573" t="str">
        <f>估价对象房地状况!C18</f>
        <v>估价对象有主干道东山路和次干道金马大道、有12、13、108等公交车经停、停车便捷程度较好，综合评价交通便捷度较好</v>
      </c>
      <c r="D23" s="563">
        <v>100</v>
      </c>
      <c r="E23" s="3194" t="str">
        <f>C23</f>
        <v>估价对象有主干道东山路和次干道金马大道、有12、13、108等公交车经停、停车便捷程度较好，综合评价交通便捷度较好</v>
      </c>
      <c r="F23" s="565">
        <f>SUMIF(96:96,E24,97:97)-SUMIF(96:96,C24,97:97)+100</f>
        <v>100</v>
      </c>
      <c r="G23" s="3181" t="s">
        <v>3249</v>
      </c>
      <c r="H23" s="559">
        <f>SUMIF(96:96,G24,97:97)-SUMIF(96:96,C24,97:97)+100</f>
        <v>100</v>
      </c>
      <c r="I23" s="3181" t="s">
        <v>3249</v>
      </c>
      <c r="J23" s="559">
        <f>SUMIF(96:96,I24,97:97)-SUMIF(96:96,C24,97:97)+100</f>
        <v>100</v>
      </c>
      <c r="K23" s="535">
        <v>1</v>
      </c>
      <c r="L23" s="2142"/>
      <c r="M23" s="2132"/>
      <c r="N23" s="2132"/>
      <c r="O23" s="2141"/>
      <c r="P23" s="3411"/>
      <c r="Q23" s="1572" t="str">
        <f>B23</f>
        <v>交通便捷度</v>
      </c>
      <c r="R23" s="1573" t="s">
        <v>8</v>
      </c>
      <c r="S23" s="1574">
        <f>F23</f>
        <v>100</v>
      </c>
      <c r="T23" s="1573" t="s">
        <v>8</v>
      </c>
      <c r="U23" s="1574">
        <f>H23</f>
        <v>100</v>
      </c>
      <c r="V23" s="1573" t="s">
        <v>8</v>
      </c>
      <c r="W23" s="1574">
        <f>J23</f>
        <v>100</v>
      </c>
      <c r="X23" s="1567"/>
      <c r="Y23" s="3411"/>
      <c r="Z23" s="1575" t="str">
        <f>Q23</f>
        <v>交通便捷度</v>
      </c>
      <c r="AA23" s="1576">
        <f t="shared" si="3"/>
        <v>1</v>
      </c>
      <c r="AB23" s="1576">
        <f t="shared" si="4"/>
        <v>1</v>
      </c>
      <c r="AC23" s="1576">
        <f t="shared" si="5"/>
        <v>1</v>
      </c>
    </row>
    <row r="24" spans="1:29" ht="20.25">
      <c r="A24" s="532"/>
      <c r="B24" s="578"/>
      <c r="C24" s="554" t="s">
        <v>3002</v>
      </c>
      <c r="D24" s="557"/>
      <c r="E24" s="579" t="s">
        <v>3002</v>
      </c>
      <c r="F24" s="555"/>
      <c r="G24" s="579" t="s">
        <v>3002</v>
      </c>
      <c r="H24" s="555"/>
      <c r="I24" s="579" t="s">
        <v>3002</v>
      </c>
      <c r="J24" s="555"/>
      <c r="K24" s="531"/>
      <c r="L24" s="2142"/>
      <c r="M24" s="2132"/>
      <c r="N24" s="2132"/>
      <c r="O24" s="2141"/>
      <c r="P24" s="3411"/>
      <c r="Q24" s="1572"/>
      <c r="R24" s="1573"/>
      <c r="S24" s="1574"/>
      <c r="T24" s="1573"/>
      <c r="U24" s="1574"/>
      <c r="V24" s="1573"/>
      <c r="W24" s="1574"/>
      <c r="X24" s="1567"/>
      <c r="Y24" s="3411"/>
      <c r="Z24" s="1575"/>
      <c r="AA24" s="1576">
        <v>1</v>
      </c>
      <c r="AB24" s="1576">
        <v>1</v>
      </c>
      <c r="AC24" s="1576">
        <v>1</v>
      </c>
    </row>
    <row r="25" spans="1:29" ht="27">
      <c r="A25" s="515"/>
      <c r="B25" s="259" t="s">
        <v>544</v>
      </c>
      <c r="C25" s="573" t="str">
        <f>估价对象房地状况!C19</f>
        <v>一致</v>
      </c>
      <c r="D25" s="563">
        <v>100</v>
      </c>
      <c r="E25" s="3185" t="s">
        <v>3244</v>
      </c>
      <c r="F25" s="565">
        <f>SUMIF(98:98,E26,99:99)-SUMIF(98:98,C26,99:99)+100</f>
        <v>100</v>
      </c>
      <c r="G25" s="3195" t="s">
        <v>3246</v>
      </c>
      <c r="H25" s="559">
        <f>SUMIF(98:98,G26,99:99)-SUMIF(98:98,C26,99:99)+100</f>
        <v>98</v>
      </c>
      <c r="I25" s="3185" t="s">
        <v>3255</v>
      </c>
      <c r="J25" s="559">
        <f>SUMIF(98:98,I26,99:99)-SUMIF(98:98,C26,99:99)+100</f>
        <v>99</v>
      </c>
      <c r="K25" s="535">
        <v>1</v>
      </c>
      <c r="L25" s="2142"/>
      <c r="M25" s="2132"/>
      <c r="N25" s="2132"/>
      <c r="O25" s="2141"/>
      <c r="P25" s="3411"/>
      <c r="Q25" s="1572" t="str">
        <f t="shared" ref="Q25:Q39" si="8">B25</f>
        <v>区域土地利用方向</v>
      </c>
      <c r="R25" s="1573" t="s">
        <v>8</v>
      </c>
      <c r="S25" s="1574">
        <f>F25</f>
        <v>100</v>
      </c>
      <c r="T25" s="1573" t="s">
        <v>8</v>
      </c>
      <c r="U25" s="1574">
        <f>H25</f>
        <v>98</v>
      </c>
      <c r="V25" s="1573" t="s">
        <v>8</v>
      </c>
      <c r="W25" s="1574">
        <f>J25</f>
        <v>99</v>
      </c>
      <c r="X25" s="1567"/>
      <c r="Y25" s="3411"/>
      <c r="Z25" s="1575" t="str">
        <f>Q25</f>
        <v>区域土地利用方向</v>
      </c>
      <c r="AA25" s="1576">
        <f t="shared" si="3"/>
        <v>1</v>
      </c>
      <c r="AB25" s="1576">
        <f t="shared" si="4"/>
        <v>1.0204081632653061</v>
      </c>
      <c r="AC25" s="1576">
        <f t="shared" si="5"/>
        <v>1.0101010101010102</v>
      </c>
    </row>
    <row r="26" spans="1:29" ht="20.25">
      <c r="A26" s="515"/>
      <c r="B26" s="1006"/>
      <c r="C26" s="554" t="s">
        <v>3002</v>
      </c>
      <c r="D26" s="557"/>
      <c r="E26" s="579" t="s">
        <v>3002</v>
      </c>
      <c r="F26" s="555"/>
      <c r="G26" s="579" t="s">
        <v>3267</v>
      </c>
      <c r="H26" s="555"/>
      <c r="I26" s="579" t="s">
        <v>3247</v>
      </c>
      <c r="J26" s="555"/>
      <c r="K26" s="531"/>
      <c r="L26" s="2142"/>
      <c r="M26" s="2132"/>
      <c r="N26" s="2132"/>
      <c r="O26" s="2141"/>
      <c r="P26" s="3411"/>
      <c r="Q26" s="1572"/>
      <c r="R26" s="1573"/>
      <c r="S26" s="1574"/>
      <c r="T26" s="1573"/>
      <c r="U26" s="1574"/>
      <c r="V26" s="1573"/>
      <c r="W26" s="1574"/>
      <c r="X26" s="1567"/>
      <c r="Y26" s="3411"/>
      <c r="Z26" s="1575"/>
      <c r="AA26" s="1576"/>
      <c r="AB26" s="1576"/>
      <c r="AC26" s="1576"/>
    </row>
    <row r="27" spans="1:29" ht="85.5">
      <c r="A27" s="515"/>
      <c r="B27" s="578" t="s">
        <v>545</v>
      </c>
      <c r="C27" s="561" t="str">
        <f>估价对象房地状况!C20</f>
        <v>区域自然环境：；人文环境（潮州市行政学院、慧如公园）；综合评价环境状况较好</v>
      </c>
      <c r="D27" s="563">
        <v>100</v>
      </c>
      <c r="E27" s="564" t="str">
        <f>C27</f>
        <v>区域自然环境：；人文环境（潮州市行政学院、慧如公园）；综合评价环境状况较好</v>
      </c>
      <c r="F27" s="559">
        <f>SUMIF(100:100,E28,101:101)-SUMIF(100:100,C28,101:101)+100</f>
        <v>100</v>
      </c>
      <c r="G27" s="3185" t="s">
        <v>3256</v>
      </c>
      <c r="H27" s="559">
        <f>SUMIF(100:100,G28,101:101)-SUMIF(100:100,C28,101:101)+100</f>
        <v>99</v>
      </c>
      <c r="I27" s="3185" t="s">
        <v>3256</v>
      </c>
      <c r="J27" s="559">
        <f>SUMIF(100:100,I28,101:101)-SUMIF(100:100,C28,101:101)+100</f>
        <v>99</v>
      </c>
      <c r="K27" s="535">
        <v>1</v>
      </c>
      <c r="L27" s="2142"/>
      <c r="M27" s="2132"/>
      <c r="N27" s="2132"/>
      <c r="O27" s="2141"/>
      <c r="P27" s="3411"/>
      <c r="Q27" s="1572" t="str">
        <f t="shared" si="8"/>
        <v>自然及人文环境状况</v>
      </c>
      <c r="R27" s="1573" t="s">
        <v>8</v>
      </c>
      <c r="S27" s="1574">
        <f>F27</f>
        <v>100</v>
      </c>
      <c r="T27" s="1573" t="s">
        <v>8</v>
      </c>
      <c r="U27" s="1574">
        <f>H27</f>
        <v>99</v>
      </c>
      <c r="V27" s="1573" t="s">
        <v>8</v>
      </c>
      <c r="W27" s="1574">
        <f>J27</f>
        <v>99</v>
      </c>
      <c r="X27" s="1567"/>
      <c r="Y27" s="3411"/>
      <c r="Z27" s="1575" t="str">
        <f>Q27</f>
        <v>自然及人文环境状况</v>
      </c>
      <c r="AA27" s="1576">
        <f t="shared" si="3"/>
        <v>1</v>
      </c>
      <c r="AB27" s="1576">
        <f t="shared" si="4"/>
        <v>1.0101010101010102</v>
      </c>
      <c r="AC27" s="1576">
        <f t="shared" si="5"/>
        <v>1.0101010101010102</v>
      </c>
    </row>
    <row r="28" spans="1:29" ht="20.25">
      <c r="A28" s="515"/>
      <c r="B28" s="566"/>
      <c r="C28" s="554" t="s">
        <v>3002</v>
      </c>
      <c r="D28" s="557"/>
      <c r="E28" s="579" t="s">
        <v>3002</v>
      </c>
      <c r="F28" s="555"/>
      <c r="G28" s="579" t="s">
        <v>3247</v>
      </c>
      <c r="H28" s="555"/>
      <c r="I28" s="579" t="s">
        <v>3247</v>
      </c>
      <c r="J28" s="555"/>
      <c r="K28" s="531"/>
      <c r="L28" s="2142"/>
      <c r="M28" s="2132"/>
      <c r="N28" s="2132"/>
      <c r="O28" s="2141"/>
      <c r="P28" s="3411"/>
      <c r="Q28" s="1572"/>
      <c r="R28" s="1573"/>
      <c r="S28" s="1574"/>
      <c r="T28" s="1573"/>
      <c r="U28" s="1574"/>
      <c r="V28" s="1573"/>
      <c r="W28" s="1574"/>
      <c r="X28" s="1567"/>
      <c r="Y28" s="3411"/>
      <c r="Z28" s="1575"/>
      <c r="AA28" s="1576">
        <v>1</v>
      </c>
      <c r="AB28" s="1576">
        <v>1</v>
      </c>
      <c r="AC28" s="1576">
        <v>1</v>
      </c>
    </row>
    <row r="29" spans="1:29" s="1219" customFormat="1" ht="85.5">
      <c r="A29" s="577"/>
      <c r="B29" s="2570" t="s">
        <v>2549</v>
      </c>
      <c r="C29" s="573" t="str">
        <f>估价对象房地状况!C21</f>
        <v>估价对象所在区域公共配套设施齐备较齐全（有金山中学、中国银行、韩溪眼科医院）</v>
      </c>
      <c r="D29" s="563">
        <v>100</v>
      </c>
      <c r="E29" s="3196" t="str">
        <f>C29</f>
        <v>估价对象所在区域公共配套设施齐备较齐全（有金山中学、中国银行、韩溪眼科医院）</v>
      </c>
      <c r="F29" s="559">
        <f>SUMIF(102:102,E30,103:103)-SUMIF(102:102,C30,103:103)+100</f>
        <v>100</v>
      </c>
      <c r="G29" s="3194" t="s">
        <v>3257</v>
      </c>
      <c r="H29" s="559">
        <f>SUMIF(102:102,G30,103:103)-SUMIF(102:102,C30,103:103)+100</f>
        <v>100</v>
      </c>
      <c r="I29" s="3194" t="s">
        <v>3253</v>
      </c>
      <c r="J29" s="559">
        <f>SUMIF(102:102,I30,103:103)-SUMIF(102:102,C30,103:103)+100</f>
        <v>100</v>
      </c>
      <c r="K29" s="535">
        <v>1</v>
      </c>
      <c r="L29" s="2135"/>
      <c r="M29" s="2132"/>
      <c r="N29" s="2132"/>
      <c r="O29" s="2137"/>
      <c r="P29" s="3411"/>
      <c r="Q29" s="1150" t="str">
        <f t="shared" si="8"/>
        <v>公共配套设施</v>
      </c>
      <c r="R29" s="1568" t="s">
        <v>8</v>
      </c>
      <c r="S29" s="1569">
        <f>F29</f>
        <v>100</v>
      </c>
      <c r="T29" s="1568" t="s">
        <v>8</v>
      </c>
      <c r="U29" s="1569">
        <f>H29</f>
        <v>100</v>
      </c>
      <c r="V29" s="1568" t="s">
        <v>8</v>
      </c>
      <c r="W29" s="1569">
        <f>J29</f>
        <v>100</v>
      </c>
      <c r="X29" s="1570"/>
      <c r="Y29" s="3411"/>
      <c r="Z29" s="1149" t="str">
        <f>Q29</f>
        <v>公共配套设施</v>
      </c>
      <c r="AA29" s="1576">
        <f>D29/F29</f>
        <v>1</v>
      </c>
      <c r="AB29" s="1576">
        <f>D29/H29</f>
        <v>1</v>
      </c>
      <c r="AC29" s="1576">
        <f>D29/J29</f>
        <v>1</v>
      </c>
    </row>
    <row r="30" spans="1:29" s="1219" customFormat="1" ht="20.25">
      <c r="A30" s="577"/>
      <c r="B30" s="566"/>
      <c r="C30" s="579" t="s">
        <v>3002</v>
      </c>
      <c r="D30" s="557"/>
      <c r="E30" s="579" t="s">
        <v>3002</v>
      </c>
      <c r="F30" s="555"/>
      <c r="G30" s="579" t="s">
        <v>3002</v>
      </c>
      <c r="H30" s="555"/>
      <c r="I30" s="579" t="s">
        <v>3002</v>
      </c>
      <c r="J30" s="555"/>
      <c r="K30" s="531"/>
      <c r="L30" s="2135"/>
      <c r="M30" s="2132"/>
      <c r="N30" s="2132"/>
      <c r="O30" s="2137"/>
      <c r="P30" s="3411"/>
      <c r="Q30" s="1150"/>
      <c r="R30" s="1568"/>
      <c r="S30" s="1569"/>
      <c r="T30" s="1568"/>
      <c r="U30" s="1569"/>
      <c r="V30" s="1568"/>
      <c r="W30" s="1569"/>
      <c r="X30" s="1570"/>
      <c r="Y30" s="3411"/>
      <c r="Z30" s="1149"/>
      <c r="AA30" s="1576">
        <v>1</v>
      </c>
      <c r="AB30" s="1576">
        <v>1</v>
      </c>
      <c r="AC30" s="1576">
        <v>1</v>
      </c>
    </row>
    <row r="31" spans="1:29" s="1219" customFormat="1" ht="42.75">
      <c r="A31" s="577"/>
      <c r="B31" s="2570" t="s">
        <v>2550</v>
      </c>
      <c r="C31" s="573" t="str">
        <f>估价对象房地状况!C22</f>
        <v>估价对象所在区域基础设施水平较高</v>
      </c>
      <c r="D31" s="563">
        <v>100</v>
      </c>
      <c r="E31" s="3196" t="str">
        <f>C31</f>
        <v>估价对象所在区域基础设施水平较高</v>
      </c>
      <c r="F31" s="559">
        <f>SUMIF(104:104,E32,105:105)-SUMIF(104:104,C32,105:105)+100</f>
        <v>100</v>
      </c>
      <c r="G31" s="3197" t="str">
        <f>C31</f>
        <v>估价对象所在区域基础设施水平较高</v>
      </c>
      <c r="H31" s="559">
        <f>SUMIF(104:104,G32,105:105)-SUMIF(104:104,C32,105:105)+100</f>
        <v>100</v>
      </c>
      <c r="I31" s="3196" t="str">
        <f>C31</f>
        <v>估价对象所在区域基础设施水平较高</v>
      </c>
      <c r="J31" s="559">
        <f>SUMIF(104:104,I32,105:105)-SUMIF(104:104,C32,105:105)+100</f>
        <v>100</v>
      </c>
      <c r="K31" s="535">
        <v>1</v>
      </c>
      <c r="L31" s="2135"/>
      <c r="M31" s="2132"/>
      <c r="N31" s="2132"/>
      <c r="O31" s="2137"/>
      <c r="P31" s="3411"/>
      <c r="Q31" s="2557" t="str">
        <f t="shared" ref="Q31" si="9">B31</f>
        <v>基础设施水平</v>
      </c>
      <c r="R31" s="1568" t="s">
        <v>8</v>
      </c>
      <c r="S31" s="1569">
        <f>F31</f>
        <v>100</v>
      </c>
      <c r="T31" s="1568" t="s">
        <v>8</v>
      </c>
      <c r="U31" s="1569">
        <f>H31</f>
        <v>100</v>
      </c>
      <c r="V31" s="1568" t="s">
        <v>8</v>
      </c>
      <c r="W31" s="1569">
        <f>J31</f>
        <v>100</v>
      </c>
      <c r="X31" s="1570"/>
      <c r="Y31" s="3411"/>
      <c r="Z31" s="2554" t="str">
        <f>Q31</f>
        <v>基础设施水平</v>
      </c>
      <c r="AA31" s="1576">
        <f>D31/F31</f>
        <v>1</v>
      </c>
      <c r="AB31" s="1576">
        <f>D31/H31</f>
        <v>1</v>
      </c>
      <c r="AC31" s="1576">
        <f>D31/J31</f>
        <v>1</v>
      </c>
    </row>
    <row r="32" spans="1:29" s="1219" customFormat="1" ht="20.25">
      <c r="A32" s="577"/>
      <c r="B32" s="566"/>
      <c r="C32" s="579" t="s">
        <v>3001</v>
      </c>
      <c r="D32" s="557"/>
      <c r="E32" s="579" t="s">
        <v>3001</v>
      </c>
      <c r="F32" s="555"/>
      <c r="G32" s="579" t="s">
        <v>3001</v>
      </c>
      <c r="H32" s="555"/>
      <c r="I32" s="579" t="s">
        <v>3001</v>
      </c>
      <c r="J32" s="555"/>
      <c r="K32" s="531"/>
      <c r="L32" s="2135"/>
      <c r="M32" s="2132"/>
      <c r="N32" s="2132"/>
      <c r="O32" s="2137"/>
      <c r="P32" s="3411"/>
      <c r="Q32" s="2557"/>
      <c r="R32" s="1568"/>
      <c r="S32" s="1569"/>
      <c r="T32" s="1568"/>
      <c r="U32" s="1569"/>
      <c r="V32" s="1568"/>
      <c r="W32" s="1569"/>
      <c r="X32" s="1570"/>
      <c r="Y32" s="3411"/>
      <c r="Z32" s="2554"/>
      <c r="AA32" s="1576">
        <v>1</v>
      </c>
      <c r="AB32" s="1576">
        <v>1</v>
      </c>
      <c r="AC32" s="1576">
        <v>1</v>
      </c>
    </row>
    <row r="33" spans="1:29" ht="20.25" hidden="1">
      <c r="A33" s="532"/>
      <c r="B33" s="566" t="s">
        <v>547</v>
      </c>
      <c r="C33" s="580" t="s">
        <v>3000</v>
      </c>
      <c r="D33" s="575">
        <v>100</v>
      </c>
      <c r="E33" s="583" t="s">
        <v>3074</v>
      </c>
      <c r="F33" s="540">
        <f>SUMIF(106:106,E33,107:107)-SUMIF(106:106,C33,107:107)+100</f>
        <v>100</v>
      </c>
      <c r="G33" s="580" t="s">
        <v>3074</v>
      </c>
      <c r="H33" s="540">
        <f>SUMIF(106:106,G33,107:107)-SUMIF(106:106,C33,107:107)+100</f>
        <v>100</v>
      </c>
      <c r="I33" s="580" t="s">
        <v>3074</v>
      </c>
      <c r="J33" s="540">
        <f>SUMIF(106:106,I33,107:107)-SUMIF(106:106,C33,107:107)+100</f>
        <v>100</v>
      </c>
      <c r="K33" s="535">
        <v>0</v>
      </c>
      <c r="L33" s="2142"/>
      <c r="M33" s="2132"/>
      <c r="N33" s="2132"/>
      <c r="O33" s="2141"/>
      <c r="P33" s="341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1"/>
      <c r="Z33" s="1575" t="str">
        <f t="shared" ref="Z33:Z47" si="13">Q33</f>
        <v>临街状况</v>
      </c>
      <c r="AA33" s="1576">
        <f t="shared" si="3"/>
        <v>1</v>
      </c>
      <c r="AB33" s="1576">
        <f t="shared" si="4"/>
        <v>1</v>
      </c>
      <c r="AC33" s="1576">
        <f t="shared" si="5"/>
        <v>1</v>
      </c>
    </row>
    <row r="34" spans="1:29" ht="27">
      <c r="A34" s="532"/>
      <c r="B34" s="578" t="s">
        <v>548</v>
      </c>
      <c r="C34" s="3181" t="s">
        <v>3069</v>
      </c>
      <c r="D34" s="563">
        <v>100</v>
      </c>
      <c r="E34" s="3185" t="s">
        <v>3069</v>
      </c>
      <c r="F34" s="559">
        <f>SUMIF(108:108,E35,109:109)-SUMIF(108:108,C35,109:109)+100</f>
        <v>100</v>
      </c>
      <c r="G34" s="3181" t="s">
        <v>3245</v>
      </c>
      <c r="H34" s="559">
        <f>SUMIF(108:108,G35,109:109)-SUMIF(108:108,C35,109:109)+100</f>
        <v>100</v>
      </c>
      <c r="I34" s="3185" t="s">
        <v>3248</v>
      </c>
      <c r="J34" s="559">
        <f>SUMIF(108:108,I35,109:109)-SUMIF(108:108,C35,109:109)+100</f>
        <v>100</v>
      </c>
      <c r="K34" s="3186">
        <v>1</v>
      </c>
      <c r="L34" s="2142"/>
      <c r="M34" s="2132"/>
      <c r="N34" s="2132"/>
      <c r="O34" s="2141"/>
      <c r="P34" s="3411"/>
      <c r="Q34" s="1572" t="str">
        <f t="shared" si="8"/>
        <v>毗邻道路的类型与等级</v>
      </c>
      <c r="R34" s="1573" t="s">
        <v>8</v>
      </c>
      <c r="S34" s="1574">
        <f t="shared" si="10"/>
        <v>100</v>
      </c>
      <c r="T34" s="1573" t="s">
        <v>8</v>
      </c>
      <c r="U34" s="1574">
        <f t="shared" si="11"/>
        <v>100</v>
      </c>
      <c r="V34" s="1573" t="s">
        <v>8</v>
      </c>
      <c r="W34" s="1574">
        <f t="shared" si="12"/>
        <v>100</v>
      </c>
      <c r="X34" s="1567"/>
      <c r="Y34" s="3411"/>
      <c r="Z34" s="1575" t="str">
        <f t="shared" si="13"/>
        <v>毗邻道路的类型与等级</v>
      </c>
      <c r="AA34" s="1576">
        <f t="shared" si="3"/>
        <v>1</v>
      </c>
      <c r="AB34" s="1576">
        <f t="shared" si="4"/>
        <v>1</v>
      </c>
      <c r="AC34" s="1576">
        <f t="shared" si="5"/>
        <v>1</v>
      </c>
    </row>
    <row r="35" spans="1:29" ht="20.25">
      <c r="A35" s="532"/>
      <c r="B35" s="566"/>
      <c r="C35" s="554" t="s">
        <v>3065</v>
      </c>
      <c r="D35" s="557"/>
      <c r="E35" s="576" t="s">
        <v>3065</v>
      </c>
      <c r="F35" s="555"/>
      <c r="G35" s="554" t="s">
        <v>3065</v>
      </c>
      <c r="H35" s="555"/>
      <c r="I35" s="576" t="s">
        <v>3065</v>
      </c>
      <c r="J35" s="555"/>
      <c r="K35" s="581"/>
      <c r="L35" s="2142"/>
      <c r="M35" s="2132"/>
      <c r="N35" s="2132"/>
      <c r="O35" s="2141"/>
      <c r="P35" s="3411"/>
      <c r="Q35" s="1572"/>
      <c r="R35" s="1573"/>
      <c r="S35" s="1574"/>
      <c r="T35" s="1573"/>
      <c r="U35" s="1574"/>
      <c r="V35" s="1573"/>
      <c r="W35" s="1574"/>
      <c r="X35" s="1567"/>
      <c r="Y35" s="3411"/>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11"/>
      <c r="Q36" s="1572" t="str">
        <f t="shared" si="8"/>
        <v>土地级别</v>
      </c>
      <c r="R36" s="1573" t="s">
        <v>8</v>
      </c>
      <c r="S36" s="1574">
        <f t="shared" si="10"/>
        <v>100</v>
      </c>
      <c r="T36" s="1573" t="s">
        <v>8</v>
      </c>
      <c r="U36" s="1574">
        <f t="shared" si="11"/>
        <v>100</v>
      </c>
      <c r="V36" s="1573" t="s">
        <v>8</v>
      </c>
      <c r="W36" s="1574">
        <f t="shared" si="12"/>
        <v>100</v>
      </c>
      <c r="X36" s="1567"/>
      <c r="Y36" s="3411"/>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1"/>
      <c r="Q37" s="1572">
        <f t="shared" si="8"/>
        <v>111</v>
      </c>
      <c r="R37" s="1573" t="s">
        <v>8</v>
      </c>
      <c r="S37" s="1574">
        <f t="shared" si="10"/>
        <v>100</v>
      </c>
      <c r="T37" s="1573" t="s">
        <v>8</v>
      </c>
      <c r="U37" s="1574">
        <f t="shared" si="11"/>
        <v>100</v>
      </c>
      <c r="V37" s="1573" t="s">
        <v>8</v>
      </c>
      <c r="W37" s="1574">
        <f t="shared" si="12"/>
        <v>100</v>
      </c>
      <c r="X37" s="1567"/>
      <c r="Y37" s="3411"/>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2" t="s">
        <v>550</v>
      </c>
      <c r="Q38" s="1572">
        <f t="shared" si="8"/>
        <v>111</v>
      </c>
      <c r="R38" s="1573" t="s">
        <v>8</v>
      </c>
      <c r="S38" s="1574">
        <f t="shared" si="10"/>
        <v>100</v>
      </c>
      <c r="T38" s="1573" t="s">
        <v>8</v>
      </c>
      <c r="U38" s="1574">
        <f t="shared" si="11"/>
        <v>100</v>
      </c>
      <c r="V38" s="1573" t="s">
        <v>8</v>
      </c>
      <c r="W38" s="1574">
        <f t="shared" si="12"/>
        <v>100</v>
      </c>
      <c r="X38" s="1567"/>
      <c r="Y38" s="3413"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3"/>
      <c r="Q39" s="1572">
        <f t="shared" si="8"/>
        <v>111</v>
      </c>
      <c r="R39" s="1577" t="s">
        <v>8</v>
      </c>
      <c r="S39" s="1578">
        <f t="shared" si="10"/>
        <v>100</v>
      </c>
      <c r="T39" s="1577" t="s">
        <v>8</v>
      </c>
      <c r="U39" s="1578">
        <f t="shared" si="11"/>
        <v>100</v>
      </c>
      <c r="V39" s="1577" t="s">
        <v>8</v>
      </c>
      <c r="W39" s="1578">
        <f t="shared" si="12"/>
        <v>100</v>
      </c>
      <c r="X39" s="1579"/>
      <c r="Y39" s="3413"/>
      <c r="Z39" s="1580">
        <f t="shared" si="13"/>
        <v>111</v>
      </c>
      <c r="AA39" s="1576">
        <f t="shared" si="3"/>
        <v>1</v>
      </c>
      <c r="AB39" s="1576">
        <f t="shared" si="4"/>
        <v>1</v>
      </c>
      <c r="AC39" s="1576">
        <f t="shared" si="5"/>
        <v>1</v>
      </c>
    </row>
    <row r="40" spans="1:29" ht="20.25">
      <c r="A40" s="2886" t="s">
        <v>2756</v>
      </c>
      <c r="B40" s="595" t="s">
        <v>552</v>
      </c>
      <c r="C40" s="596">
        <f>'数据-汇总表'!D3</f>
        <v>46806.26</v>
      </c>
      <c r="D40" s="597">
        <v>100</v>
      </c>
      <c r="E40" s="596">
        <f>土地案例!J2</f>
        <v>24006.34</v>
      </c>
      <c r="F40" s="597">
        <f>LOOKUP(E40,119:119,120:120)-LOOKUP(C40,119:119,120:120)+100</f>
        <v>99</v>
      </c>
      <c r="G40" s="596">
        <f>土地案例!J3</f>
        <v>10183.370000000001</v>
      </c>
      <c r="H40" s="597">
        <f>LOOKUP(G40,119:119,120:120)-LOOKUP(C40,119:119,120:120)+100</f>
        <v>98.5</v>
      </c>
      <c r="I40" s="598">
        <f>土地案例!J7</f>
        <v>29601.45</v>
      </c>
      <c r="J40" s="597">
        <f>LOOKUP(I40,119:119,120:120)-LOOKUP(C40,119:119,120:120)+100</f>
        <v>99</v>
      </c>
      <c r="K40" s="581"/>
      <c r="L40" s="2142"/>
      <c r="M40" s="2132"/>
      <c r="N40" s="2132"/>
      <c r="O40" s="2141"/>
      <c r="P40" s="3413"/>
      <c r="Q40" s="1572" t="str">
        <f>B40</f>
        <v>宗地面积</v>
      </c>
      <c r="R40" s="1573" t="s">
        <v>8</v>
      </c>
      <c r="S40" s="1574">
        <f t="shared" si="10"/>
        <v>99</v>
      </c>
      <c r="T40" s="1573" t="s">
        <v>8</v>
      </c>
      <c r="U40" s="1574">
        <f t="shared" si="11"/>
        <v>98.5</v>
      </c>
      <c r="V40" s="1573" t="s">
        <v>8</v>
      </c>
      <c r="W40" s="1574">
        <f t="shared" si="12"/>
        <v>99</v>
      </c>
      <c r="X40" s="1567"/>
      <c r="Y40" s="3413"/>
      <c r="Z40" s="1575" t="str">
        <f t="shared" si="13"/>
        <v>宗地面积</v>
      </c>
      <c r="AA40" s="1576">
        <f t="shared" si="3"/>
        <v>1.0101010101010102</v>
      </c>
      <c r="AB40" s="1576">
        <f t="shared" si="4"/>
        <v>1.015228426395939</v>
      </c>
      <c r="AC40" s="1576">
        <f t="shared" si="5"/>
        <v>1.0101010101010102</v>
      </c>
    </row>
    <row r="41" spans="1:29" ht="20.25">
      <c r="A41" s="594"/>
      <c r="B41" s="527" t="s">
        <v>553</v>
      </c>
      <c r="C41" s="599" t="s">
        <v>3076</v>
      </c>
      <c r="D41" s="540">
        <v>100</v>
      </c>
      <c r="E41" s="599" t="s">
        <v>3076</v>
      </c>
      <c r="F41" s="540">
        <f>SUMIF(121:121,E41,122:122)-SUMIF(121:121,C41,122:122)+100</f>
        <v>100</v>
      </c>
      <c r="G41" s="599" t="s">
        <v>3076</v>
      </c>
      <c r="H41" s="540">
        <f>SUMIF(121:121,G41,122:122)-SUMIF(121:121,C41,122:122)+100</f>
        <v>100</v>
      </c>
      <c r="I41" s="599" t="s">
        <v>3076</v>
      </c>
      <c r="J41" s="540">
        <f>SUMIF(121:121,I41,122:122)-SUMIF(121:121,C41,122:122)+100</f>
        <v>100</v>
      </c>
      <c r="K41" s="584">
        <v>1</v>
      </c>
      <c r="L41" s="2142"/>
      <c r="M41" s="2132"/>
      <c r="N41" s="2132"/>
      <c r="O41" s="2141"/>
      <c r="P41" s="3413"/>
      <c r="Q41" s="1572" t="str">
        <f t="shared" ref="Q41:Q47" si="14">B41</f>
        <v>宗地形状</v>
      </c>
      <c r="R41" s="1573" t="s">
        <v>8</v>
      </c>
      <c r="S41" s="1574">
        <f t="shared" si="10"/>
        <v>100</v>
      </c>
      <c r="T41" s="1573" t="s">
        <v>8</v>
      </c>
      <c r="U41" s="1574">
        <f t="shared" si="11"/>
        <v>100</v>
      </c>
      <c r="V41" s="1573" t="s">
        <v>8</v>
      </c>
      <c r="W41" s="1574">
        <f t="shared" si="12"/>
        <v>100</v>
      </c>
      <c r="X41" s="1567"/>
      <c r="Y41" s="3413"/>
      <c r="Z41" s="1575" t="str">
        <f t="shared" si="13"/>
        <v>宗地形状</v>
      </c>
      <c r="AA41" s="1576">
        <f t="shared" si="3"/>
        <v>1</v>
      </c>
      <c r="AB41" s="1576">
        <f t="shared" si="4"/>
        <v>1</v>
      </c>
      <c r="AC41" s="1576">
        <f t="shared" si="5"/>
        <v>1</v>
      </c>
    </row>
    <row r="42" spans="1:29" ht="20.25">
      <c r="A42" s="594"/>
      <c r="B42" s="527" t="s">
        <v>554</v>
      </c>
      <c r="C42" s="599" t="s">
        <v>3002</v>
      </c>
      <c r="D42" s="540">
        <v>100</v>
      </c>
      <c r="E42" s="599" t="s">
        <v>3002</v>
      </c>
      <c r="F42" s="540">
        <f>SUMIF(123:123,E42,124:124)-SUMIF(123:123,C42,124:124)+100</f>
        <v>100</v>
      </c>
      <c r="G42" s="599" t="s">
        <v>3002</v>
      </c>
      <c r="H42" s="540">
        <f>SUMIF(123:123,G42,124:124)-SUMIF(123:123,C42,124:124)+100</f>
        <v>100</v>
      </c>
      <c r="I42" s="599" t="s">
        <v>3002</v>
      </c>
      <c r="J42" s="540">
        <f>SUMIF(123:123,I42,124:124)-SUMIF(123:123,C42,124:124)+100</f>
        <v>100</v>
      </c>
      <c r="K42" s="584"/>
      <c r="L42" s="2142"/>
      <c r="M42" s="2132"/>
      <c r="N42" s="2132"/>
      <c r="O42" s="2141"/>
      <c r="P42" s="3413"/>
      <c r="Q42" s="1572" t="str">
        <f t="shared" si="14"/>
        <v>临街宽度及深度</v>
      </c>
      <c r="R42" s="1573" t="s">
        <v>8</v>
      </c>
      <c r="S42" s="1574">
        <f t="shared" si="10"/>
        <v>100</v>
      </c>
      <c r="T42" s="1573" t="s">
        <v>8</v>
      </c>
      <c r="U42" s="1574">
        <f t="shared" si="11"/>
        <v>100</v>
      </c>
      <c r="V42" s="1573" t="s">
        <v>8</v>
      </c>
      <c r="W42" s="1574">
        <f t="shared" si="12"/>
        <v>100</v>
      </c>
      <c r="X42" s="1567"/>
      <c r="Y42" s="3413"/>
      <c r="Z42" s="1575" t="str">
        <f t="shared" si="13"/>
        <v>临街宽度及深度</v>
      </c>
      <c r="AA42" s="1576">
        <f t="shared" si="3"/>
        <v>1</v>
      </c>
      <c r="AB42" s="1576">
        <f t="shared" si="4"/>
        <v>1</v>
      </c>
      <c r="AC42" s="1576">
        <f t="shared" si="5"/>
        <v>1</v>
      </c>
    </row>
    <row r="43" spans="1:29" s="1219" customFormat="1" ht="20.25">
      <c r="A43" s="600"/>
      <c r="B43" s="1895" t="s">
        <v>2425</v>
      </c>
      <c r="C43" s="601" t="s">
        <v>3001</v>
      </c>
      <c r="D43" s="255">
        <v>100</v>
      </c>
      <c r="E43" s="601" t="s">
        <v>3001</v>
      </c>
      <c r="F43" s="540">
        <f>SUMIF(125:125,E43,126:126)-SUMIF(125:125,C43,126:126)+100</f>
        <v>100</v>
      </c>
      <c r="G43" s="601" t="s">
        <v>3001</v>
      </c>
      <c r="H43" s="540">
        <f>SUMIF(125:125,G43,126:126)-SUMIF(125:125,C43,126:126)+100</f>
        <v>100</v>
      </c>
      <c r="I43" s="601" t="s">
        <v>3001</v>
      </c>
      <c r="J43" s="540">
        <f>SUMIF(125:125,I43,126:126)-SUMIF(125:125,C43,126:126)+100</f>
        <v>100</v>
      </c>
      <c r="K43" s="584"/>
      <c r="L43" s="2135"/>
      <c r="M43" s="2132"/>
      <c r="N43" s="2132"/>
      <c r="O43" s="2137"/>
      <c r="P43" s="3413"/>
      <c r="Q43" s="1572" t="str">
        <f t="shared" si="14"/>
        <v>宗地开发程度</v>
      </c>
      <c r="R43" s="1568" t="s">
        <v>8</v>
      </c>
      <c r="S43" s="1569">
        <f t="shared" si="10"/>
        <v>100</v>
      </c>
      <c r="T43" s="1568" t="s">
        <v>8</v>
      </c>
      <c r="U43" s="1569">
        <f t="shared" si="11"/>
        <v>100</v>
      </c>
      <c r="V43" s="1568" t="s">
        <v>8</v>
      </c>
      <c r="W43" s="1569">
        <f t="shared" si="12"/>
        <v>100</v>
      </c>
      <c r="X43" s="1570"/>
      <c r="Y43" s="3413"/>
      <c r="Z43" s="1149" t="str">
        <f t="shared" si="13"/>
        <v>宗地开发程度</v>
      </c>
      <c r="AA43" s="1571">
        <f t="shared" si="3"/>
        <v>1</v>
      </c>
      <c r="AB43" s="1571">
        <f t="shared" si="4"/>
        <v>1</v>
      </c>
      <c r="AC43" s="1571">
        <f t="shared" si="5"/>
        <v>1</v>
      </c>
    </row>
    <row r="44" spans="1:29" ht="20.25">
      <c r="A44" s="594"/>
      <c r="B44" s="527" t="s">
        <v>555</v>
      </c>
      <c r="C44" s="599" t="s">
        <v>3002</v>
      </c>
      <c r="D44" s="540">
        <v>100</v>
      </c>
      <c r="E44" s="599" t="s">
        <v>3002</v>
      </c>
      <c r="F44" s="540">
        <f>SUMIF(127:127,E44,128:128)-SUMIF(127:127,C44,128:128)+100</f>
        <v>100</v>
      </c>
      <c r="G44" s="599" t="s">
        <v>3002</v>
      </c>
      <c r="H44" s="540">
        <f>SUMIF(127:127,G44,128:128)-SUMIF(127:127,C44,128:128)+100</f>
        <v>100</v>
      </c>
      <c r="I44" s="599" t="s">
        <v>3002</v>
      </c>
      <c r="J44" s="540">
        <f>SUMIF(127:127,I44,128:128)-SUMIF(127:127,C44,128:128)+100</f>
        <v>100</v>
      </c>
      <c r="K44" s="584"/>
      <c r="L44" s="2142"/>
      <c r="M44" s="2132"/>
      <c r="N44" s="2132"/>
      <c r="O44" s="2141"/>
      <c r="P44" s="3413" t="s">
        <v>550</v>
      </c>
      <c r="Q44" s="1572" t="str">
        <f t="shared" si="14"/>
        <v>工程地质条件</v>
      </c>
      <c r="R44" s="1573" t="s">
        <v>8</v>
      </c>
      <c r="S44" s="1574">
        <f t="shared" si="10"/>
        <v>100</v>
      </c>
      <c r="T44" s="1573" t="s">
        <v>8</v>
      </c>
      <c r="U44" s="1574">
        <f t="shared" si="11"/>
        <v>100</v>
      </c>
      <c r="V44" s="1573" t="s">
        <v>8</v>
      </c>
      <c r="W44" s="1574">
        <f t="shared" si="12"/>
        <v>100</v>
      </c>
      <c r="X44" s="1567"/>
      <c r="Y44" s="3413"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3"/>
      <c r="Q45" s="1572">
        <f t="shared" si="14"/>
        <v>111</v>
      </c>
      <c r="R45" s="1573" t="s">
        <v>8</v>
      </c>
      <c r="S45" s="1574">
        <f t="shared" si="10"/>
        <v>100</v>
      </c>
      <c r="T45" s="1573" t="s">
        <v>8</v>
      </c>
      <c r="U45" s="1574">
        <f t="shared" si="11"/>
        <v>100</v>
      </c>
      <c r="V45" s="1573" t="s">
        <v>8</v>
      </c>
      <c r="W45" s="1574">
        <f t="shared" si="12"/>
        <v>100</v>
      </c>
      <c r="X45" s="1567"/>
      <c r="Y45" s="3413"/>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3"/>
      <c r="Q46" s="1572">
        <f t="shared" si="14"/>
        <v>111</v>
      </c>
      <c r="R46" s="1573" t="s">
        <v>8</v>
      </c>
      <c r="S46" s="1574">
        <f t="shared" si="10"/>
        <v>100</v>
      </c>
      <c r="T46" s="1573" t="s">
        <v>8</v>
      </c>
      <c r="U46" s="1574">
        <f t="shared" si="11"/>
        <v>100</v>
      </c>
      <c r="V46" s="1573" t="s">
        <v>8</v>
      </c>
      <c r="W46" s="1574">
        <f t="shared" si="12"/>
        <v>100</v>
      </c>
      <c r="X46" s="1567"/>
      <c r="Y46" s="3413"/>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3"/>
      <c r="Q47" s="1572">
        <f t="shared" si="14"/>
        <v>111</v>
      </c>
      <c r="R47" s="1577" t="s">
        <v>8</v>
      </c>
      <c r="S47" s="1578">
        <f t="shared" si="10"/>
        <v>100</v>
      </c>
      <c r="T47" s="1577" t="s">
        <v>8</v>
      </c>
      <c r="U47" s="1578">
        <f t="shared" si="11"/>
        <v>100</v>
      </c>
      <c r="V47" s="1577" t="s">
        <v>8</v>
      </c>
      <c r="W47" s="1578">
        <f t="shared" si="12"/>
        <v>100</v>
      </c>
      <c r="X47" s="1579"/>
      <c r="Y47" s="3413"/>
      <c r="Z47" s="1580">
        <f t="shared" si="13"/>
        <v>111</v>
      </c>
      <c r="AA47" s="1576">
        <f t="shared" si="3"/>
        <v>1</v>
      </c>
      <c r="AB47" s="1576">
        <f t="shared" si="4"/>
        <v>1</v>
      </c>
      <c r="AC47" s="1576">
        <f t="shared" si="5"/>
        <v>1</v>
      </c>
    </row>
    <row r="48" spans="1:29" ht="20.25">
      <c r="A48" s="607" t="s">
        <v>556</v>
      </c>
      <c r="B48" s="608" t="s">
        <v>3238</v>
      </c>
      <c r="C48" s="609" t="s">
        <v>1</v>
      </c>
      <c r="D48" s="610"/>
      <c r="E48" s="611">
        <f>ROUND(土地案例!AK2,0)</f>
        <v>2290</v>
      </c>
      <c r="F48" s="612"/>
      <c r="G48" s="613">
        <f>ROUND(土地案例!AK3,0)</f>
        <v>1899</v>
      </c>
      <c r="H48" s="614"/>
      <c r="I48" s="611">
        <f>ROUND(土地案例!AK7,0)</f>
        <v>2534</v>
      </c>
      <c r="J48" s="614"/>
      <c r="K48" s="1339"/>
      <c r="L48" s="2144"/>
      <c r="M48" s="2132"/>
      <c r="N48" s="2132"/>
      <c r="O48" s="2145"/>
      <c r="P48" s="3374" t="str">
        <f>A48</f>
        <v>成交单价</v>
      </c>
      <c r="Q48" s="3374"/>
      <c r="R48" s="3375">
        <f>E48</f>
        <v>2290</v>
      </c>
      <c r="S48" s="3375"/>
      <c r="T48" s="3375">
        <f>G48</f>
        <v>1899</v>
      </c>
      <c r="U48" s="3375"/>
      <c r="V48" s="3375">
        <f>I48</f>
        <v>2534</v>
      </c>
      <c r="W48" s="3375"/>
      <c r="X48" s="1559"/>
      <c r="Y48" s="1581"/>
      <c r="Z48" s="1559"/>
      <c r="AA48" s="1559"/>
      <c r="AB48" s="1559"/>
      <c r="AC48" s="1559"/>
    </row>
    <row r="49" spans="1:29" ht="21" thickBot="1">
      <c r="A49" s="615" t="s">
        <v>2694</v>
      </c>
      <c r="B49" s="616"/>
      <c r="C49" s="617">
        <f>R50</f>
        <v>2234</v>
      </c>
      <c r="D49" s="618"/>
      <c r="E49" s="617">
        <f>R49</f>
        <v>2224</v>
      </c>
      <c r="F49" s="619"/>
      <c r="G49" s="620">
        <f>T49</f>
        <v>1952</v>
      </c>
      <c r="H49" s="618"/>
      <c r="I49" s="617">
        <f>V49</f>
        <v>2526</v>
      </c>
      <c r="J49" s="618"/>
      <c r="K49" s="1340"/>
      <c r="L49" s="2144"/>
      <c r="M49" s="2132"/>
      <c r="N49" s="2132"/>
      <c r="O49" s="2145"/>
      <c r="P49" s="3374" t="str">
        <f>A49</f>
        <v>比较价格（元/平方米）</v>
      </c>
      <c r="Q49" s="3374"/>
      <c r="R49" s="3376">
        <f>ROUND(PRODUCT(R48,AA9:AA47),0)</f>
        <v>2224</v>
      </c>
      <c r="S49" s="3376"/>
      <c r="T49" s="3376">
        <f>ROUND(PRODUCT(T48,AB9:AB47),0)</f>
        <v>1952</v>
      </c>
      <c r="U49" s="3376"/>
      <c r="V49" s="3376">
        <f>ROUND(PRODUCT(V48,AC9:AC47),0)</f>
        <v>2526</v>
      </c>
      <c r="W49" s="3376"/>
      <c r="X49" s="1559"/>
      <c r="Y49" s="1559"/>
      <c r="Z49" s="1559"/>
      <c r="AA49" s="1559"/>
      <c r="AB49" s="1559"/>
      <c r="AC49" s="1559"/>
    </row>
    <row r="50" spans="1:29" ht="21" thickBot="1">
      <c r="A50" s="621" t="s">
        <v>2935</v>
      </c>
      <c r="B50" s="622"/>
      <c r="C50" s="623">
        <f>R50</f>
        <v>2234</v>
      </c>
      <c r="D50" s="623"/>
      <c r="E50" s="623"/>
      <c r="F50" s="623"/>
      <c r="G50" s="623"/>
      <c r="H50" s="623"/>
      <c r="I50" s="623"/>
      <c r="J50" s="623"/>
      <c r="K50" s="1341"/>
      <c r="L50" s="2144"/>
      <c r="M50" s="2132"/>
      <c r="N50" s="2132"/>
      <c r="O50" s="2145"/>
      <c r="P50" s="3371" t="str">
        <f>A50</f>
        <v>估价对象XX用房的比较价格（楼面单价，元/平方米）</v>
      </c>
      <c r="Q50" s="3372"/>
      <c r="R50" s="3373">
        <f>ROUND(AVERAGE(R49:V49),0)</f>
        <v>2234</v>
      </c>
      <c r="S50" s="3373"/>
      <c r="T50" s="3373"/>
      <c r="U50" s="3373"/>
      <c r="V50" s="3373"/>
      <c r="W50" s="3373"/>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2.9676258992805682E-2</v>
      </c>
      <c r="F53" s="627" t="str">
        <f>IF(OR(E53&gt;=0.3,E53&lt;=-0.3),"超过30%","")</f>
        <v/>
      </c>
      <c r="G53" s="626">
        <f>IF(G48&lt;G49,G49/G48-1,G48/G49-1)</f>
        <v>2.7909426013691396E-2</v>
      </c>
      <c r="H53" s="627" t="str">
        <f>IF(OR(G53&gt;=0.3,G53&lt;=-0.3),"超过30%","")</f>
        <v/>
      </c>
      <c r="I53" s="626">
        <f>IF(I48&lt;I49,I49/I48-1,I48/I49-1)</f>
        <v>3.1670625494852889E-3</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0.13934426229508201</v>
      </c>
      <c r="F54" s="627" t="str">
        <f>IF(OR(E54&gt;=0.2,E54&lt;=-0.2),"超过20%","")</f>
        <v/>
      </c>
      <c r="G54" s="626">
        <f>IF(G49&lt;I49,I49/G49-1,G49/I49-1)</f>
        <v>0.29405737704918034</v>
      </c>
      <c r="H54" s="627" t="str">
        <f>IF(OR(G54&gt;=0.2,G54&lt;=-0.2),"超过20%","")</f>
        <v>超过20%</v>
      </c>
      <c r="I54" s="626">
        <f>IF(I49&lt;E49,E49/I49-1,I49/E49-1)</f>
        <v>0.13579136690647475</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0.20589784096893093</v>
      </c>
      <c r="F55" s="627" t="str">
        <f>IF(OR(E55&gt;=0.3,E55&lt;=-0.3),"超过30%","")</f>
        <v/>
      </c>
      <c r="G55" s="626">
        <f>IF(G48&lt;I48,I48/G48-1,G48/I48-1)</f>
        <v>0.33438651922064255</v>
      </c>
      <c r="H55" s="627" t="str">
        <f>IF(OR(G55&gt;=0.3,G55&lt;=-0.3),"超过30%","")</f>
        <v>超过30%</v>
      </c>
      <c r="I55" s="626">
        <f>IF(I48&lt;E48,E48/I48-1,I48/E48-1)</f>
        <v>0.10655021834061129</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402" t="s">
        <v>2282</v>
      </c>
      <c r="H57" s="3403"/>
      <c r="I57" s="1555" t="s">
        <v>1723</v>
      </c>
      <c r="J57" s="1555" t="str">
        <f>项目基本情况!F41</f>
        <v>广东省潮州市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2234</v>
      </c>
      <c r="C58" s="635">
        <v>1</v>
      </c>
      <c r="D58" s="2228">
        <v>1</v>
      </c>
      <c r="E58" s="635">
        <f>'数据-汇总表'!E8+'数据-汇总表'!E9</f>
        <v>185735.98</v>
      </c>
      <c r="F58" s="636">
        <f t="shared" ref="F58:F67" si="15">ROUND(B58*E58/10000,0)</f>
        <v>41493</v>
      </c>
      <c r="G58" s="3404"/>
      <c r="H58" s="3405"/>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406" t="s">
        <v>2283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406"/>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406"/>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406"/>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185735.98</v>
      </c>
      <c r="F68" s="644">
        <f>IF(B48="楼面地价",SUM(F58:F67),ROUND(C50*E68/10000,0))</f>
        <v>41493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8" t="str">
        <f>YEAR(C9)&amp;"-"&amp;MONTH(C9)&amp;"-1"</f>
        <v>2018-12-1</v>
      </c>
      <c r="D70" s="2778">
        <f>EDATE(C70,-3)</f>
        <v>43344</v>
      </c>
      <c r="E70" s="2778">
        <f t="shared" ref="E70:N70" si="18">EDATE(D70,-3)</f>
        <v>43252</v>
      </c>
      <c r="F70" s="2778">
        <f t="shared" si="18"/>
        <v>43160</v>
      </c>
      <c r="G70" s="2778">
        <f t="shared" si="18"/>
        <v>43070</v>
      </c>
      <c r="H70" s="2778">
        <f t="shared" si="18"/>
        <v>42979</v>
      </c>
      <c r="I70" s="2778">
        <f t="shared" si="18"/>
        <v>42887</v>
      </c>
      <c r="J70" s="2778">
        <f t="shared" si="18"/>
        <v>42795</v>
      </c>
      <c r="K70" s="2778">
        <f t="shared" si="18"/>
        <v>42705</v>
      </c>
      <c r="L70" s="2778">
        <f t="shared" si="18"/>
        <v>42614</v>
      </c>
      <c r="M70" s="2778">
        <f t="shared" si="18"/>
        <v>42522</v>
      </c>
      <c r="N70" s="2778">
        <f t="shared" si="18"/>
        <v>42430</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2533</v>
      </c>
      <c r="B72" s="2548"/>
      <c r="C72" s="2773" t="str">
        <f>YEAR(C70)&amp;"-"&amp;ROUNDUP(MONTH(C70)/3,0)</f>
        <v>2018-4</v>
      </c>
      <c r="D72" s="2780" t="str">
        <f>YEAR(D70)&amp;"-"&amp;ROUNDUP(MONTH(D70)/3,0)</f>
        <v>2018-3</v>
      </c>
      <c r="E72" s="2780" t="str">
        <f t="shared" ref="E72:N72" si="19">YEAR(E70)&amp;"-"&amp;ROUNDUP(MONTH(E70)/3,0)</f>
        <v>2018-2</v>
      </c>
      <c r="F72" s="2780" t="str">
        <f t="shared" si="19"/>
        <v>2018-1</v>
      </c>
      <c r="G72" s="2780" t="str">
        <f t="shared" si="19"/>
        <v>2017-4</v>
      </c>
      <c r="H72" s="2780" t="str">
        <f t="shared" si="19"/>
        <v>2017-3</v>
      </c>
      <c r="I72" s="2780" t="str">
        <f t="shared" si="19"/>
        <v>2017-2</v>
      </c>
      <c r="J72" s="2780" t="str">
        <f t="shared" si="19"/>
        <v>2017-1</v>
      </c>
      <c r="K72" s="2780" t="str">
        <f t="shared" si="19"/>
        <v>2016-4</v>
      </c>
      <c r="L72" s="2780" t="str">
        <f t="shared" si="19"/>
        <v>2016-3</v>
      </c>
      <c r="M72" s="2780" t="str">
        <f t="shared" si="19"/>
        <v>2016-2</v>
      </c>
      <c r="N72" s="2780" t="str">
        <f t="shared" si="19"/>
        <v>2016-1</v>
      </c>
      <c r="O72" s="2159" t="s">
        <v>3059</v>
      </c>
      <c r="P72" s="2160"/>
      <c r="Q72" s="2161"/>
      <c r="R72" s="2161"/>
      <c r="S72" s="2161"/>
      <c r="T72" s="2161"/>
      <c r="U72" s="2161"/>
      <c r="V72" s="2161"/>
      <c r="W72" s="2161"/>
      <c r="X72" s="2161"/>
      <c r="Y72" s="2161"/>
      <c r="Z72" s="2161"/>
      <c r="AA72" s="2161"/>
      <c r="AB72" s="2161"/>
      <c r="AC72" s="2161"/>
    </row>
    <row r="73" spans="1:29" s="1219" customFormat="1" ht="27" customHeight="1">
      <c r="A73" s="2785" t="s">
        <v>2648</v>
      </c>
      <c r="B73" s="479" t="str">
        <f>"北京市平均增长率"&amp;TEXT(SUMIF(基准地价!N21:N25,A73,基准地价!P21:P25),"0.00%")</f>
        <v>北京市平均增长率2.19%</v>
      </c>
      <c r="C73" s="893">
        <v>100</v>
      </c>
      <c r="D73" s="730">
        <v>99.9</v>
      </c>
      <c r="E73" s="730">
        <v>99.8</v>
      </c>
      <c r="F73" s="730">
        <v>99.7</v>
      </c>
      <c r="G73" s="730">
        <v>99.6</v>
      </c>
      <c r="H73" s="730">
        <v>99.5</v>
      </c>
      <c r="I73" s="730">
        <v>99.4</v>
      </c>
      <c r="J73" s="730">
        <v>99.3</v>
      </c>
      <c r="K73" s="730">
        <v>99.199999999999903</v>
      </c>
      <c r="L73" s="730">
        <v>99.099999999999895</v>
      </c>
      <c r="M73" s="730">
        <v>98.999999999999901</v>
      </c>
      <c r="N73" s="730">
        <v>98.899999999999906</v>
      </c>
      <c r="O73" s="730">
        <v>98.899999999999906</v>
      </c>
      <c r="P73" s="2158"/>
      <c r="Q73" s="1993"/>
      <c r="R73" s="1993"/>
      <c r="S73" s="1993"/>
      <c r="T73" s="1993"/>
      <c r="U73" s="1993"/>
      <c r="V73" s="1993"/>
      <c r="W73" s="1993"/>
      <c r="X73" s="1993"/>
      <c r="Y73" s="1993"/>
      <c r="Z73" s="1993"/>
      <c r="AA73" s="1993"/>
      <c r="AB73" s="1993"/>
      <c r="AC73" s="1993"/>
    </row>
    <row r="74" spans="1:29" s="1219" customFormat="1" ht="15" customHeight="1" thickBot="1">
      <c r="A74" s="2775" t="s">
        <v>2647</v>
      </c>
      <c r="B74" s="2784"/>
      <c r="C74" s="2769"/>
      <c r="D74" s="2770"/>
      <c r="E74" s="2770"/>
      <c r="F74" s="2770"/>
      <c r="G74" s="2770"/>
      <c r="H74" s="2770"/>
      <c r="I74" s="2770"/>
      <c r="J74" s="2770"/>
      <c r="K74" s="2770"/>
      <c r="L74" s="2770"/>
      <c r="M74" s="2770"/>
      <c r="N74" s="2770"/>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8" t="s">
        <v>3061</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99</v>
      </c>
      <c r="E91" s="679">
        <f>D91-$K17</f>
        <v>98</v>
      </c>
      <c r="F91" s="679">
        <f>E91-$K17</f>
        <v>97</v>
      </c>
      <c r="G91" s="679">
        <f>F91-$K17</f>
        <v>96</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79" t="s">
        <v>3063</v>
      </c>
      <c r="D108" s="3179" t="s">
        <v>3064</v>
      </c>
      <c r="E108" s="3179" t="s">
        <v>3066</v>
      </c>
      <c r="F108" s="3179" t="s">
        <v>3067</v>
      </c>
      <c r="G108" s="3179" t="s">
        <v>3068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3180" t="s">
        <v>3259</v>
      </c>
      <c r="D110" s="3180" t="s">
        <v>3260</v>
      </c>
      <c r="E110" s="3180" t="s">
        <v>3261</v>
      </c>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068" t="str">
        <f t="shared" si="25"/>
        <v>(含)-</v>
      </c>
      <c r="K118" s="3068" t="str">
        <f t="shared" si="25"/>
        <v>(含)-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692">
        <v>100</v>
      </c>
      <c r="D120" s="671">
        <f>C120+0.5</f>
        <v>100.5</v>
      </c>
      <c r="E120" s="671">
        <f t="shared" ref="E120:H120" si="26">D120+0.5</f>
        <v>101</v>
      </c>
      <c r="F120" s="671">
        <f t="shared" si="26"/>
        <v>101.5</v>
      </c>
      <c r="G120" s="671">
        <f t="shared" si="26"/>
        <v>102</v>
      </c>
      <c r="H120" s="671">
        <f t="shared" si="26"/>
        <v>102.5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0" t="s">
        <v>3075</v>
      </c>
      <c r="D121" s="3180" t="s">
        <v>3077</v>
      </c>
      <c r="E121" s="3180" t="s">
        <v>3078</v>
      </c>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79" t="s">
        <v>3266</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3200" t="s">
        <v>3262</v>
      </c>
      <c r="D125" s="3200" t="s">
        <v>3001</v>
      </c>
      <c r="E125" s="3200" t="s">
        <v>3263</v>
      </c>
      <c r="F125" s="3200" t="s">
        <v>3264</v>
      </c>
      <c r="G125" s="3200" t="s">
        <v>3265</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79" t="s">
        <v>3266</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4" workbookViewId="0">
      <selection activeCell="C35" sqref="C35"/>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8"/>
      <c r="C1" s="2104"/>
      <c r="D1" s="2104"/>
      <c r="E1" s="2104"/>
      <c r="F1" s="2104"/>
      <c r="G1" s="2104"/>
      <c r="H1" s="2104"/>
      <c r="I1" s="2104"/>
      <c r="J1" s="2104"/>
      <c r="K1" s="422">
        <f>MATCH(B1,'数据-取费表'!A6:A16,0)+5</f>
        <v>8</v>
      </c>
    </row>
    <row r="2" spans="1:31" s="2041" customFormat="1" ht="18" customHeight="1">
      <c r="A2" s="2101" t="s">
        <v>467</v>
      </c>
      <c r="B2" s="2105">
        <f ca="1">C36</f>
        <v>37456</v>
      </c>
      <c r="C2" s="2104"/>
      <c r="D2" s="2104"/>
      <c r="E2" s="2104"/>
      <c r="F2" s="2104"/>
      <c r="G2" s="2104"/>
      <c r="H2" s="2104"/>
      <c r="I2" s="2104"/>
      <c r="J2" s="2104"/>
      <c r="K2" s="2104"/>
    </row>
    <row r="3" spans="1:31" s="2041" customFormat="1" ht="18" customHeight="1">
      <c r="A3" s="2106" t="s">
        <v>1685</v>
      </c>
      <c r="B3" s="2107">
        <f ca="1">ROUND(B2*10000/IF(B1="",'数据-汇总表'!E3,INDIRECT("'数据-取费表'!K"&amp;$K$1)),0)</f>
        <v>1526</v>
      </c>
      <c r="C3" s="2104"/>
      <c r="D3" s="2104"/>
      <c r="E3" s="2104"/>
      <c r="F3" s="2104"/>
      <c r="G3" s="2104"/>
      <c r="H3" s="2104"/>
      <c r="I3" s="2104"/>
      <c r="J3" s="2104"/>
      <c r="K3" s="2104"/>
    </row>
    <row r="4" spans="1:31" s="2041" customFormat="1" ht="18" customHeight="1">
      <c r="A4" s="426" t="s">
        <v>468</v>
      </c>
      <c r="B4" s="427">
        <f ca="1">ROUND(B2*10000/IF(B1="",'数据-汇总表'!D3,INDIRECT("'数据-取费表'!R"&amp;$K$1)),0)</f>
        <v>8002</v>
      </c>
      <c r="C4" s="428"/>
      <c r="D4" s="422"/>
      <c r="E4" s="422"/>
      <c r="F4" s="422"/>
      <c r="G4" s="422"/>
      <c r="H4" s="422"/>
      <c r="I4" s="422"/>
      <c r="J4" s="422"/>
      <c r="K4" s="422"/>
    </row>
    <row r="5" spans="1:31" s="2041" customFormat="1" ht="18" customHeight="1" thickBot="1">
      <c r="A5" s="429"/>
      <c r="B5" s="430">
        <f ca="1">ROUND(B2/(IF(B1="",'数据-汇总表'!D3,INDIRECT("'数据-取费表'!R"&amp;$K$1))/666.67),0)</f>
        <v>533</v>
      </c>
      <c r="C5" s="431" t="s">
        <v>469</v>
      </c>
      <c r="D5" s="422"/>
      <c r="E5" s="422"/>
      <c r="F5" s="422"/>
      <c r="G5" s="422"/>
      <c r="H5" s="422"/>
      <c r="I5" s="422"/>
      <c r="J5" s="422"/>
      <c r="K5" s="422"/>
    </row>
    <row r="6" spans="1:31" s="2111" customFormat="1" ht="16.5" customHeight="1">
      <c r="A6" s="2807" t="s">
        <v>1843</v>
      </c>
      <c r="B6" s="2808"/>
      <c r="C6" s="2809">
        <f ca="1">SUM(C10:K10)</f>
        <v>147037</v>
      </c>
      <c r="D6" s="2808"/>
      <c r="E6" s="2808"/>
      <c r="F6" s="2808"/>
      <c r="G6" s="2808"/>
      <c r="H6" s="2808"/>
      <c r="I6" s="2808"/>
      <c r="J6" s="2808"/>
      <c r="K6" s="2810"/>
    </row>
    <row r="7" spans="1:31" s="2113" customFormat="1" ht="15">
      <c r="A7" s="2811" t="s">
        <v>470</v>
      </c>
      <c r="B7" s="2812" t="s">
        <v>471</v>
      </c>
      <c r="C7" s="436" t="s">
        <v>2995</v>
      </c>
      <c r="D7" s="436" t="s">
        <v>2994</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3">
        <f>'不动产比较法-住宅'!B3</f>
        <v>7778</v>
      </c>
      <c r="D8" s="2813">
        <f ca="1">不动产收益法!B3</f>
        <v>17160</v>
      </c>
      <c r="E8" s="2813"/>
      <c r="F8" s="2813"/>
      <c r="G8" s="2813"/>
      <c r="H8" s="2813"/>
      <c r="I8" s="2813"/>
      <c r="J8" s="2813"/>
      <c r="K8" s="281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182994.76</v>
      </c>
      <c r="D9" s="441">
        <f>SUMIF('数据-汇总表'!$C19:$C33,'剩余法-待开发'!D7,'数据-汇总表'!$E19:$E33)</f>
        <v>2741.22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5" t="s">
        <v>1848</v>
      </c>
      <c r="B10" s="2801" t="s">
        <v>474</v>
      </c>
      <c r="C10" s="3005">
        <f>'不动产比较法-住宅'!B2</f>
        <v>142333</v>
      </c>
      <c r="D10" s="3005">
        <f ca="1">不动产收益法!B2</f>
        <v>4704</v>
      </c>
      <c r="E10" s="3005"/>
      <c r="F10" s="2816"/>
      <c r="G10" s="2816"/>
      <c r="H10" s="2816"/>
      <c r="I10" s="2816"/>
      <c r="J10" s="2816"/>
      <c r="K10" s="281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8" t="s">
        <v>1844</v>
      </c>
      <c r="B11" s="2808"/>
      <c r="C11" s="2808"/>
      <c r="D11" s="2808"/>
      <c r="E11" s="2808"/>
      <c r="F11" s="2808"/>
      <c r="G11" s="2808"/>
      <c r="H11" s="2808"/>
      <c r="I11" s="2808"/>
      <c r="J11" s="2808"/>
      <c r="K11" s="2810"/>
    </row>
    <row r="12" spans="1:31" s="2085" customFormat="1" ht="13.5" customHeight="1">
      <c r="A12" s="2819" t="s">
        <v>470</v>
      </c>
      <c r="B12" s="2791" t="s">
        <v>471</v>
      </c>
      <c r="C12" s="2820" t="s">
        <v>475</v>
      </c>
      <c r="D12" s="2787" t="s">
        <v>476</v>
      </c>
      <c r="E12" s="2787" t="s">
        <v>477</v>
      </c>
      <c r="F12" s="2787" t="s">
        <v>478</v>
      </c>
      <c r="G12" s="2791"/>
      <c r="H12" s="2792"/>
      <c r="I12" s="2792"/>
      <c r="J12" s="2792"/>
      <c r="K12" s="2793"/>
    </row>
    <row r="13" spans="1:31" s="2116" customFormat="1" ht="13.5" customHeight="1">
      <c r="A13" s="2821" t="s">
        <v>1849</v>
      </c>
      <c r="B13" s="2822" t="s">
        <v>479</v>
      </c>
      <c r="C13" s="450">
        <f ca="1">IF(B1="",'数据-取费表'!P16,INDIRECT("'数据-取费表'!p"&amp;$K$1)+INDIRECT("'数据-取费表'!t"&amp;$K$1))</f>
        <v>57956</v>
      </c>
      <c r="D13" s="2823"/>
      <c r="E13" s="2824"/>
      <c r="F13" s="2825"/>
      <c r="G13" s="2791"/>
      <c r="H13" s="2792"/>
      <c r="I13" s="2792"/>
      <c r="J13" s="2792"/>
      <c r="K13" s="2793"/>
    </row>
    <row r="14" spans="1:31" s="2116" customFormat="1" ht="13.5" customHeight="1">
      <c r="A14" s="2821" t="s">
        <v>1850</v>
      </c>
      <c r="B14" s="2822" t="s">
        <v>480</v>
      </c>
      <c r="C14" s="53">
        <f ca="1">ROUND(C13*F14,0)</f>
        <v>1739</v>
      </c>
      <c r="D14" s="2823"/>
      <c r="E14" s="2824"/>
      <c r="F14" s="2826">
        <f>'数据-取费表'!B33</f>
        <v>0.03</v>
      </c>
      <c r="G14" s="2791" t="s">
        <v>481</v>
      </c>
      <c r="H14" s="2792"/>
      <c r="I14" s="2792"/>
      <c r="J14" s="2792"/>
      <c r="K14" s="2793"/>
    </row>
    <row r="15" spans="1:31" s="2116" customFormat="1" ht="13.5" customHeight="1">
      <c r="A15" s="2821" t="s">
        <v>1851</v>
      </c>
      <c r="B15" s="2822" t="s">
        <v>482</v>
      </c>
      <c r="C15" s="53">
        <f ca="1">ROUND(IF(B1="",SUMIF('数据-取费表'!C:C,"住宅",'数据-取费表'!P:P)*F15,IF(INDIRECT("'数据-取费表'!c"&amp;$K$1)="住宅",INDIRECT("'数据-取费表'!P"&amp;$K$1)*F15,0)),0)</f>
        <v>1830</v>
      </c>
      <c r="D15" s="2823"/>
      <c r="E15" s="2824"/>
      <c r="F15" s="2826">
        <f>'数据-取费表'!B34</f>
        <v>0.04</v>
      </c>
      <c r="G15" s="2791" t="s">
        <v>483</v>
      </c>
      <c r="H15" s="2792"/>
      <c r="I15" s="2792"/>
      <c r="J15" s="2792"/>
      <c r="K15" s="2793"/>
    </row>
    <row r="16" spans="1:31" s="2117" customFormat="1" ht="13.5" customHeight="1">
      <c r="A16" s="2821" t="s">
        <v>1852</v>
      </c>
      <c r="B16" s="2822" t="s">
        <v>484</v>
      </c>
      <c r="C16" s="53">
        <f ca="1">ROUND(D16*E16/10000,0)</f>
        <v>4910</v>
      </c>
      <c r="D16" s="2823">
        <f ca="1">IF(B1="",'数据-汇总表'!E3,INDIRECT("'数据-取费表'!K"&amp;$K$1)+INDIRECT("'数据-取费表'!S"&amp;$K$1))</f>
        <v>245520.35</v>
      </c>
      <c r="E16" s="53">
        <f>'数据-取费表'!B35</f>
        <v>200</v>
      </c>
      <c r="F16" s="2826"/>
      <c r="G16" s="2791"/>
      <c r="H16" s="2792"/>
      <c r="I16" s="2792"/>
      <c r="J16" s="2792"/>
      <c r="K16" s="279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1" t="s">
        <v>1853</v>
      </c>
      <c r="B17" s="2822" t="s">
        <v>485</v>
      </c>
      <c r="C17" s="2827">
        <f ca="1">ROUND(C13*F17,0)</f>
        <v>869</v>
      </c>
      <c r="D17" s="475"/>
      <c r="E17" s="2827"/>
      <c r="F17" s="2828">
        <f>'数据-取费表'!B36</f>
        <v>1.4999999999999999E-2</v>
      </c>
      <c r="G17" s="261" t="s">
        <v>486</v>
      </c>
      <c r="H17" s="2794"/>
      <c r="I17" s="2794"/>
      <c r="J17" s="2794"/>
      <c r="K17" s="279"/>
    </row>
    <row r="18" spans="1:14" s="2116" customFormat="1" ht="13.5" customHeight="1">
      <c r="A18" s="2829" t="s">
        <v>1854</v>
      </c>
      <c r="B18" s="2830" t="s">
        <v>487</v>
      </c>
      <c r="C18" s="2831">
        <f ca="1">SUM(C13:C17)</f>
        <v>67304</v>
      </c>
      <c r="D18" s="2832"/>
      <c r="E18" s="468"/>
      <c r="F18" s="468"/>
      <c r="G18" s="2795" t="s">
        <v>2431</v>
      </c>
      <c r="H18" s="2796"/>
      <c r="I18" s="2796"/>
      <c r="J18" s="2796"/>
      <c r="K18" s="2797"/>
    </row>
    <row r="19" spans="1:14" s="2116" customFormat="1" ht="13.5" customHeight="1">
      <c r="A19" s="2829" t="s">
        <v>1855</v>
      </c>
      <c r="B19" s="2830" t="s">
        <v>488</v>
      </c>
      <c r="C19" s="2787">
        <f ca="1">ROUND(D19*E19/10000,0)</f>
        <v>0</v>
      </c>
      <c r="D19" s="2833">
        <f ca="1">D16</f>
        <v>245520.35</v>
      </c>
      <c r="E19" s="2787">
        <f>'数据-取费表'!B32</f>
        <v>0</v>
      </c>
      <c r="F19" s="468"/>
      <c r="G19" s="2791" t="s">
        <v>489</v>
      </c>
      <c r="H19" s="2792"/>
      <c r="I19" s="2796"/>
      <c r="J19" s="2796"/>
      <c r="K19" s="2797"/>
    </row>
    <row r="20" spans="1:14" s="2116" customFormat="1" ht="13.5" customHeight="1">
      <c r="A20" s="2829" t="s">
        <v>1856</v>
      </c>
      <c r="B20" s="2830" t="s">
        <v>490</v>
      </c>
      <c r="C20" s="2787">
        <f ca="1">C21+C22-IF(B1="",'数据-取费表'!B29,IF(G20="已全部缴纳",C21+C22,H20))</f>
        <v>3437</v>
      </c>
      <c r="D20" s="2833"/>
      <c r="E20" s="2787"/>
      <c r="F20" s="2834"/>
      <c r="G20" s="3064" t="s">
        <v>2999</v>
      </c>
      <c r="H20" s="2789">
        <v>0</v>
      </c>
      <c r="I20" s="2790" t="s">
        <v>2652</v>
      </c>
      <c r="J20" s="2796"/>
      <c r="K20" s="2797"/>
    </row>
    <row r="21" spans="1:14" s="2116" customFormat="1" ht="13.5" customHeight="1">
      <c r="A21" s="2821" t="s">
        <v>1857</v>
      </c>
      <c r="B21" s="2822" t="s">
        <v>491</v>
      </c>
      <c r="C21" s="53">
        <f ca="1">ROUND(D21*E21/10000,0)</f>
        <v>2562</v>
      </c>
      <c r="D21" s="2823">
        <f ca="1">IF(B1="",'数据-汇总表'!E5,IF(INDIRECT("'数据-取费表'!c"&amp;$K$1)="住宅",INDIRECT("'数据-取费表'!k"&amp;$K$1),0))</f>
        <v>182994.76</v>
      </c>
      <c r="E21" s="53">
        <f>'数据-取费表'!B27</f>
        <v>140</v>
      </c>
      <c r="F21" s="2826"/>
      <c r="G21" s="26"/>
      <c r="H21" s="51"/>
      <c r="I21" s="51"/>
      <c r="J21" s="51"/>
      <c r="K21" s="2798"/>
    </row>
    <row r="22" spans="1:14" s="2116" customFormat="1" ht="13.5" customHeight="1">
      <c r="A22" s="2821" t="s">
        <v>1858</v>
      </c>
      <c r="B22" s="2822" t="s">
        <v>492</v>
      </c>
      <c r="C22" s="53">
        <f ca="1">ROUND(D22*E22/10000,0)</f>
        <v>875</v>
      </c>
      <c r="D22" s="2823">
        <f ca="1">IF(B1="",'数据-汇总表'!E6,IF(INDIRECT("'数据-取费表'!c"&amp;$K$1)="住宅",INDIRECT("'数据-取费表'!s"&amp;$K$1),INDIRECT("'数据-取费表'!k"&amp;$K$1)+INDIRECT("'数据-取费表'!s"&amp;$K$1)))</f>
        <v>62525.59</v>
      </c>
      <c r="E22" s="53">
        <f>'数据-取费表'!B28</f>
        <v>140</v>
      </c>
      <c r="F22" s="2826"/>
      <c r="G22" s="26"/>
      <c r="H22" s="51"/>
      <c r="I22" s="51"/>
      <c r="J22" s="51"/>
      <c r="K22" s="2798"/>
    </row>
    <row r="23" spans="1:14" s="2116" customFormat="1" ht="13.5" customHeight="1">
      <c r="A23" s="2829" t="s">
        <v>1859</v>
      </c>
      <c r="B23" s="3011" t="s">
        <v>2835</v>
      </c>
      <c r="C23" s="2831">
        <f ca="1">ROUND((C18+C19+C20)*F23,0)</f>
        <v>707</v>
      </c>
      <c r="D23" s="468"/>
      <c r="E23" s="468"/>
      <c r="F23" s="2835">
        <f>'数据-取费表'!B37</f>
        <v>0.01</v>
      </c>
      <c r="G23" s="2791" t="s">
        <v>2432</v>
      </c>
      <c r="H23" s="2792"/>
      <c r="I23" s="2792"/>
      <c r="J23" s="2792"/>
      <c r="K23" s="2793"/>
      <c r="L23" s="2118"/>
      <c r="M23" s="2118"/>
      <c r="N23" s="2118"/>
    </row>
    <row r="24" spans="1:14" s="2116" customFormat="1" ht="13.5" customHeight="1">
      <c r="A24" s="2829" t="s">
        <v>1860</v>
      </c>
      <c r="B24" s="3011" t="s">
        <v>2838</v>
      </c>
      <c r="C24" s="2831">
        <f ca="1">ROUND(C6*F24,0)</f>
        <v>1470</v>
      </c>
      <c r="D24" s="475"/>
      <c r="E24" s="473"/>
      <c r="F24" s="2835">
        <f>'数据-取费表'!B38</f>
        <v>0.01</v>
      </c>
      <c r="G24" s="2800" t="s">
        <v>499</v>
      </c>
      <c r="H24" s="2794"/>
      <c r="I24" s="2794"/>
      <c r="J24" s="2794"/>
      <c r="K24" s="279"/>
      <c r="L24" s="2118"/>
      <c r="M24" s="2118"/>
      <c r="N24" s="2118"/>
    </row>
    <row r="25" spans="1:14" s="2119"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8" customFormat="1" ht="13.5" customHeight="1">
      <c r="A26" s="2829" t="s">
        <v>1862</v>
      </c>
      <c r="B26" s="3012" t="s">
        <v>2837</v>
      </c>
      <c r="C26" s="2836">
        <f ca="1">C28</f>
        <v>5257</v>
      </c>
      <c r="D26" s="467">
        <f ca="1">C27</f>
        <v>0.1537</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6"/>
      <c r="I26" s="2796"/>
      <c r="J26" s="2796"/>
      <c r="K26" s="2797"/>
    </row>
    <row r="27" spans="1:14" s="2120" customFormat="1" ht="13.5" customHeight="1">
      <c r="A27" s="803" t="s">
        <v>1857</v>
      </c>
      <c r="B27" s="2837" t="s">
        <v>496</v>
      </c>
      <c r="C27" s="2838">
        <f ca="1">ROUND(IF('数据-取费表'!B22&lt;=1,(1+C25)*F26*'数据-取费表'!B24,(1+C25)*(POWER((1+F26),'数据-取费表'!B24)-1)),4)</f>
        <v>0.1537</v>
      </c>
      <c r="D27" s="472"/>
      <c r="E27" s="473"/>
      <c r="F27" s="474"/>
      <c r="G27" s="2551" t="str">
        <f>IF('数据-取费表'!B22&lt;=1,"（1+取得税费率/(1+5%)）×年利率×建设期","（1+取得税费率）/(1+5%)×((1+年利率)^建设期-1)")</f>
        <v>（1+取得税费率）/(1+5%)×((1+年利率)^建设期-1)</v>
      </c>
      <c r="H27" s="2794"/>
      <c r="I27" s="2794"/>
      <c r="J27" s="2794"/>
      <c r="K27" s="279"/>
    </row>
    <row r="28" spans="1:14" s="2120" customFormat="1" ht="13.5" customHeight="1">
      <c r="A28" s="803" t="s">
        <v>1858</v>
      </c>
      <c r="B28" s="2837" t="s">
        <v>2839</v>
      </c>
      <c r="C28" s="2839">
        <f ca="1">ROUND(IF('数据-取费表'!B22&lt;=1,(C18+C19+C20+C23+C24)*F26*'数据-取费表'!B24/2,(C18+C19+C20+C23+C24)*(POWER((1+F26),'数据-取费表'!B24/2)-1)),0)</f>
        <v>5257</v>
      </c>
      <c r="D28" s="472"/>
      <c r="E28" s="473"/>
      <c r="F28" s="474"/>
      <c r="G28" s="2551" t="str">
        <f>IF('数据-取费表'!B22&lt;=1,"（1）-（4）项×年利率×建设期÷2","（1）-（4）项×((1+年利率)^(建设期÷2)-1)")</f>
        <v>（1）-（4）项×((1+年利率)^(建设期÷2)-1)</v>
      </c>
      <c r="H28" s="2794"/>
      <c r="I28" s="2794"/>
      <c r="J28" s="2794"/>
      <c r="K28" s="279"/>
    </row>
    <row r="29" spans="1:14" s="2120" customFormat="1" ht="13.5" customHeight="1">
      <c r="A29" s="2840" t="s">
        <v>1863</v>
      </c>
      <c r="B29" s="2830" t="s">
        <v>497</v>
      </c>
      <c r="C29" s="2831">
        <f ca="1">ROUND(C6*F29/(1+'数据-取费表'!C42),0)</f>
        <v>7842</v>
      </c>
      <c r="D29" s="468"/>
      <c r="E29" s="468"/>
      <c r="F29" s="3013">
        <f>'数据-取费表'!B41</f>
        <v>5.6000000000000001E-2</v>
      </c>
      <c r="G29" s="2800" t="s">
        <v>498</v>
      </c>
      <c r="H29" s="2792"/>
      <c r="I29" s="2792"/>
      <c r="J29" s="2792"/>
      <c r="K29" s="2793"/>
    </row>
    <row r="30" spans="1:14" s="2121" customFormat="1" ht="13.5" customHeight="1">
      <c r="A30" s="1635" t="s">
        <v>1864</v>
      </c>
      <c r="B30" s="2841" t="s">
        <v>500</v>
      </c>
      <c r="C30" s="2836">
        <f ca="1">C31</f>
        <v>86017</v>
      </c>
      <c r="D30" s="477">
        <f ca="1">C32</f>
        <v>0.1827</v>
      </c>
      <c r="E30" s="469" t="s">
        <v>495</v>
      </c>
      <c r="F30" s="471"/>
      <c r="G30" s="2799" t="s">
        <v>2974</v>
      </c>
      <c r="H30" s="2792"/>
      <c r="I30" s="2792"/>
      <c r="J30" s="2792"/>
      <c r="K30" s="2793"/>
    </row>
    <row r="31" spans="1:14" s="2120" customFormat="1" ht="13.5" customHeight="1">
      <c r="A31" s="803" t="s">
        <v>1857</v>
      </c>
      <c r="B31" s="2837"/>
      <c r="C31" s="450">
        <f ca="1">C18+C19+C20+C23+C24+C26+C29</f>
        <v>86017</v>
      </c>
      <c r="D31" s="472"/>
      <c r="E31" s="473"/>
      <c r="F31" s="474"/>
      <c r="G31" s="261"/>
      <c r="H31" s="2794"/>
      <c r="I31" s="2794"/>
      <c r="J31" s="2794"/>
      <c r="K31" s="279"/>
    </row>
    <row r="32" spans="1:14" s="2120" customFormat="1" ht="13.5" customHeight="1">
      <c r="A32" s="803" t="s">
        <v>1858</v>
      </c>
      <c r="B32" s="2837"/>
      <c r="C32" s="53">
        <f ca="1">ROUND(C25+D26,4)</f>
        <v>0.1827</v>
      </c>
      <c r="D32" s="472"/>
      <c r="E32" s="473"/>
      <c r="F32" s="474"/>
      <c r="G32" s="261"/>
      <c r="H32" s="2794"/>
      <c r="I32" s="2794"/>
      <c r="J32" s="2794"/>
      <c r="K32" s="279"/>
    </row>
    <row r="33" spans="1:11" s="2122" customFormat="1" ht="13.5" customHeight="1">
      <c r="A33" s="3010" t="s">
        <v>2834</v>
      </c>
      <c r="B33" s="3008" t="s">
        <v>2832</v>
      </c>
      <c r="C33" s="478">
        <f ca="1">C35</f>
        <v>10938</v>
      </c>
      <c r="D33" s="467">
        <f ca="1">C34</f>
        <v>0.15440000000000001</v>
      </c>
      <c r="E33" s="469" t="s">
        <v>495</v>
      </c>
      <c r="F33" s="479">
        <f ca="1">IF(B1="",'数据-取费表'!Q16,INDIRECT("'数据-取费表'!q"&amp;$K$1))</f>
        <v>0.15</v>
      </c>
      <c r="G33" s="2795"/>
      <c r="H33" s="2796"/>
      <c r="I33" s="2796"/>
      <c r="J33" s="2796"/>
      <c r="K33" s="2797"/>
    </row>
    <row r="34" spans="1:11" s="2123" customFormat="1" ht="13.5" customHeight="1">
      <c r="A34" s="375" t="s">
        <v>1857</v>
      </c>
      <c r="B34" s="2842" t="s">
        <v>501</v>
      </c>
      <c r="C34" s="472">
        <f ca="1">ROUND((1+C25)*F33,4)</f>
        <v>0.15440000000000001</v>
      </c>
      <c r="D34" s="472"/>
      <c r="E34" s="473"/>
      <c r="F34" s="480"/>
      <c r="G34" s="261" t="s">
        <v>2291</v>
      </c>
      <c r="H34" s="2794"/>
      <c r="I34" s="2794"/>
      <c r="J34" s="2794"/>
      <c r="K34" s="279"/>
    </row>
    <row r="35" spans="1:11" s="2123" customFormat="1" ht="13.5" customHeight="1" thickBot="1">
      <c r="A35" s="1636" t="s">
        <v>1858</v>
      </c>
      <c r="B35" s="3009" t="s">
        <v>2840</v>
      </c>
      <c r="C35" s="1628">
        <f ca="1">ROUND((C18+C19+C20+C23+C24)*F33,0)</f>
        <v>10938</v>
      </c>
      <c r="D35" s="1629"/>
      <c r="E35" s="2843"/>
      <c r="F35" s="1630"/>
      <c r="G35" s="2801"/>
      <c r="H35" s="2802"/>
      <c r="I35" s="2802"/>
      <c r="J35" s="2802"/>
      <c r="K35" s="2803"/>
    </row>
    <row r="36" spans="1:11" s="2085" customFormat="1" ht="13.5" customHeight="1" thickBot="1">
      <c r="A36" s="284" t="s">
        <v>1845</v>
      </c>
      <c r="B36" s="2805"/>
      <c r="C36" s="2844">
        <f ca="1">ROUND((C6-C30-C33)/(1+D30+D33),0)</f>
        <v>37456</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6" t="str">
        <f>项目基本情况!B1</f>
        <v>广东省潮州市潮州市东山旅游度假区A6、B7出让国有建设用地使用权抵押价格预评估</v>
      </c>
      <c r="C37" s="3206"/>
      <c r="D37" s="3206"/>
      <c r="E37" s="3206"/>
      <c r="F37" s="3206"/>
      <c r="G37" s="3206"/>
      <c r="H37" s="3206"/>
      <c r="I37" s="3206"/>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土地估价师、土地估价师</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8"/>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57956</v>
      </c>
      <c r="D13" s="451"/>
      <c r="E13" s="365"/>
      <c r="F13" s="452"/>
      <c r="G13" s="444"/>
      <c r="H13" s="447"/>
      <c r="I13" s="447"/>
      <c r="J13" s="447"/>
      <c r="K13" s="448"/>
    </row>
    <row r="14" spans="1:41" s="2116" customFormat="1" ht="13.5" customHeight="1">
      <c r="A14" s="1633" t="s">
        <v>1850</v>
      </c>
      <c r="B14" s="449" t="s">
        <v>480</v>
      </c>
      <c r="C14" s="53">
        <f ca="1">ROUND(C13*F14,0)</f>
        <v>1739</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1830</v>
      </c>
      <c r="D15" s="451"/>
      <c r="E15" s="365"/>
      <c r="F15" s="453">
        <f>'数据-取费表'!B34</f>
        <v>0.04</v>
      </c>
      <c r="G15" s="444" t="s">
        <v>502</v>
      </c>
      <c r="H15" s="447"/>
      <c r="I15" s="447"/>
      <c r="J15" s="447"/>
      <c r="K15" s="448"/>
    </row>
    <row r="16" spans="1:41" s="2117" customFormat="1" ht="13.5" customHeight="1">
      <c r="A16" s="1633" t="s">
        <v>1852</v>
      </c>
      <c r="B16" s="449" t="s">
        <v>484</v>
      </c>
      <c r="C16" s="53">
        <f ca="1">ROUND(D16*E16/10000,0)</f>
        <v>4910</v>
      </c>
      <c r="D16" s="451">
        <f ca="1">IF(B1="",'数据-汇总表'!E3,INDIRECT("'数据-取费表'!K"&amp;$K$1)+INDIRECT("'数据-取费表'!S"&amp;$K$1))</f>
        <v>245520.35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869</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67304</v>
      </c>
      <c r="D18" s="461"/>
      <c r="E18" s="462"/>
      <c r="F18" s="462"/>
      <c r="G18" s="1326" t="s">
        <v>2433</v>
      </c>
      <c r="H18" s="447"/>
      <c r="I18" s="447"/>
      <c r="J18" s="447"/>
      <c r="K18" s="448"/>
    </row>
    <row r="19" spans="1:14" s="2119" customFormat="1" ht="13.5" customHeight="1">
      <c r="A19" s="1634" t="s">
        <v>1855</v>
      </c>
      <c r="B19" s="459" t="s">
        <v>493</v>
      </c>
      <c r="C19" s="460">
        <f ca="1">ROUND(C18*F19,0)</f>
        <v>673</v>
      </c>
      <c r="D19" s="462"/>
      <c r="E19" s="462"/>
      <c r="F19" s="466">
        <f>'数据-取费表'!B37</f>
        <v>0.01</v>
      </c>
      <c r="G19" s="444" t="s">
        <v>503</v>
      </c>
      <c r="H19" s="447"/>
      <c r="I19" s="447"/>
      <c r="J19" s="447"/>
      <c r="K19" s="448"/>
      <c r="L19" s="2121"/>
      <c r="M19" s="2121"/>
      <c r="N19" s="2121"/>
    </row>
    <row r="20" spans="1:14" s="2119" customFormat="1" ht="13.5" customHeight="1">
      <c r="A20" s="1634" t="s">
        <v>1856</v>
      </c>
      <c r="B20" s="459" t="s">
        <v>504</v>
      </c>
      <c r="C20" s="3006">
        <f>F20</f>
        <v>0.01</v>
      </c>
      <c r="D20" s="469" t="s">
        <v>505</v>
      </c>
      <c r="E20" s="469"/>
      <c r="F20" s="486">
        <f>'数据-取费表'!B38</f>
        <v>0.01</v>
      </c>
      <c r="G20" s="1326" t="s">
        <v>506</v>
      </c>
      <c r="H20" s="447"/>
      <c r="I20" s="447"/>
      <c r="J20" s="447"/>
      <c r="K20" s="448"/>
      <c r="L20" s="2121"/>
      <c r="M20" s="2121"/>
      <c r="N20" s="2121"/>
    </row>
    <row r="21" spans="1:14" s="2121" customFormat="1" ht="13.5" customHeight="1">
      <c r="A21" s="1634" t="s">
        <v>1859</v>
      </c>
      <c r="B21" s="461" t="s">
        <v>494</v>
      </c>
      <c r="C21" s="470">
        <f ca="1">C22</f>
        <v>4900</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7" t="s">
        <v>2436</v>
      </c>
      <c r="C22" s="487">
        <f ca="1">ROUND(IF('数据-取费表'!B22&lt;=1,(C18+C19)*F21*'数据-取费表'!B20/2,(C18+C19)*(POWER((1+F21),'数据-取费表'!B20/2)-1)),0)</f>
        <v>4900</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1850</v>
      </c>
      <c r="B23" s="1327" t="s">
        <v>508</v>
      </c>
      <c r="C23" s="488">
        <f ca="1">ROUND(IF('数据-取费表'!B22&lt;=1,F20*F21*'数据-取费表'!B20/2,F20*(POWER((1+F21),'数据-取费表'!B20/2)-1)),4)</f>
        <v>6.9999999999999999E-4</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8" t="s">
        <v>2833</v>
      </c>
      <c r="C24" s="478">
        <f ca="1">C25</f>
        <v>10197</v>
      </c>
      <c r="D24" s="489">
        <f ca="1">C26</f>
        <v>1.5E-3</v>
      </c>
      <c r="E24" s="469" t="s">
        <v>507</v>
      </c>
      <c r="F24" s="479">
        <f ca="1">IF(B1="",'数据-取费表'!Q16,INDIRECT("'数据-取费表'!q"&amp;$K$1))</f>
        <v>0.15</v>
      </c>
      <c r="G24" s="444"/>
      <c r="H24" s="447"/>
      <c r="I24" s="447"/>
      <c r="J24" s="447"/>
      <c r="K24" s="448"/>
    </row>
    <row r="25" spans="1:14" s="2120" customFormat="1" ht="13.5" customHeight="1">
      <c r="A25" s="1633" t="s">
        <v>1849</v>
      </c>
      <c r="B25" s="1327" t="s">
        <v>2437</v>
      </c>
      <c r="C25" s="490">
        <f ca="1">ROUND((C18+C19)*F24,0)</f>
        <v>10197</v>
      </c>
      <c r="D25" s="472"/>
      <c r="E25" s="473"/>
      <c r="F25" s="480"/>
      <c r="G25" s="1325" t="s">
        <v>2434</v>
      </c>
      <c r="H25" s="457"/>
      <c r="I25" s="457"/>
      <c r="J25" s="457"/>
      <c r="K25" s="458"/>
    </row>
    <row r="26" spans="1:14" s="2120" customFormat="1" ht="13.5" customHeight="1">
      <c r="A26" s="1633" t="s">
        <v>1850</v>
      </c>
      <c r="B26" s="1327" t="s">
        <v>509</v>
      </c>
      <c r="C26" s="491">
        <f ca="1">ROUND(F20*F24,4)</f>
        <v>1.5E-3</v>
      </c>
      <c r="D26" s="472"/>
      <c r="E26" s="481"/>
      <c r="F26" s="480"/>
      <c r="G26" s="1325" t="s">
        <v>510</v>
      </c>
      <c r="H26" s="457"/>
      <c r="I26" s="457"/>
      <c r="J26" s="457"/>
      <c r="K26" s="458"/>
    </row>
    <row r="27" spans="1:14" s="2120" customFormat="1" ht="13.5" customHeight="1">
      <c r="A27" s="1637" t="s">
        <v>1868</v>
      </c>
      <c r="B27" s="459" t="s">
        <v>511</v>
      </c>
      <c r="C27" s="3007">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7" t="s">
        <v>1869</v>
      </c>
      <c r="B28" s="476" t="s">
        <v>512</v>
      </c>
      <c r="C28" s="470">
        <f ca="1">ROUND((C18+C19+C21+C24)/(1-C20-D21-D24-C27),0)</f>
        <v>88897</v>
      </c>
      <c r="D28" s="477"/>
      <c r="E28" s="469"/>
      <c r="F28" s="471"/>
      <c r="G28" s="1326"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461" t="s">
        <v>1866</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L3" sqref="L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80" t="s">
        <v>522</v>
      </c>
      <c r="D6" s="3381"/>
      <c r="E6" s="3417" t="s">
        <v>523</v>
      </c>
      <c r="F6" s="3418"/>
      <c r="G6" s="3380" t="s">
        <v>524</v>
      </c>
      <c r="H6" s="3381"/>
      <c r="I6" s="3380" t="s">
        <v>525</v>
      </c>
      <c r="J6" s="3381"/>
      <c r="K6" s="514" t="s">
        <v>526</v>
      </c>
      <c r="L6" s="2133"/>
      <c r="M6" s="2134"/>
      <c r="N6" s="2134"/>
      <c r="O6" s="2134"/>
      <c r="P6" s="3382" t="s">
        <v>527</v>
      </c>
      <c r="Q6" s="3383"/>
      <c r="R6" s="3388" t="s">
        <v>523</v>
      </c>
      <c r="S6" s="3389"/>
      <c r="T6" s="3388" t="s">
        <v>524</v>
      </c>
      <c r="U6" s="3389"/>
      <c r="V6" s="3375" t="s">
        <v>525</v>
      </c>
      <c r="W6" s="3375"/>
      <c r="X6" s="1567"/>
      <c r="Y6" s="3388" t="s">
        <v>527</v>
      </c>
      <c r="Z6" s="3389"/>
      <c r="AA6" s="3377" t="s">
        <v>523</v>
      </c>
      <c r="AB6" s="3378" t="s">
        <v>524</v>
      </c>
      <c r="AC6" s="3377" t="s">
        <v>525</v>
      </c>
    </row>
    <row r="7" spans="1:29" ht="15">
      <c r="A7" s="515"/>
      <c r="B7" s="516"/>
      <c r="C7" s="3414" t="s">
        <v>2929</v>
      </c>
      <c r="D7" s="3397"/>
      <c r="E7" s="3419" t="s">
        <v>2930</v>
      </c>
      <c r="F7" s="3420"/>
      <c r="G7" s="3414" t="s">
        <v>2931</v>
      </c>
      <c r="H7" s="3397"/>
      <c r="I7" s="3414" t="s">
        <v>2932</v>
      </c>
      <c r="J7" s="3397"/>
      <c r="K7" s="514"/>
      <c r="L7" s="2133"/>
      <c r="M7" s="2134"/>
      <c r="N7" s="2134"/>
      <c r="O7" s="2134"/>
      <c r="P7" s="3384"/>
      <c r="Q7" s="3385"/>
      <c r="R7" s="3390"/>
      <c r="S7" s="3391"/>
      <c r="T7" s="3390"/>
      <c r="U7" s="3391"/>
      <c r="V7" s="3375"/>
      <c r="W7" s="3375"/>
      <c r="X7" s="1567"/>
      <c r="Y7" s="3390"/>
      <c r="Z7" s="3391"/>
      <c r="AA7" s="3378"/>
      <c r="AB7" s="3378"/>
      <c r="AC7" s="3378"/>
    </row>
    <row r="8" spans="1:29" ht="15.75" thickBot="1">
      <c r="A8" s="517"/>
      <c r="B8" s="518"/>
      <c r="C8" s="3394" t="s">
        <v>2933</v>
      </c>
      <c r="D8" s="3395"/>
      <c r="E8" s="3415" t="s">
        <v>2933</v>
      </c>
      <c r="F8" s="3416"/>
      <c r="G8" s="3394" t="s">
        <v>2933</v>
      </c>
      <c r="H8" s="3395"/>
      <c r="I8" s="3394" t="s">
        <v>2933</v>
      </c>
      <c r="J8" s="3395"/>
      <c r="K8" s="514" t="s">
        <v>528</v>
      </c>
      <c r="L8" s="2133"/>
      <c r="M8" s="2134"/>
      <c r="N8" s="2134"/>
      <c r="O8" s="2134"/>
      <c r="P8" s="3386"/>
      <c r="Q8" s="3387"/>
      <c r="R8" s="3390"/>
      <c r="S8" s="3391"/>
      <c r="T8" s="3392"/>
      <c r="U8" s="3393"/>
      <c r="V8" s="3375"/>
      <c r="W8" s="3375"/>
      <c r="X8" s="1567"/>
      <c r="Y8" s="3392"/>
      <c r="Z8" s="3393"/>
      <c r="AA8" s="3379"/>
      <c r="AB8" s="3379"/>
      <c r="AC8" s="3379"/>
    </row>
    <row r="9" spans="1:29" s="1219" customFormat="1" ht="15.75" thickBot="1">
      <c r="A9" s="2891"/>
      <c r="B9" s="2898" t="s">
        <v>529</v>
      </c>
      <c r="C9" s="519">
        <f>'数据-取费表'!B2</f>
        <v>43438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7" t="s">
        <v>530</v>
      </c>
      <c r="Q9" s="3409"/>
      <c r="R9" s="1568" t="s">
        <v>8</v>
      </c>
      <c r="S9" s="1569">
        <f t="shared" ref="S9:S17" si="0">F9</f>
        <v>0</v>
      </c>
      <c r="T9" s="1568" t="s">
        <v>8</v>
      </c>
      <c r="U9" s="1569">
        <f t="shared" ref="U9:U17" si="1">H9</f>
        <v>0</v>
      </c>
      <c r="V9" s="1568" t="s">
        <v>8</v>
      </c>
      <c r="W9" s="1569">
        <f t="shared" ref="W9:W17" si="2">J9</f>
        <v>0</v>
      </c>
      <c r="X9" s="1570"/>
      <c r="Y9" s="3407" t="s">
        <v>530</v>
      </c>
      <c r="Z9" s="3408"/>
      <c r="AA9" s="1571" t="e">
        <f>D9/F9</f>
        <v>#DIV/0!</v>
      </c>
      <c r="AB9" s="1571" t="e">
        <f>D9/H9</f>
        <v>#DIV/0!</v>
      </c>
      <c r="AC9" s="1571" t="e">
        <f>D9/J9</f>
        <v>#DIV/0!</v>
      </c>
    </row>
    <row r="10" spans="1:29" s="1219"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7" t="s">
        <v>533</v>
      </c>
      <c r="Q10" s="3408"/>
      <c r="R10" s="1568" t="s">
        <v>8</v>
      </c>
      <c r="S10" s="1569">
        <f t="shared" si="0"/>
        <v>0</v>
      </c>
      <c r="T10" s="1568" t="s">
        <v>8</v>
      </c>
      <c r="U10" s="1569">
        <f t="shared" si="1"/>
        <v>0</v>
      </c>
      <c r="V10" s="1568" t="s">
        <v>8</v>
      </c>
      <c r="W10" s="1569">
        <f t="shared" si="2"/>
        <v>0</v>
      </c>
      <c r="X10" s="1570"/>
      <c r="Y10" s="3407" t="s">
        <v>533</v>
      </c>
      <c r="Z10" s="3408"/>
      <c r="AA10" s="1571" t="e">
        <f t="shared" ref="AA10:AA42" si="3">D10/F10</f>
        <v>#DIV/0!</v>
      </c>
      <c r="AB10" s="1571" t="e">
        <f t="shared" ref="AB10:AB42" si="4">D10/H10</f>
        <v>#DIV/0!</v>
      </c>
      <c r="AC10" s="1571" t="e">
        <f t="shared" ref="AC10:AC42" si="5">D10/J10</f>
        <v>#DIV/0!</v>
      </c>
    </row>
    <row r="11" spans="1:29" s="1219"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4" t="s">
        <v>535</v>
      </c>
      <c r="Q11" s="1150" t="str">
        <f t="shared" ref="Q11:Q17" si="6">B11</f>
        <v>用途</v>
      </c>
      <c r="R11" s="1568" t="s">
        <v>8</v>
      </c>
      <c r="S11" s="1569">
        <f t="shared" si="0"/>
        <v>100</v>
      </c>
      <c r="T11" s="1568" t="s">
        <v>8</v>
      </c>
      <c r="U11" s="1569">
        <f t="shared" si="1"/>
        <v>100</v>
      </c>
      <c r="V11" s="1568" t="s">
        <v>8</v>
      </c>
      <c r="W11" s="1569">
        <f t="shared" si="2"/>
        <v>100</v>
      </c>
      <c r="X11" s="1570"/>
      <c r="Y11" s="3320" t="s">
        <v>536</v>
      </c>
      <c r="Z11" s="1149" t="str">
        <f t="shared" ref="Z11:Z17" si="7">Q11</f>
        <v>用途</v>
      </c>
      <c r="AA11" s="1571">
        <f t="shared" si="3"/>
        <v>1</v>
      </c>
      <c r="AB11" s="1571">
        <f t="shared" si="4"/>
        <v>1</v>
      </c>
      <c r="AC11" s="1571">
        <f t="shared" si="5"/>
        <v>1</v>
      </c>
    </row>
    <row r="12" spans="1:29" s="1337" customFormat="1" ht="27">
      <c r="A12" s="2894"/>
      <c r="B12" s="2899" t="s">
        <v>2758</v>
      </c>
      <c r="C12" s="528"/>
      <c r="D12" s="255">
        <v>100</v>
      </c>
      <c r="E12" s="528"/>
      <c r="F12" s="255">
        <f>ROUND(100/'数据-取费表'!G16,0)</f>
        <v>104</v>
      </c>
      <c r="G12" s="528"/>
      <c r="H12" s="255">
        <f>ROUND(100/'数据-取费表'!G16,0)</f>
        <v>104</v>
      </c>
      <c r="I12" s="528"/>
      <c r="J12" s="255">
        <f>ROUND(100/'数据-取费表'!G16,0)</f>
        <v>104</v>
      </c>
      <c r="K12" s="531"/>
      <c r="L12" s="2138"/>
      <c r="M12" s="2178"/>
      <c r="N12" s="2178"/>
      <c r="O12" s="2139"/>
      <c r="P12" s="3374"/>
      <c r="Q12" s="1150" t="str">
        <f t="shared" si="6"/>
        <v>土地使用年限（年）</v>
      </c>
      <c r="R12" s="1568" t="s">
        <v>8</v>
      </c>
      <c r="S12" s="1569">
        <f t="shared" si="0"/>
        <v>104</v>
      </c>
      <c r="T12" s="1568" t="s">
        <v>8</v>
      </c>
      <c r="U12" s="1569">
        <f t="shared" si="1"/>
        <v>104</v>
      </c>
      <c r="V12" s="1568" t="s">
        <v>8</v>
      </c>
      <c r="W12" s="1569">
        <f t="shared" si="2"/>
        <v>104</v>
      </c>
      <c r="X12" s="1570"/>
      <c r="Y12" s="3320"/>
      <c r="Z12" s="1149" t="str">
        <f t="shared" si="7"/>
        <v>土地使用年限（年）</v>
      </c>
      <c r="AA12" s="1571">
        <f t="shared" si="3"/>
        <v>0.96153846153846156</v>
      </c>
      <c r="AB12" s="1571">
        <f t="shared" si="4"/>
        <v>0.96153846153846156</v>
      </c>
      <c r="AC12" s="1571">
        <f t="shared" si="5"/>
        <v>0.96153846153846156</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4"/>
      <c r="Q13" s="1150" t="str">
        <f t="shared" si="6"/>
        <v>容积率</v>
      </c>
      <c r="R13" s="1568" t="s">
        <v>8</v>
      </c>
      <c r="S13" s="1569" t="e">
        <f t="shared" si="0"/>
        <v>#N/A</v>
      </c>
      <c r="T13" s="1568" t="s">
        <v>8</v>
      </c>
      <c r="U13" s="1569" t="e">
        <f t="shared" si="1"/>
        <v>#N/A</v>
      </c>
      <c r="V13" s="1568" t="s">
        <v>8</v>
      </c>
      <c r="W13" s="1569" t="e">
        <f t="shared" si="2"/>
        <v>#N/A</v>
      </c>
      <c r="X13" s="1570"/>
      <c r="Y13" s="3320"/>
      <c r="Z13" s="1149" t="str">
        <f t="shared" si="7"/>
        <v>容积率</v>
      </c>
      <c r="AA13" s="1571" t="e">
        <f t="shared" si="3"/>
        <v>#N/A</v>
      </c>
      <c r="AB13" s="1571" t="e">
        <f t="shared" si="4"/>
        <v>#N/A</v>
      </c>
      <c r="AC13" s="1571" t="e">
        <f t="shared" si="5"/>
        <v>#N/A</v>
      </c>
    </row>
    <row r="14" spans="1:29" s="1219"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4"/>
      <c r="Q14" s="1150">
        <f t="shared" si="6"/>
        <v>111</v>
      </c>
      <c r="R14" s="1568" t="s">
        <v>8</v>
      </c>
      <c r="S14" s="1569">
        <f t="shared" si="0"/>
        <v>100</v>
      </c>
      <c r="T14" s="1568" t="s">
        <v>8</v>
      </c>
      <c r="U14" s="1569">
        <f t="shared" si="1"/>
        <v>100</v>
      </c>
      <c r="V14" s="1568" t="s">
        <v>8</v>
      </c>
      <c r="W14" s="1569">
        <f t="shared" si="2"/>
        <v>100</v>
      </c>
      <c r="X14" s="1570"/>
      <c r="Y14" s="3320"/>
      <c r="Z14" s="1149">
        <f t="shared" si="7"/>
        <v>111</v>
      </c>
      <c r="AA14" s="1571">
        <f>D14/F14</f>
        <v>1</v>
      </c>
      <c r="AB14" s="1571">
        <f>D14/H14</f>
        <v>1</v>
      </c>
      <c r="AC14" s="1571">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4"/>
      <c r="Q15" s="1150">
        <f t="shared" si="6"/>
        <v>111</v>
      </c>
      <c r="R15" s="1568" t="s">
        <v>8</v>
      </c>
      <c r="S15" s="1569">
        <f t="shared" si="0"/>
        <v>100</v>
      </c>
      <c r="T15" s="1568" t="s">
        <v>8</v>
      </c>
      <c r="U15" s="1569">
        <f t="shared" si="1"/>
        <v>100</v>
      </c>
      <c r="V15" s="1568" t="s">
        <v>8</v>
      </c>
      <c r="W15" s="1569">
        <f t="shared" si="2"/>
        <v>100</v>
      </c>
      <c r="X15" s="1570"/>
      <c r="Y15" s="3320"/>
      <c r="Z15" s="1149">
        <f t="shared" si="7"/>
        <v>111</v>
      </c>
      <c r="AA15" s="1571">
        <f t="shared" si="3"/>
        <v>1</v>
      </c>
      <c r="AB15" s="1571">
        <f t="shared" si="4"/>
        <v>1</v>
      </c>
      <c r="AC15" s="1571">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4"/>
      <c r="Q16" s="1150">
        <f t="shared" si="6"/>
        <v>111</v>
      </c>
      <c r="R16" s="1568" t="s">
        <v>8</v>
      </c>
      <c r="S16" s="1569">
        <f t="shared" si="0"/>
        <v>100</v>
      </c>
      <c r="T16" s="1568" t="s">
        <v>8</v>
      </c>
      <c r="U16" s="1569">
        <f t="shared" si="1"/>
        <v>100</v>
      </c>
      <c r="V16" s="1568" t="s">
        <v>8</v>
      </c>
      <c r="W16" s="1569">
        <f t="shared" si="2"/>
        <v>100</v>
      </c>
      <c r="X16" s="1570"/>
      <c r="Y16" s="3320"/>
      <c r="Z16" s="1149">
        <f t="shared" si="7"/>
        <v>111</v>
      </c>
      <c r="AA16" s="1571">
        <f t="shared" si="3"/>
        <v>1</v>
      </c>
      <c r="AB16" s="1571">
        <f t="shared" si="4"/>
        <v>1</v>
      </c>
      <c r="AC16" s="1571">
        <f t="shared" si="5"/>
        <v>1</v>
      </c>
    </row>
    <row r="17" spans="1:29" ht="57">
      <c r="A17" s="2889"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0" t="s">
        <v>540</v>
      </c>
      <c r="Q17" s="1572" t="str">
        <f t="shared" si="6"/>
        <v>产业集聚程度</v>
      </c>
      <c r="R17" s="1573" t="s">
        <v>8</v>
      </c>
      <c r="S17" s="1574">
        <f t="shared" si="0"/>
        <v>100</v>
      </c>
      <c r="T17" s="1573" t="s">
        <v>8</v>
      </c>
      <c r="U17" s="1574">
        <f t="shared" si="1"/>
        <v>100</v>
      </c>
      <c r="V17" s="1573" t="s">
        <v>8</v>
      </c>
      <c r="W17" s="1574">
        <f t="shared" si="2"/>
        <v>100</v>
      </c>
      <c r="X17" s="1567"/>
      <c r="Y17" s="3410"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11"/>
      <c r="Q18" s="1572"/>
      <c r="R18" s="1573"/>
      <c r="S18" s="1574"/>
      <c r="T18" s="1573"/>
      <c r="U18" s="1574"/>
      <c r="V18" s="1573"/>
      <c r="W18" s="1574"/>
      <c r="X18" s="1567"/>
      <c r="Y18" s="3411"/>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1"/>
      <c r="Q19" s="1572" t="str">
        <f>B19</f>
        <v>交通便捷度</v>
      </c>
      <c r="R19" s="1573" t="s">
        <v>8</v>
      </c>
      <c r="S19" s="1574">
        <f>F19</f>
        <v>100</v>
      </c>
      <c r="T19" s="1573" t="s">
        <v>8</v>
      </c>
      <c r="U19" s="1574">
        <f>H19</f>
        <v>100</v>
      </c>
      <c r="V19" s="1573" t="s">
        <v>8</v>
      </c>
      <c r="W19" s="1574">
        <f>J19</f>
        <v>100</v>
      </c>
      <c r="X19" s="1567"/>
      <c r="Y19" s="3411"/>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2"/>
      <c r="M20" s="2134"/>
      <c r="N20" s="2134"/>
      <c r="O20" s="2141"/>
      <c r="P20" s="3411"/>
      <c r="Q20" s="1572"/>
      <c r="R20" s="1573"/>
      <c r="S20" s="1574"/>
      <c r="T20" s="1573"/>
      <c r="U20" s="1574"/>
      <c r="V20" s="1573"/>
      <c r="W20" s="1574"/>
      <c r="X20" s="1567"/>
      <c r="Y20" s="3411"/>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11"/>
      <c r="Q21" s="1572" t="str">
        <f t="shared" ref="Q21:Q35" si="8">B21</f>
        <v>区域土地利用方向</v>
      </c>
      <c r="R21" s="1573" t="s">
        <v>8</v>
      </c>
      <c r="S21" s="1574">
        <f>F21</f>
        <v>100</v>
      </c>
      <c r="T21" s="1573" t="s">
        <v>8</v>
      </c>
      <c r="U21" s="1574">
        <f>H21</f>
        <v>100</v>
      </c>
      <c r="V21" s="1573" t="s">
        <v>8</v>
      </c>
      <c r="W21" s="1574">
        <f>J21</f>
        <v>100</v>
      </c>
      <c r="X21" s="1567"/>
      <c r="Y21" s="341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411"/>
      <c r="Q22" s="1572"/>
      <c r="R22" s="1573"/>
      <c r="S22" s="1574"/>
      <c r="T22" s="1573"/>
      <c r="U22" s="1574"/>
      <c r="V22" s="1573"/>
      <c r="W22" s="1574"/>
      <c r="X22" s="1567"/>
      <c r="Y22" s="3411"/>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1"/>
      <c r="Q23" s="1572" t="str">
        <f t="shared" si="8"/>
        <v>环境状况</v>
      </c>
      <c r="R23" s="1573" t="s">
        <v>8</v>
      </c>
      <c r="S23" s="1574">
        <f>F23</f>
        <v>100</v>
      </c>
      <c r="T23" s="1573" t="s">
        <v>8</v>
      </c>
      <c r="U23" s="1574">
        <f>H23</f>
        <v>100</v>
      </c>
      <c r="V23" s="1573" t="s">
        <v>8</v>
      </c>
      <c r="W23" s="1574">
        <f>J23</f>
        <v>100</v>
      </c>
      <c r="X23" s="1567"/>
      <c r="Y23" s="341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11"/>
      <c r="Q24" s="1572"/>
      <c r="R24" s="1573"/>
      <c r="S24" s="1574"/>
      <c r="T24" s="1573"/>
      <c r="U24" s="1574"/>
      <c r="V24" s="1573"/>
      <c r="W24" s="1574"/>
      <c r="X24" s="1567"/>
      <c r="Y24" s="3411"/>
      <c r="Z24" s="1575"/>
      <c r="AA24" s="1576">
        <v>1</v>
      </c>
      <c r="AB24" s="1576">
        <v>1</v>
      </c>
      <c r="AC24" s="1576">
        <v>1</v>
      </c>
    </row>
    <row r="25" spans="1:29" s="1219"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1"/>
      <c r="Q25" s="1150" t="str">
        <f t="shared" si="8"/>
        <v>公共配套设施</v>
      </c>
      <c r="R25" s="1568" t="s">
        <v>8</v>
      </c>
      <c r="S25" s="1569">
        <f>F25</f>
        <v>100</v>
      </c>
      <c r="T25" s="1568" t="s">
        <v>8</v>
      </c>
      <c r="U25" s="1569">
        <f>H25</f>
        <v>100</v>
      </c>
      <c r="V25" s="1568" t="s">
        <v>8</v>
      </c>
      <c r="W25" s="1569">
        <f>J25</f>
        <v>100</v>
      </c>
      <c r="X25" s="1570"/>
      <c r="Y25" s="3411"/>
      <c r="Z25" s="1149" t="str">
        <f>Q25</f>
        <v>公共配套设施</v>
      </c>
      <c r="AA25" s="1576">
        <f>D25/F25</f>
        <v>1</v>
      </c>
      <c r="AB25" s="1576">
        <f>D25/H25</f>
        <v>1</v>
      </c>
      <c r="AC25" s="1576">
        <f>D25/J25</f>
        <v>1</v>
      </c>
    </row>
    <row r="26" spans="1:29" s="1219" customFormat="1" ht="15">
      <c r="A26" s="577"/>
      <c r="B26" s="595"/>
      <c r="C26" s="2571"/>
      <c r="D26" s="555"/>
      <c r="E26" s="554"/>
      <c r="F26" s="555"/>
      <c r="G26" s="554"/>
      <c r="H26" s="555"/>
      <c r="I26" s="576"/>
      <c r="J26" s="555"/>
      <c r="K26" s="531"/>
      <c r="L26" s="2135"/>
      <c r="M26" s="2136"/>
      <c r="N26" s="2136"/>
      <c r="O26" s="2137"/>
      <c r="P26" s="3411"/>
      <c r="Q26" s="1150"/>
      <c r="R26" s="1568"/>
      <c r="S26" s="1569"/>
      <c r="T26" s="1568"/>
      <c r="U26" s="1569"/>
      <c r="V26" s="1568"/>
      <c r="W26" s="1569"/>
      <c r="X26" s="1570"/>
      <c r="Y26" s="3411"/>
      <c r="Z26" s="1149"/>
      <c r="AA26" s="1571">
        <v>1</v>
      </c>
      <c r="AB26" s="1571">
        <v>1</v>
      </c>
      <c r="AC26" s="1571">
        <v>1</v>
      </c>
    </row>
    <row r="27" spans="1:29" s="1219"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1"/>
      <c r="Q27" s="2557" t="str">
        <f t="shared" ref="Q27" si="9">B27</f>
        <v>基础设施水平</v>
      </c>
      <c r="R27" s="1568" t="s">
        <v>8</v>
      </c>
      <c r="S27" s="1569">
        <f>F27</f>
        <v>100</v>
      </c>
      <c r="T27" s="1568" t="s">
        <v>8</v>
      </c>
      <c r="U27" s="1569">
        <f>H27</f>
        <v>100</v>
      </c>
      <c r="V27" s="1568" t="s">
        <v>8</v>
      </c>
      <c r="W27" s="1569">
        <f>J27</f>
        <v>100</v>
      </c>
      <c r="X27" s="1570"/>
      <c r="Y27" s="3411"/>
      <c r="Z27" s="2554" t="str">
        <f>Q27</f>
        <v>基础设施水平</v>
      </c>
      <c r="AA27" s="1576">
        <f>D27/F27</f>
        <v>1</v>
      </c>
      <c r="AB27" s="1576">
        <f>D27/H27</f>
        <v>1</v>
      </c>
      <c r="AC27" s="1576">
        <f>D27/J27</f>
        <v>1</v>
      </c>
    </row>
    <row r="28" spans="1:29" s="1219" customFormat="1" ht="15">
      <c r="A28" s="577"/>
      <c r="B28" s="595"/>
      <c r="C28" s="2571"/>
      <c r="D28" s="555"/>
      <c r="E28" s="579"/>
      <c r="F28" s="555"/>
      <c r="G28" s="579"/>
      <c r="H28" s="555"/>
      <c r="I28" s="579"/>
      <c r="J28" s="555"/>
      <c r="K28" s="531"/>
      <c r="L28" s="2135"/>
      <c r="M28" s="2136"/>
      <c r="N28" s="2136"/>
      <c r="O28" s="2137"/>
      <c r="P28" s="3411"/>
      <c r="Q28" s="2557"/>
      <c r="R28" s="1568"/>
      <c r="S28" s="1569"/>
      <c r="T28" s="1568"/>
      <c r="U28" s="1569"/>
      <c r="V28" s="1568"/>
      <c r="W28" s="1569"/>
      <c r="X28" s="1570"/>
      <c r="Y28" s="3411"/>
      <c r="Z28" s="255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1"/>
      <c r="Z29" s="1575" t="str">
        <f t="shared" ref="Z29:Z42" si="13">Q29</f>
        <v>临街状况</v>
      </c>
      <c r="AA29" s="1576">
        <f t="shared" si="3"/>
        <v>1</v>
      </c>
      <c r="AB29" s="1576">
        <f t="shared" si="4"/>
        <v>1</v>
      </c>
      <c r="AC29" s="1576">
        <f t="shared" si="5"/>
        <v>1</v>
      </c>
    </row>
    <row r="30" spans="1:29" ht="27">
      <c r="A30" s="532"/>
      <c r="B30" s="921"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1"/>
      <c r="Q30" s="1572" t="str">
        <f t="shared" si="8"/>
        <v>毗邻道路的类型与等级</v>
      </c>
      <c r="R30" s="1573" t="s">
        <v>8</v>
      </c>
      <c r="S30" s="1574">
        <f t="shared" si="10"/>
        <v>100</v>
      </c>
      <c r="T30" s="1573" t="s">
        <v>8</v>
      </c>
      <c r="U30" s="1574">
        <f t="shared" si="11"/>
        <v>100</v>
      </c>
      <c r="V30" s="1573" t="s">
        <v>8</v>
      </c>
      <c r="W30" s="1574">
        <f t="shared" si="12"/>
        <v>100</v>
      </c>
      <c r="X30" s="1567"/>
      <c r="Y30" s="341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11"/>
      <c r="Q31" s="1572"/>
      <c r="R31" s="1573"/>
      <c r="S31" s="1574"/>
      <c r="T31" s="1573"/>
      <c r="U31" s="1574"/>
      <c r="V31" s="1573"/>
      <c r="W31" s="1574"/>
      <c r="X31" s="1567"/>
      <c r="Y31" s="3411"/>
      <c r="Z31" s="1575"/>
      <c r="AA31" s="1576">
        <v>1</v>
      </c>
      <c r="AB31" s="1576">
        <v>1</v>
      </c>
      <c r="AC31" s="1576">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1"/>
      <c r="Q32" s="1572" t="str">
        <f t="shared" si="8"/>
        <v>土地级别</v>
      </c>
      <c r="R32" s="1573" t="s">
        <v>8</v>
      </c>
      <c r="S32" s="1574">
        <f t="shared" si="10"/>
        <v>100</v>
      </c>
      <c r="T32" s="1573" t="s">
        <v>8</v>
      </c>
      <c r="U32" s="1574">
        <f t="shared" si="11"/>
        <v>100</v>
      </c>
      <c r="V32" s="1573" t="s">
        <v>8</v>
      </c>
      <c r="W32" s="1574">
        <f t="shared" si="12"/>
        <v>100</v>
      </c>
      <c r="X32" s="1567"/>
      <c r="Y32" s="341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1"/>
      <c r="Q33" s="1572">
        <f t="shared" si="8"/>
        <v>111</v>
      </c>
      <c r="R33" s="1573" t="s">
        <v>8</v>
      </c>
      <c r="S33" s="1574">
        <f t="shared" si="10"/>
        <v>100</v>
      </c>
      <c r="T33" s="1573" t="s">
        <v>8</v>
      </c>
      <c r="U33" s="1574">
        <f t="shared" si="11"/>
        <v>100</v>
      </c>
      <c r="V33" s="1573" t="s">
        <v>8</v>
      </c>
      <c r="W33" s="1574">
        <f t="shared" si="12"/>
        <v>100</v>
      </c>
      <c r="X33" s="1567"/>
      <c r="Y33" s="341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2" t="s">
        <v>550</v>
      </c>
      <c r="Q34" s="1572">
        <f t="shared" si="8"/>
        <v>111</v>
      </c>
      <c r="R34" s="1573" t="s">
        <v>8</v>
      </c>
      <c r="S34" s="1574">
        <f t="shared" si="10"/>
        <v>100</v>
      </c>
      <c r="T34" s="1573" t="s">
        <v>8</v>
      </c>
      <c r="U34" s="1574">
        <f t="shared" si="11"/>
        <v>100</v>
      </c>
      <c r="V34" s="1573" t="s">
        <v>8</v>
      </c>
      <c r="W34" s="1574">
        <f t="shared" si="12"/>
        <v>100</v>
      </c>
      <c r="X34" s="1567"/>
      <c r="Y34" s="3413" t="s">
        <v>550</v>
      </c>
      <c r="Z34" s="1575">
        <f t="shared" si="13"/>
        <v>111</v>
      </c>
      <c r="AA34" s="1576">
        <f t="shared" si="3"/>
        <v>1</v>
      </c>
      <c r="AB34" s="1576">
        <f t="shared" si="4"/>
        <v>1</v>
      </c>
      <c r="AC34" s="1576">
        <f t="shared" si="5"/>
        <v>1</v>
      </c>
    </row>
    <row r="35" spans="1:29" s="1338"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3"/>
      <c r="Q35" s="1572">
        <f t="shared" si="8"/>
        <v>111</v>
      </c>
      <c r="R35" s="1577" t="s">
        <v>8</v>
      </c>
      <c r="S35" s="1578">
        <f t="shared" si="10"/>
        <v>100</v>
      </c>
      <c r="T35" s="1577" t="s">
        <v>8</v>
      </c>
      <c r="U35" s="1578">
        <f t="shared" si="11"/>
        <v>100</v>
      </c>
      <c r="V35" s="1577" t="s">
        <v>8</v>
      </c>
      <c r="W35" s="1578">
        <f t="shared" si="12"/>
        <v>100</v>
      </c>
      <c r="X35" s="1579"/>
      <c r="Y35" s="3413"/>
      <c r="Z35" s="1580">
        <f t="shared" si="13"/>
        <v>111</v>
      </c>
      <c r="AA35" s="1576">
        <f t="shared" si="3"/>
        <v>1</v>
      </c>
      <c r="AB35" s="1576">
        <f t="shared" si="4"/>
        <v>1</v>
      </c>
      <c r="AC35" s="1576">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3"/>
      <c r="Q36" s="1572" t="str">
        <f>B36</f>
        <v>宗地面积</v>
      </c>
      <c r="R36" s="1573" t="s">
        <v>8</v>
      </c>
      <c r="S36" s="1574" t="e">
        <f t="shared" si="10"/>
        <v>#N/A</v>
      </c>
      <c r="T36" s="1573" t="s">
        <v>8</v>
      </c>
      <c r="U36" s="1574" t="e">
        <f t="shared" si="11"/>
        <v>#N/A</v>
      </c>
      <c r="V36" s="1573" t="s">
        <v>8</v>
      </c>
      <c r="W36" s="1574" t="e">
        <f t="shared" si="12"/>
        <v>#N/A</v>
      </c>
      <c r="X36" s="1567"/>
      <c r="Y36" s="3413"/>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3"/>
      <c r="Q37" s="1572" t="str">
        <f t="shared" ref="Q37:Q42" si="14">B37</f>
        <v>宗地形状</v>
      </c>
      <c r="R37" s="1573" t="s">
        <v>8</v>
      </c>
      <c r="S37" s="1574">
        <f t="shared" si="10"/>
        <v>100</v>
      </c>
      <c r="T37" s="1573" t="s">
        <v>8</v>
      </c>
      <c r="U37" s="1574">
        <f t="shared" si="11"/>
        <v>100</v>
      </c>
      <c r="V37" s="1573" t="s">
        <v>8</v>
      </c>
      <c r="W37" s="1574">
        <f t="shared" si="12"/>
        <v>100</v>
      </c>
      <c r="X37" s="1567"/>
      <c r="Y37" s="3413"/>
      <c r="Z37" s="1575" t="str">
        <f t="shared" si="13"/>
        <v>宗地形状</v>
      </c>
      <c r="AA37" s="1576">
        <f t="shared" si="3"/>
        <v>1</v>
      </c>
      <c r="AB37" s="1576">
        <f t="shared" si="4"/>
        <v>1</v>
      </c>
      <c r="AC37" s="1576">
        <f t="shared" si="5"/>
        <v>1</v>
      </c>
    </row>
    <row r="38" spans="1:29" s="1219"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3"/>
      <c r="Q38" s="1572" t="str">
        <f t="shared" si="14"/>
        <v>宗地开发程度</v>
      </c>
      <c r="R38" s="1568" t="s">
        <v>8</v>
      </c>
      <c r="S38" s="1569">
        <f t="shared" si="10"/>
        <v>100</v>
      </c>
      <c r="T38" s="1568" t="s">
        <v>8</v>
      </c>
      <c r="U38" s="1569">
        <f t="shared" si="11"/>
        <v>100</v>
      </c>
      <c r="V38" s="1568" t="s">
        <v>8</v>
      </c>
      <c r="W38" s="1569">
        <f t="shared" si="12"/>
        <v>100</v>
      </c>
      <c r="X38" s="1570"/>
      <c r="Y38" s="3413"/>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t="s">
        <v>601</v>
      </c>
      <c r="Q39" s="1572" t="str">
        <f t="shared" si="14"/>
        <v>工程地质条件</v>
      </c>
      <c r="R39" s="1573" t="s">
        <v>8</v>
      </c>
      <c r="S39" s="1574">
        <f t="shared" si="10"/>
        <v>100</v>
      </c>
      <c r="T39" s="1573" t="s">
        <v>8</v>
      </c>
      <c r="U39" s="1574">
        <f t="shared" si="11"/>
        <v>100</v>
      </c>
      <c r="V39" s="1573" t="s">
        <v>8</v>
      </c>
      <c r="W39" s="1574">
        <f t="shared" si="12"/>
        <v>100</v>
      </c>
      <c r="X39" s="1567"/>
      <c r="Y39" s="3413"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3"/>
      <c r="Q40" s="1572">
        <f t="shared" si="14"/>
        <v>111</v>
      </c>
      <c r="R40" s="1573" t="s">
        <v>8</v>
      </c>
      <c r="S40" s="1574">
        <f t="shared" si="10"/>
        <v>100</v>
      </c>
      <c r="T40" s="1573" t="s">
        <v>8</v>
      </c>
      <c r="U40" s="1574">
        <f t="shared" si="11"/>
        <v>100</v>
      </c>
      <c r="V40" s="1573" t="s">
        <v>8</v>
      </c>
      <c r="W40" s="1574">
        <f t="shared" si="12"/>
        <v>100</v>
      </c>
      <c r="X40" s="1567"/>
      <c r="Y40" s="341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3"/>
      <c r="Q41" s="1572">
        <f t="shared" si="14"/>
        <v>111</v>
      </c>
      <c r="R41" s="1573" t="s">
        <v>8</v>
      </c>
      <c r="S41" s="1574">
        <f t="shared" si="10"/>
        <v>100</v>
      </c>
      <c r="T41" s="1573" t="s">
        <v>8</v>
      </c>
      <c r="U41" s="1574">
        <f t="shared" si="11"/>
        <v>100</v>
      </c>
      <c r="V41" s="1573" t="s">
        <v>8</v>
      </c>
      <c r="W41" s="1574">
        <f t="shared" si="12"/>
        <v>100</v>
      </c>
      <c r="X41" s="1567"/>
      <c r="Y41" s="3413"/>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3"/>
      <c r="Q42" s="1572">
        <f t="shared" si="14"/>
        <v>111</v>
      </c>
      <c r="R42" s="1577" t="s">
        <v>8</v>
      </c>
      <c r="S42" s="1578">
        <f t="shared" si="10"/>
        <v>100</v>
      </c>
      <c r="T42" s="1577" t="s">
        <v>8</v>
      </c>
      <c r="U42" s="1578">
        <f t="shared" si="11"/>
        <v>100</v>
      </c>
      <c r="V42" s="1577" t="s">
        <v>8</v>
      </c>
      <c r="W42" s="1578">
        <f t="shared" si="12"/>
        <v>100</v>
      </c>
      <c r="X42" s="1579"/>
      <c r="Y42" s="3413"/>
      <c r="Z42" s="1580">
        <f t="shared" si="13"/>
        <v>111</v>
      </c>
      <c r="AA42" s="1576">
        <f t="shared" si="3"/>
        <v>1</v>
      </c>
      <c r="AB42" s="1576">
        <f t="shared" si="4"/>
        <v>1</v>
      </c>
      <c r="AC42" s="1576">
        <f t="shared" si="5"/>
        <v>1</v>
      </c>
    </row>
    <row r="43" spans="1:29" ht="15">
      <c r="A43" s="607" t="s">
        <v>556</v>
      </c>
      <c r="B43" s="608" t="s">
        <v>2934</v>
      </c>
      <c r="C43" s="609" t="s">
        <v>1</v>
      </c>
      <c r="D43" s="610"/>
      <c r="E43" s="611"/>
      <c r="F43" s="612"/>
      <c r="G43" s="613"/>
      <c r="H43" s="614"/>
      <c r="I43" s="611"/>
      <c r="J43" s="614"/>
      <c r="K43" s="1339"/>
      <c r="L43" s="2144"/>
      <c r="M43" s="2134"/>
      <c r="N43" s="2134"/>
      <c r="O43" s="2145"/>
      <c r="P43" s="3374" t="str">
        <f>A43</f>
        <v>成交单价</v>
      </c>
      <c r="Q43" s="3374"/>
      <c r="R43" s="3375">
        <f>E43</f>
        <v>0</v>
      </c>
      <c r="S43" s="3375"/>
      <c r="T43" s="3375">
        <f>G43</f>
        <v>0</v>
      </c>
      <c r="U43" s="3375"/>
      <c r="V43" s="3375">
        <f>I43</f>
        <v>0</v>
      </c>
      <c r="W43" s="3375"/>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4"/>
      <c r="M44" s="2134"/>
      <c r="N44" s="2134"/>
      <c r="O44" s="2145"/>
      <c r="P44" s="3374" t="str">
        <f>A44</f>
        <v>比较价格（元/平方米）</v>
      </c>
      <c r="Q44" s="3374"/>
      <c r="R44" s="3376" t="e">
        <f>ROUND(PRODUCT(R43,AA9:AA42),0)</f>
        <v>#DIV/0!</v>
      </c>
      <c r="S44" s="3376"/>
      <c r="T44" s="3376" t="e">
        <f>ROUND(PRODUCT(T43,AB9:AB42),0)</f>
        <v>#DIV/0!</v>
      </c>
      <c r="U44" s="3376"/>
      <c r="V44" s="3376" t="e">
        <f>ROUND(PRODUCT(V43,AC9:AC42),0)</f>
        <v>#DIV/0!</v>
      </c>
      <c r="W44" s="3376"/>
      <c r="X44" s="1559"/>
      <c r="Y44" s="1559"/>
      <c r="Z44" s="1559"/>
      <c r="AA44" s="1559"/>
      <c r="AB44" s="1559"/>
      <c r="AC44" s="1559"/>
    </row>
    <row r="45" spans="1:29" ht="15.75" thickBot="1">
      <c r="A45" s="621" t="s">
        <v>2935</v>
      </c>
      <c r="B45" s="622"/>
      <c r="C45" s="623" t="e">
        <f>R45</f>
        <v>#DIV/0!</v>
      </c>
      <c r="D45" s="623"/>
      <c r="E45" s="623"/>
      <c r="F45" s="623"/>
      <c r="G45" s="623"/>
      <c r="H45" s="623"/>
      <c r="I45" s="623"/>
      <c r="J45" s="623"/>
      <c r="K45" s="1341"/>
      <c r="L45" s="2144"/>
      <c r="M45" s="2134"/>
      <c r="N45" s="2134"/>
      <c r="O45" s="2145"/>
      <c r="P45" s="3371" t="str">
        <f>A45</f>
        <v>估价对象XX用房的比较价格（楼面单价，元/平方米）</v>
      </c>
      <c r="Q45" s="3372"/>
      <c r="R45" s="3373" t="e">
        <f>ROUND(AVERAGE(R44:V44),0)</f>
        <v>#DIV/0!</v>
      </c>
      <c r="S45" s="3373"/>
      <c r="T45" s="3373"/>
      <c r="U45" s="3373"/>
      <c r="V45" s="3373"/>
      <c r="W45" s="3373"/>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421" t="s">
        <v>2285</v>
      </c>
      <c r="H52" s="3422"/>
      <c r="I52" s="1952" t="s">
        <v>1946</v>
      </c>
      <c r="J52" s="1555" t="str">
        <f>项目基本情况!F41</f>
        <v>广东省潮州市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185735.98</v>
      </c>
      <c r="F53" s="1950" t="e">
        <f t="shared" ref="F53:F62" si="15">ROUND(B53*E53/10000,0)</f>
        <v>#DIV/0!</v>
      </c>
      <c r="G53" s="3423"/>
      <c r="H53" s="3424"/>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25" t="s">
        <v>2286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25"/>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25"/>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25"/>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46806.26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9" t="str">
        <f>YEAR(C9)&amp;"-"&amp;MONTH(C9)&amp;"-1"</f>
        <v>2018-12-1</v>
      </c>
      <c r="D65" s="2778">
        <f>EDATE(C65,-3)</f>
        <v>43344</v>
      </c>
      <c r="E65" s="2778">
        <f t="shared" ref="E65:N65" si="18">EDATE(D65,-3)</f>
        <v>43252</v>
      </c>
      <c r="F65" s="2778">
        <f t="shared" si="18"/>
        <v>43160</v>
      </c>
      <c r="G65" s="2778">
        <f t="shared" si="18"/>
        <v>43070</v>
      </c>
      <c r="H65" s="2778">
        <f t="shared" si="18"/>
        <v>42979</v>
      </c>
      <c r="I65" s="2778">
        <f t="shared" si="18"/>
        <v>42887</v>
      </c>
      <c r="J65" s="2778">
        <f t="shared" si="18"/>
        <v>42795</v>
      </c>
      <c r="K65" s="2778">
        <f t="shared" si="18"/>
        <v>42705</v>
      </c>
      <c r="L65" s="2778">
        <f t="shared" si="18"/>
        <v>42614</v>
      </c>
      <c r="M65" s="2778">
        <f t="shared" si="18"/>
        <v>42522</v>
      </c>
      <c r="N65" s="2778">
        <f t="shared" si="18"/>
        <v>42430</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2534</v>
      </c>
      <c r="B67" s="646"/>
      <c r="C67" s="2773" t="str">
        <f>YEAR(C65)&amp;"-"&amp;ROUNDUP(MONTH(C65)/3,0)</f>
        <v>2018-4</v>
      </c>
      <c r="D67" s="2780" t="str">
        <f t="shared" ref="D67:N67" si="19">YEAR(D65)&amp;"-"&amp;ROUNDUP(MONTH(D65)/3,0)</f>
        <v>2018-3</v>
      </c>
      <c r="E67" s="2780" t="str">
        <f t="shared" si="19"/>
        <v>2018-2</v>
      </c>
      <c r="F67" s="2780" t="str">
        <f t="shared" si="19"/>
        <v>2018-1</v>
      </c>
      <c r="G67" s="2780" t="str">
        <f t="shared" si="19"/>
        <v>2017-4</v>
      </c>
      <c r="H67" s="2780" t="str">
        <f t="shared" si="19"/>
        <v>2017-3</v>
      </c>
      <c r="I67" s="2780" t="str">
        <f t="shared" si="19"/>
        <v>2017-2</v>
      </c>
      <c r="J67" s="2780" t="str">
        <f t="shared" si="19"/>
        <v>2017-1</v>
      </c>
      <c r="K67" s="2780" t="str">
        <f t="shared" si="19"/>
        <v>2016-4</v>
      </c>
      <c r="L67" s="2780" t="str">
        <f t="shared" si="19"/>
        <v>2016-3</v>
      </c>
      <c r="M67" s="2780" t="str">
        <f t="shared" si="19"/>
        <v>2016-2</v>
      </c>
      <c r="N67" s="2780"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77" t="s">
        <v>2650</v>
      </c>
      <c r="B68" s="479" t="str">
        <f>"北京市平均增长率"&amp;TEXT(基准地价!P24,"0.00%")</f>
        <v>北京市平均增长率1.42%</v>
      </c>
      <c r="C68" s="893">
        <v>100</v>
      </c>
      <c r="D68" s="730"/>
      <c r="E68" s="730"/>
      <c r="F68" s="730"/>
      <c r="G68" s="730"/>
      <c r="H68" s="730"/>
      <c r="I68" s="730"/>
      <c r="J68" s="730"/>
      <c r="K68" s="730"/>
      <c r="L68" s="730"/>
      <c r="M68" s="2771"/>
      <c r="N68" s="2772"/>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769"/>
      <c r="D69" s="2770"/>
      <c r="E69" s="2770"/>
      <c r="F69" s="2770"/>
      <c r="G69" s="2770"/>
      <c r="H69" s="2770"/>
      <c r="I69" s="2770"/>
      <c r="J69" s="2770"/>
      <c r="K69" s="2770"/>
      <c r="L69" s="2770"/>
      <c r="M69" s="2770"/>
      <c r="N69" s="2770"/>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L3" sqref="L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31"/>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5" t="s">
        <v>2763</v>
      </c>
      <c r="S1" s="2915" t="s">
        <v>2764</v>
      </c>
      <c r="T1" s="2915" t="s">
        <v>2785</v>
      </c>
      <c r="U1" s="2915" t="s">
        <v>2786</v>
      </c>
      <c r="V1" s="2915" t="s">
        <v>2787</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2936</v>
      </c>
      <c r="G3" s="1038">
        <f>IF(F3="宗地容积率",'数据-汇总表'!I4,IF(F3="估价对象容积率",'数据-汇总表'!I6,'数据-汇总表'!I7))</f>
        <v>4.08</v>
      </c>
      <c r="H3" s="1414" t="s">
        <v>929</v>
      </c>
      <c r="I3" s="1039">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6">
        <v>3</v>
      </c>
      <c r="S4" s="2916">
        <f>ROUND(IF(G3&gt;1,IF(R4&lt;7,SUMPRODUCT((B93:B98=R4)*(C92:N92=G2)*(C93:N98)),SUMIF(C92:N92,G2,C100:N100)),IF(R4&lt;7,SUMPRODUCT((B102:B107=R4)*(C92:N92=G2)*(C102:N107)),SUMIF(C92:N92,G2,C109:N109))),4)</f>
        <v>0</v>
      </c>
      <c r="T4" s="2916" t="e">
        <f t="shared" si="0"/>
        <v>#DIV/0!</v>
      </c>
      <c r="U4" s="2905"/>
      <c r="V4" s="2916"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096">
        <f>ROUND(IF(E2="商业",IF(F16="增加",C6+C16,C6-C16)),0)</f>
        <v>0</v>
      </c>
      <c r="E5" s="141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6">
        <v>4</v>
      </c>
      <c r="S5" s="2916">
        <f>ROUND(IF(G3&gt;1,IF(R5&lt;7,SUMPRODUCT((B93:B98=R5)*(C92:N92=G2)*(C93:N98)),SUMIF(C92:N92,G2,C100:N100)),IF(R5&lt;7,SUMPRODUCT((B102:B107=R5)*(C92:N92=G2)*(C102:N107)),SUMIF(C92:N92,G2,C109:N109))),4)</f>
        <v>0</v>
      </c>
      <c r="T5" s="2916" t="e">
        <f t="shared" si="0"/>
        <v>#DIV/0!</v>
      </c>
      <c r="U5" s="2905"/>
      <c r="V5" s="2916"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6">
        <v>5</v>
      </c>
      <c r="S6" s="2916">
        <f>ROUND(IF(G3&gt;1,IF(R6&lt;7,SUMPRODUCT((B93:B98=R6)*(C92:N92=G2)*(C93:N98)),SUMIF(C92:N92,G2,C100:N100)),IF(R6&lt;7,SUMPRODUCT((B102:B107=R6)*(C92:N92=G2)*(C102:N107)),SUMIF(C92:N92,G2,C109:N109))),4)</f>
        <v>0</v>
      </c>
      <c r="T6" s="2916" t="e">
        <f t="shared" si="0"/>
        <v>#DIV/0!</v>
      </c>
      <c r="U6" s="2905"/>
      <c r="V6" s="2916" t="e">
        <f t="shared" si="1"/>
        <v>#DIV/0!</v>
      </c>
      <c r="W6" s="2189"/>
      <c r="X6" s="2189"/>
      <c r="Y6" s="2189"/>
      <c r="Z6" s="2189"/>
      <c r="AA6" s="2189"/>
      <c r="AB6" s="2189"/>
      <c r="AC6" s="2191"/>
      <c r="AD6" s="1419"/>
      <c r="AE6" s="1419"/>
      <c r="AF6" s="1419"/>
      <c r="AG6" s="1419"/>
      <c r="AH6" s="1419"/>
      <c r="AI6" s="1419"/>
      <c r="AJ6" s="1420"/>
    </row>
    <row r="7" spans="1:39" ht="24">
      <c r="A7" s="3435" t="str">
        <f>IF(E2="商业",IF(C8="不临58条商业街","",2),"")</f>
        <v/>
      </c>
      <c r="B7" s="1427" t="s">
        <v>932</v>
      </c>
      <c r="C7" s="1042" t="e">
        <f>IF(C8="不临58条商业街",1,ROUND(1+(1.6*E8+1.2*E9+0.8*E10+0.4*E11)*C9,4))</f>
        <v>#DIV/0!</v>
      </c>
      <c r="D7" s="1428" t="s">
        <v>933</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4.08</v>
      </c>
      <c r="AA7" s="2192"/>
      <c r="AB7" s="2192"/>
      <c r="AC7" s="2193"/>
      <c r="AD7" s="2908"/>
      <c r="AE7" s="2908"/>
      <c r="AF7" s="2908"/>
      <c r="AG7" s="2908"/>
      <c r="AH7" s="2908"/>
      <c r="AI7" s="2908"/>
      <c r="AJ7" s="2909"/>
    </row>
    <row r="8" spans="1:39" ht="15">
      <c r="A8" s="3436"/>
      <c r="B8" s="1414" t="s">
        <v>934</v>
      </c>
      <c r="C8" s="1529"/>
      <c r="D8" s="1044" t="s">
        <v>935</v>
      </c>
      <c r="E8" s="1045"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6">
        <v>7</v>
      </c>
      <c r="S8" s="2905"/>
      <c r="T8" s="2916" t="e">
        <f t="shared" si="0"/>
        <v>#DIV/0!</v>
      </c>
      <c r="U8" s="2905"/>
      <c r="V8" s="2916" t="e">
        <f t="shared" si="1"/>
        <v>#DIV/0!</v>
      </c>
      <c r="W8" s="3427" t="s">
        <v>2784</v>
      </c>
      <c r="X8" s="3428"/>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36"/>
      <c r="B9" s="1414" t="s">
        <v>937</v>
      </c>
      <c r="C9" s="1046">
        <f>SUMIF(修正!C59:C119,C8,修正!E59:E119)</f>
        <v>0</v>
      </c>
      <c r="D9" s="1047" t="s">
        <v>938</v>
      </c>
      <c r="E9" s="1047"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6">
        <v>8</v>
      </c>
      <c r="S9" s="2905"/>
      <c r="T9" s="2916" t="e">
        <f t="shared" si="0"/>
        <v>#DIV/0!</v>
      </c>
      <c r="U9" s="2905"/>
      <c r="V9" s="2916" t="e">
        <f t="shared" si="1"/>
        <v>#DIV/0!</v>
      </c>
      <c r="W9" s="3426" t="s">
        <v>2780</v>
      </c>
      <c r="X9" s="2910" t="s">
        <v>2781</v>
      </c>
      <c r="Y9" s="3074"/>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36"/>
      <c r="B10" s="1414" t="s">
        <v>940</v>
      </c>
      <c r="C10" s="1047">
        <f>SUMIF(修正!C59:C119,C8,修正!F59:F119)</f>
        <v>0</v>
      </c>
      <c r="D10" s="1047" t="s">
        <v>941</v>
      </c>
      <c r="E10" s="1047"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6">
        <v>9</v>
      </c>
      <c r="S10" s="2905"/>
      <c r="T10" s="2916" t="e">
        <f t="shared" si="0"/>
        <v>#DIV/0!</v>
      </c>
      <c r="U10" s="2905"/>
      <c r="V10" s="2916" t="e">
        <f t="shared" si="1"/>
        <v>#DIV/0!</v>
      </c>
      <c r="W10" s="3426"/>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36"/>
      <c r="B11" s="1435" t="s">
        <v>943</v>
      </c>
      <c r="C11" s="1048">
        <f>C10/4</f>
        <v>0</v>
      </c>
      <c r="D11" s="1048" t="s">
        <v>944</v>
      </c>
      <c r="E11" s="1048"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6">
        <v>10</v>
      </c>
      <c r="S11" s="2905"/>
      <c r="T11" s="2916" t="e">
        <f t="shared" si="0"/>
        <v>#DIV/0!</v>
      </c>
      <c r="U11" s="2905"/>
      <c r="V11" s="2916" t="e">
        <f t="shared" si="1"/>
        <v>#DIV/0!</v>
      </c>
      <c r="W11" s="3426" t="s">
        <v>2782</v>
      </c>
      <c r="X11" s="1047" t="s">
        <v>2767</v>
      </c>
      <c r="Y11" s="1653">
        <f>$G$3</f>
        <v>4.08</v>
      </c>
      <c r="Z11" s="1653">
        <f t="shared" ref="Z11:AJ11" si="3">$G$3</f>
        <v>4.08</v>
      </c>
      <c r="AA11" s="1653">
        <f t="shared" si="3"/>
        <v>4.08</v>
      </c>
      <c r="AB11" s="1653">
        <f t="shared" si="3"/>
        <v>4.08</v>
      </c>
      <c r="AC11" s="1653">
        <f t="shared" si="3"/>
        <v>4.08</v>
      </c>
      <c r="AD11" s="1653">
        <f t="shared" si="3"/>
        <v>4.08</v>
      </c>
      <c r="AE11" s="1653">
        <f t="shared" si="3"/>
        <v>4.08</v>
      </c>
      <c r="AF11" s="1653">
        <f t="shared" si="3"/>
        <v>4.08</v>
      </c>
      <c r="AG11" s="1653">
        <f t="shared" si="3"/>
        <v>4.08</v>
      </c>
      <c r="AH11" s="1653">
        <f t="shared" si="3"/>
        <v>4.08</v>
      </c>
      <c r="AI11" s="1653">
        <f t="shared" si="3"/>
        <v>4.08</v>
      </c>
      <c r="AJ11" s="1653">
        <f t="shared" si="3"/>
        <v>4.08</v>
      </c>
    </row>
    <row r="12" spans="1:39" ht="25.5" thickBot="1">
      <c r="A12" s="3435" t="s">
        <v>1872</v>
      </c>
      <c r="B12" s="1439" t="s">
        <v>946</v>
      </c>
      <c r="C12" s="1042">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6">
        <v>11</v>
      </c>
      <c r="S12" s="2905"/>
      <c r="T12" s="2916" t="e">
        <f t="shared" si="0"/>
        <v>#DIV/0!</v>
      </c>
      <c r="U12" s="2905"/>
      <c r="V12" s="2916" t="e">
        <f t="shared" si="1"/>
        <v>#DIV/0!</v>
      </c>
      <c r="W12" s="3426"/>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37"/>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16">
        <v>12</v>
      </c>
      <c r="S13" s="2905"/>
      <c r="T13" s="2916" t="e">
        <f t="shared" si="0"/>
        <v>#DIV/0!</v>
      </c>
      <c r="U13" s="2905"/>
      <c r="V13" s="2916" t="e">
        <f t="shared" si="1"/>
        <v>#DIV/0!</v>
      </c>
      <c r="W13" s="3426"/>
      <c r="X13" s="2913"/>
      <c r="Y13" s="2912">
        <f>(-0.163*(Y12^2)-0.59*Y12+7617)*(10^(-4))/Y11</f>
        <v>0.18669117647058825</v>
      </c>
      <c r="Z13" s="2912">
        <f t="shared" ref="Z13:AJ13" si="5">(-0.163*(Z12^2)-0.59*Z12+7617)*(10^(-4))/Z11</f>
        <v>0.18669117647058825</v>
      </c>
      <c r="AA13" s="2912">
        <f t="shared" si="5"/>
        <v>0.18669117647058825</v>
      </c>
      <c r="AB13" s="2912">
        <f t="shared" si="5"/>
        <v>0.18669117647058825</v>
      </c>
      <c r="AC13" s="2912">
        <f t="shared" si="5"/>
        <v>0.18669117647058825</v>
      </c>
      <c r="AD13" s="2912">
        <f t="shared" si="5"/>
        <v>0.18669117647058825</v>
      </c>
      <c r="AE13" s="2912">
        <f t="shared" si="5"/>
        <v>0.18669117647058825</v>
      </c>
      <c r="AF13" s="2912">
        <f t="shared" si="5"/>
        <v>0.18669117647058825</v>
      </c>
      <c r="AG13" s="2912">
        <f t="shared" si="5"/>
        <v>0.18669117647058825</v>
      </c>
      <c r="AH13" s="2912">
        <f t="shared" si="5"/>
        <v>0.18669117647058825</v>
      </c>
      <c r="AI13" s="2912">
        <f t="shared" si="5"/>
        <v>0.18669117647058825</v>
      </c>
      <c r="AJ13" s="2912">
        <f t="shared" si="5"/>
        <v>0.18669117647058825</v>
      </c>
    </row>
    <row r="14" spans="1:39" ht="12.75" customHeight="1" thickBot="1">
      <c r="A14" s="3437"/>
      <c r="B14" s="1451"/>
      <c r="C14" s="1452"/>
      <c r="D14" s="1453"/>
      <c r="E14" s="1453"/>
      <c r="F14" s="1454"/>
      <c r="G14" s="1455" t="s">
        <v>949</v>
      </c>
      <c r="H14" s="1456"/>
      <c r="I14" s="1457"/>
      <c r="J14" s="1458"/>
      <c r="K14" s="1401"/>
      <c r="L14" s="2189"/>
      <c r="M14" s="2189"/>
      <c r="N14" s="2189"/>
      <c r="O14" s="2189"/>
      <c r="P14" s="2189"/>
      <c r="Q14" s="2189"/>
      <c r="R14" s="2916">
        <v>13</v>
      </c>
      <c r="S14" s="2905"/>
      <c r="T14" s="2916" t="e">
        <f t="shared" si="0"/>
        <v>#DIV/0!</v>
      </c>
      <c r="U14" s="2905"/>
      <c r="V14" s="2916" t="e">
        <f t="shared" si="1"/>
        <v>#DIV/0!</v>
      </c>
      <c r="W14" s="2189"/>
      <c r="X14" s="2189"/>
      <c r="Y14" s="2189"/>
      <c r="Z14" s="2189"/>
      <c r="AA14" s="2189"/>
      <c r="AB14" s="2189"/>
      <c r="AC14" s="2190"/>
    </row>
    <row r="15" spans="1:39" ht="13.5" customHeight="1" thickBot="1">
      <c r="A15" s="3438"/>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16">
        <v>14</v>
      </c>
      <c r="S15" s="2905"/>
      <c r="T15" s="2916" t="e">
        <f t="shared" si="0"/>
        <v>#DIV/0!</v>
      </c>
      <c r="U15" s="2905"/>
      <c r="V15" s="2916" t="e">
        <f t="shared" si="1"/>
        <v>#DIV/0!</v>
      </c>
      <c r="W15" s="2189"/>
      <c r="X15" s="2189"/>
      <c r="Y15" s="2189"/>
      <c r="Z15" s="2189"/>
      <c r="AA15" s="2189"/>
      <c r="AB15" s="2189"/>
      <c r="AC15" s="2190"/>
    </row>
    <row r="16" spans="1:39" ht="24">
      <c r="A16" s="3435"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16">
        <v>15</v>
      </c>
      <c r="S16" s="2905"/>
      <c r="T16" s="2916" t="e">
        <f t="shared" si="0"/>
        <v>#DIV/0!</v>
      </c>
      <c r="U16" s="2905"/>
      <c r="V16" s="2916" t="e">
        <f t="shared" si="1"/>
        <v>#DIV/0!</v>
      </c>
      <c r="W16" s="2192"/>
      <c r="X16" s="2192"/>
      <c r="Y16" s="2192"/>
      <c r="Z16" s="2192"/>
      <c r="AA16" s="2192"/>
      <c r="AB16" s="2192"/>
      <c r="AC16" s="2193"/>
    </row>
    <row r="17" spans="1:40" ht="13.5" thickBot="1">
      <c r="A17" s="3436"/>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1" t="s">
        <v>956</v>
      </c>
      <c r="C18" s="2752">
        <f>SUMIF(修正!C18:C39,E3,修正!E18:E39)</f>
        <v>0</v>
      </c>
      <c r="D18" s="2753"/>
      <c r="E18" s="2754"/>
      <c r="F18" s="2755"/>
      <c r="G18" s="2749"/>
      <c r="H18" s="2749"/>
      <c r="I18" s="2749"/>
      <c r="J18" s="2756"/>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43438</v>
      </c>
      <c r="H19" s="1475" t="s">
        <v>2937</v>
      </c>
      <c r="I19" s="2763" t="str">
        <f>IF(H19="季度增幅（自定义）",SUMIF(N21:N24,E2,O21:O24),"")</f>
        <v/>
      </c>
      <c r="J19" s="1471"/>
      <c r="K19" s="1481"/>
      <c r="L19" s="3016" t="s">
        <v>2842</v>
      </c>
      <c r="M19" s="3017">
        <f>ROUND(SUMIF(地价!B2:F2,E2,地价!B24:F24),0)</f>
        <v>0</v>
      </c>
      <c r="N19" s="2765" t="s">
        <v>1677</v>
      </c>
      <c r="O19" s="2764">
        <f>ROUNDDOWN(DATEDIF(E19,G19,"M")/3,0)</f>
        <v>19</v>
      </c>
      <c r="P19" s="1596"/>
      <c r="R19" s="2904"/>
      <c r="S19" s="2904"/>
      <c r="T19" s="2904"/>
      <c r="U19" s="2904"/>
      <c r="V19" s="2904"/>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7" t="s">
        <v>1837</v>
      </c>
      <c r="B20" s="2758" t="s">
        <v>972</v>
      </c>
      <c r="C20" s="2759" t="e">
        <f>ROUND(POWER(1+G20,J20-I20)*(POWER(1+G20,I20)-1)/(POWER(1+G20,J20)-1),4)</f>
        <v>#DIV/0!</v>
      </c>
      <c r="D20" s="2760" t="s">
        <v>973</v>
      </c>
      <c r="E20" s="3071">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1"/>
      <c r="L20" s="3018" t="s">
        <v>2843</v>
      </c>
      <c r="M20" s="3019">
        <f>ROUND(SUMPRODUCT((地价!A4:A24=YEAR(G19)&amp;"-"&amp;ROUNDUP(MONTH(G19)/3,0))*(地价!B2:F2=E2)*(地价!B4:F24)),0)</f>
        <v>0</v>
      </c>
      <c r="N20" s="2768" t="s">
        <v>2646</v>
      </c>
      <c r="O20" s="2766" t="s">
        <v>2645</v>
      </c>
      <c r="P20" s="2767" t="s">
        <v>2651</v>
      </c>
      <c r="R20" s="2904"/>
      <c r="S20" s="2904"/>
      <c r="T20" s="2904"/>
      <c r="U20" s="2904"/>
      <c r="V20" s="2904"/>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48">
        <f>SUMPRODUCT((地价!A3:A24=YEAR(G19)&amp;"-"&amp;ROUNDUP(MONTH(G19)/3,0))*(地价!AD2:AH2=N21)*(地价!AD3:AH24))</f>
        <v>1.5299999999999999E-2</v>
      </c>
      <c r="R21" s="2904"/>
      <c r="S21" s="2904"/>
      <c r="T21" s="2904"/>
      <c r="U21" s="2904"/>
      <c r="V21" s="2904"/>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4.0999999999999996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8">
        <f>SUMPRODUCT((地价!A3:A24=YEAR(G19)&amp;"-"&amp;ROUNDUP(MONTH(G19)/3,0))*(地价!AD2:AH2=N22)*(地价!AD3:AH24))</f>
        <v>1.5299999999999999E-2</v>
      </c>
      <c r="R22" s="2904"/>
      <c r="S22" s="2904"/>
      <c r="T22" s="2904"/>
      <c r="U22" s="2904"/>
      <c r="V22" s="2904"/>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8">
        <f>SUMPRODUCT((地价!A3:A24=YEAR(G19)&amp;"-"&amp;ROUNDUP(MONTH(G19)/3,0))*(地价!AD2:AH2=N23)*(地价!AD3:AH24))</f>
        <v>2.41E-2</v>
      </c>
      <c r="R23" s="2904"/>
      <c r="S23" s="2904"/>
      <c r="T23" s="2904"/>
      <c r="U23" s="2904"/>
      <c r="V23" s="2904"/>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04"/>
      <c r="S24" s="2904"/>
      <c r="T24" s="2904"/>
      <c r="U24" s="2904"/>
      <c r="V24" s="2904"/>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6" t="s">
        <v>2649</v>
      </c>
      <c r="O25" s="2195"/>
      <c r="P25" s="1541">
        <f>SUMPRODUCT((地价!A3:A24=YEAR(G19)&amp;"-"&amp;ROUNDUP(MONTH(G19)/3,0))*(地价!AD2:AH2=N25)*(地价!AD3:AH24))</f>
        <v>2.1899999999999999E-2</v>
      </c>
      <c r="R25" s="2904"/>
      <c r="S25" s="2904"/>
      <c r="T25" s="2904"/>
      <c r="U25" s="2904"/>
      <c r="V25" s="2904"/>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04"/>
      <c r="S26" s="2904"/>
      <c r="T26" s="2904"/>
      <c r="U26" s="2904"/>
      <c r="V26" s="2904"/>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04"/>
      <c r="S27" s="2904"/>
      <c r="T27" s="2904"/>
      <c r="U27" s="2904"/>
      <c r="V27" s="2904"/>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4"/>
      <c r="S28" s="2904"/>
      <c r="T28" s="2904"/>
      <c r="U28" s="2904"/>
      <c r="V28" s="2904"/>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04"/>
      <c r="S29" s="2904"/>
      <c r="T29" s="2904"/>
      <c r="U29" s="2904"/>
      <c r="V29" s="2904"/>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41" t="s">
        <v>2963</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42"/>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42"/>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3"/>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390" t="str">
        <f>估价对象房地状况!C16</f>
        <v>估价对象位于XX商圈，周边商业氛围成熟，人流量大，商业繁华度好</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60">
      <c r="A48" s="1066" t="s">
        <v>1022</v>
      </c>
      <c r="B48" s="2387" t="str">
        <f>估价对象房地状况!C18</f>
        <v>估价对象有主干道东山路和次干道金马大道、有12、13、108等公交车经停、停车便捷程度较好，综合评价交通便捷度较好</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387" t="str">
        <f>估价对象房地状况!C19</f>
        <v>一致</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073" t="s">
        <v>2939</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387" t="str">
        <f>估价对象房地状况!C24</f>
        <v>东山路-主干道</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072" t="s">
        <v>2938</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48">
      <c r="A53" s="2419" t="s">
        <v>1027</v>
      </c>
      <c r="B53" s="2388" t="str">
        <f>估价对象房地状况!C21</f>
        <v>估价对象所在区域公共配套设施齐备较齐全（有金山中学、中国银行、韩溪眼科医院）</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估价对象所在区域基础设施水平较高</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48.75" thickBot="1">
      <c r="A55" s="2420" t="s">
        <v>1029</v>
      </c>
      <c r="B55" s="2391" t="str">
        <f>估价对象房地状况!C20</f>
        <v>区域自然环境：；人文环境（潮州市行政学院、慧如公园）；综合评价环境状况较好</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390" t="str">
        <f>估价对象房地状况!C17</f>
        <v>估价对象位于XX商圈，周边办公楼项目较多，入驻率高，办公集聚程度较好</v>
      </c>
      <c r="C58" s="1049"/>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60">
      <c r="A59" s="1066" t="s">
        <v>1022</v>
      </c>
      <c r="B59" s="2387" t="str">
        <f>估价对象房地状况!C18</f>
        <v>估价对象有主干道东山路和次干道金马大道、有12、13、108等公交车经停、停车便捷程度较好，综合评价交通便捷度较好</v>
      </c>
      <c r="C59" s="1049"/>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387" t="str">
        <f>估价对象房地状况!C19</f>
        <v>一致</v>
      </c>
      <c r="C60" s="1049"/>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073" t="s">
        <v>2940</v>
      </c>
      <c r="C61" s="1049"/>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387" t="str">
        <f>估价对象房地状况!C24</f>
        <v>东山路-主干道</v>
      </c>
      <c r="C62" s="1049"/>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072" t="s">
        <v>2938</v>
      </c>
      <c r="C63" s="1049"/>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48">
      <c r="A64" s="1066" t="s">
        <v>1027</v>
      </c>
      <c r="B64" s="2388" t="str">
        <f>估价对象房地状况!C21</f>
        <v>估价对象所在区域公共配套设施齐备较齐全（有金山中学、中国银行、韩溪眼科医院）</v>
      </c>
      <c r="C64" s="1049"/>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388" t="str">
        <f>估价对象房地状况!C22</f>
        <v>估价对象所在区域基础设施水平较高</v>
      </c>
      <c r="C65" s="1049"/>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48.75" thickBot="1">
      <c r="A66" s="2420" t="s">
        <v>1029</v>
      </c>
      <c r="B66" s="2392" t="str">
        <f>估价对象房地状况!C20</f>
        <v>区域自然环境：；人文环境（潮州市行政学院、慧如公园）；综合评价环境状况较好</v>
      </c>
      <c r="C66" s="1049"/>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60">
      <c r="A69" s="1066" t="s">
        <v>1033</v>
      </c>
      <c r="B69" s="2390" t="str">
        <f>估价对象房地状况!C15</f>
        <v>估价对象周边居住用地比例较多、周边有腾瑞四季园、恒大等小区，社区发展完善程度较完善，综合评价居住社区成熟度较好</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60">
      <c r="A70" s="1066" t="s">
        <v>1034</v>
      </c>
      <c r="B70" s="2387" t="str">
        <f>估价对象房地状况!C18</f>
        <v>估价对象有主干道东山路和次干道金马大道、有12、13、108等公交车经停、停车便捷程度较好，综合评价交通便捷度较好</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387" t="str">
        <f>估价对象房地状况!C19</f>
        <v>一致</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387" t="str">
        <f>估价对象房地状况!C24</f>
        <v>东山路-主干道</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48">
      <c r="A73" s="1066" t="s">
        <v>1027</v>
      </c>
      <c r="B73" s="2388" t="str">
        <f>估价对象房地状况!C21</f>
        <v>估价对象所在区域公共配套设施齐备较齐全（有金山中学、中国银行、韩溪眼科医院）</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388" t="str">
        <f>估价对象房地状况!C22</f>
        <v>估价对象所在区域基础设施水平较高</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072" t="s">
        <v>2938</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48">
      <c r="A76" s="1066" t="s">
        <v>1029</v>
      </c>
      <c r="B76" s="2390" t="str">
        <f>估价对象房地状况!C20</f>
        <v>区域自然环境：；人文环境（潮州市行政学院、慧如公园）；综合评价环境状况较好</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1037</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c r="A80" s="1066" t="s">
        <v>1038</v>
      </c>
      <c r="B80" s="2387" t="str">
        <f>估价对象房地状况!G15</f>
        <v>估价对象位于XX开发区，园区建设成熟度XX，产业集聚程度XX</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c r="A81" s="1066" t="s">
        <v>1034</v>
      </c>
      <c r="B81" s="2387" t="str">
        <f>估价对象房地状况!G16</f>
        <v>估价对象周边道路状况、公共交通通达情况、停车便捷程度，综合评价交通便捷度较好</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1023</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1035</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1027</v>
      </c>
      <c r="B84" s="2388" t="str">
        <f>估价对象房地状况!G19</f>
        <v>估价对象所在区域公共配套设施齐备情况</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1028</v>
      </c>
      <c r="B85" s="2388" t="str">
        <f>估价对象房地状况!G20</f>
        <v>估价对象所在区域基础设施水平</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1026</v>
      </c>
      <c r="B86" s="3072" t="s">
        <v>2938</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thickBot="1">
      <c r="A87" s="2420" t="s">
        <v>1039</v>
      </c>
      <c r="B87" s="2389" t="str">
        <f>估价对象房地状况!G18</f>
        <v>该园区内是否有污染型企业，绿化情况，卫生条件，整体环境状况判断</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39" t="s">
        <v>1634</v>
      </c>
      <c r="B90" s="3439"/>
      <c r="C90" s="3439"/>
      <c r="D90" s="3439"/>
      <c r="E90" s="3439"/>
      <c r="F90" s="3439"/>
      <c r="G90" s="3439"/>
      <c r="H90" s="3439"/>
      <c r="I90" s="3439"/>
      <c r="J90" s="3439"/>
      <c r="K90" s="2429"/>
      <c r="L90" s="2429"/>
      <c r="M90" s="2429"/>
      <c r="N90" s="2429"/>
    </row>
    <row r="91" spans="1:40">
      <c r="A91" s="3440" t="s">
        <v>1444</v>
      </c>
      <c r="B91" s="3440" t="s">
        <v>1635</v>
      </c>
      <c r="C91" s="1139" t="s">
        <v>1636</v>
      </c>
      <c r="D91" s="1140"/>
      <c r="E91" s="1140"/>
      <c r="F91" s="1140"/>
      <c r="G91" s="1140"/>
      <c r="H91" s="1140"/>
      <c r="I91" s="1140"/>
      <c r="J91" s="1141"/>
      <c r="K91" s="1133"/>
      <c r="L91" s="1133"/>
      <c r="M91" s="1133"/>
      <c r="N91" s="1133"/>
    </row>
    <row r="92" spans="1:40">
      <c r="A92" s="3440"/>
      <c r="B92" s="3440"/>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29"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0"/>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9" t="s">
        <v>1638</v>
      </c>
      <c r="B101" s="1146" t="s">
        <v>906</v>
      </c>
      <c r="C101" s="1147">
        <f>$G$3</f>
        <v>4.08</v>
      </c>
      <c r="D101" s="1147">
        <f t="shared" ref="D101:N101" si="31">$G$3</f>
        <v>4.08</v>
      </c>
      <c r="E101" s="1147">
        <f t="shared" si="31"/>
        <v>4.08</v>
      </c>
      <c r="F101" s="1147">
        <f t="shared" si="31"/>
        <v>4.08</v>
      </c>
      <c r="G101" s="1147">
        <f t="shared" si="31"/>
        <v>4.08</v>
      </c>
      <c r="H101" s="1147">
        <f t="shared" si="31"/>
        <v>4.08</v>
      </c>
      <c r="I101" s="1147">
        <f t="shared" si="31"/>
        <v>4.08</v>
      </c>
      <c r="J101" s="1147">
        <f t="shared" si="31"/>
        <v>4.08</v>
      </c>
      <c r="K101" s="1147">
        <f t="shared" si="31"/>
        <v>4.08</v>
      </c>
      <c r="L101" s="1147">
        <f t="shared" si="31"/>
        <v>4.08</v>
      </c>
      <c r="M101" s="1147">
        <f t="shared" si="31"/>
        <v>4.08</v>
      </c>
      <c r="N101" s="1147">
        <f t="shared" si="31"/>
        <v>4.08</v>
      </c>
    </row>
    <row r="102" spans="1:14">
      <c r="A102" s="3430"/>
      <c r="B102" s="1142">
        <v>1</v>
      </c>
      <c r="C102" s="1143">
        <f>1.9362/C101</f>
        <v>0.47455882352941176</v>
      </c>
      <c r="D102" s="1143">
        <f>1.9362/D101</f>
        <v>0.47455882352941176</v>
      </c>
      <c r="E102" s="1143">
        <f>1.8629/E101</f>
        <v>0.45659313725490197</v>
      </c>
      <c r="F102" s="1143">
        <f>1.8629/F101</f>
        <v>0.45659313725490197</v>
      </c>
      <c r="G102" s="1143">
        <f>1.8629/G101</f>
        <v>0.45659313725490197</v>
      </c>
      <c r="H102" s="1143">
        <f>1.8629/H101</f>
        <v>0.45659313725490197</v>
      </c>
      <c r="I102" s="1143">
        <f>1.8629/I101</f>
        <v>0.45659313725490197</v>
      </c>
      <c r="J102" s="1143">
        <f>1.942/J101</f>
        <v>0.47598039215686272</v>
      </c>
      <c r="K102" s="1143">
        <f>1.942/K101</f>
        <v>0.47598039215686272</v>
      </c>
      <c r="L102" s="1143">
        <f>1.942/L101</f>
        <v>0.47598039215686272</v>
      </c>
      <c r="M102" s="1143">
        <f>1.942/M101</f>
        <v>0.47598039215686272</v>
      </c>
      <c r="N102" s="1143">
        <f>1.942/N101</f>
        <v>0.47598039215686272</v>
      </c>
    </row>
    <row r="103" spans="1:14">
      <c r="A103" s="3430"/>
      <c r="B103" s="1142">
        <v>2</v>
      </c>
      <c r="C103" s="1143">
        <f>1.4198/C101</f>
        <v>0.34799019607843135</v>
      </c>
      <c r="D103" s="1143">
        <f>1.4198/D101</f>
        <v>0.34799019607843135</v>
      </c>
      <c r="E103" s="1143">
        <f>1.3372/E101</f>
        <v>0.32774509803921564</v>
      </c>
      <c r="F103" s="1143">
        <f>1.3372/F101</f>
        <v>0.32774509803921564</v>
      </c>
      <c r="G103" s="1143">
        <f>1.3372/G101</f>
        <v>0.32774509803921564</v>
      </c>
      <c r="H103" s="1143">
        <f>1.3372/H101</f>
        <v>0.32774509803921564</v>
      </c>
      <c r="I103" s="1143">
        <f>1.3372/I101</f>
        <v>0.32774509803921564</v>
      </c>
      <c r="J103" s="1143">
        <f>1.2799/J101</f>
        <v>0.31370098039215688</v>
      </c>
      <c r="K103" s="1143">
        <f>1.2799/K101</f>
        <v>0.31370098039215688</v>
      </c>
      <c r="L103" s="1143">
        <f>1.2799/L101</f>
        <v>0.31370098039215688</v>
      </c>
      <c r="M103" s="1143">
        <f>1.2799/M101</f>
        <v>0.31370098039215688</v>
      </c>
      <c r="N103" s="1143">
        <f>1.2799/N101</f>
        <v>0.31370098039215688</v>
      </c>
    </row>
    <row r="104" spans="1:14">
      <c r="A104" s="3430"/>
      <c r="B104" s="1142">
        <v>3</v>
      </c>
      <c r="C104" s="1143">
        <f>1.1594/C101</f>
        <v>0.28416666666666668</v>
      </c>
      <c r="D104" s="1143">
        <f>1.1594/D101</f>
        <v>0.28416666666666668</v>
      </c>
      <c r="E104" s="1143">
        <f>1.0788/E101</f>
        <v>0.26441176470588235</v>
      </c>
      <c r="F104" s="1143">
        <f>1.0788/F101</f>
        <v>0.26441176470588235</v>
      </c>
      <c r="G104" s="1143">
        <f>1.0788/G101</f>
        <v>0.26441176470588235</v>
      </c>
      <c r="H104" s="1143">
        <f>1.0788/H101</f>
        <v>0.26441176470588235</v>
      </c>
      <c r="I104" s="1143">
        <f>1.0788/I101</f>
        <v>0.26441176470588235</v>
      </c>
      <c r="J104" s="1143">
        <f>1.0072/J101</f>
        <v>0.24686274509803924</v>
      </c>
      <c r="K104" s="1143">
        <f>1.0072/K101</f>
        <v>0.24686274509803924</v>
      </c>
      <c r="L104" s="1143">
        <f>1.0072/L101</f>
        <v>0.24686274509803924</v>
      </c>
      <c r="M104" s="1143">
        <f>1.0072/M101</f>
        <v>0.24686274509803924</v>
      </c>
      <c r="N104" s="1143">
        <f>1.0072/N101</f>
        <v>0.24686274509803924</v>
      </c>
    </row>
    <row r="105" spans="1:14">
      <c r="A105" s="3430"/>
      <c r="B105" s="1142">
        <v>4</v>
      </c>
      <c r="C105" s="1143">
        <f>0.9622/C101</f>
        <v>0.23583333333333334</v>
      </c>
      <c r="D105" s="1143">
        <f>0.9622/D101</f>
        <v>0.23583333333333334</v>
      </c>
      <c r="E105" s="1143">
        <f>0.8656/E101</f>
        <v>0.21215686274509804</v>
      </c>
      <c r="F105" s="1143">
        <f>0.8656/F101</f>
        <v>0.21215686274509804</v>
      </c>
      <c r="G105" s="1143">
        <f>0.8656/G101</f>
        <v>0.21215686274509804</v>
      </c>
      <c r="H105" s="1143">
        <f>0.8656/H101</f>
        <v>0.21215686274509804</v>
      </c>
      <c r="I105" s="1143">
        <f>0.8656/I101</f>
        <v>0.21215686274509804</v>
      </c>
      <c r="J105" s="1143">
        <f>0.7525/J101</f>
        <v>0.1844362745098039</v>
      </c>
      <c r="K105" s="1143">
        <f>0.7525/K101</f>
        <v>0.1844362745098039</v>
      </c>
      <c r="L105" s="1143">
        <f>0.7525/L101</f>
        <v>0.1844362745098039</v>
      </c>
      <c r="M105" s="1143">
        <f>0.7525/M101</f>
        <v>0.1844362745098039</v>
      </c>
      <c r="N105" s="1143">
        <f>0.7525/N101</f>
        <v>0.1844362745098039</v>
      </c>
    </row>
    <row r="106" spans="1:14">
      <c r="A106" s="3430"/>
      <c r="B106" s="1142">
        <v>5</v>
      </c>
      <c r="C106" s="1143">
        <f>0.8417/C101</f>
        <v>0.20629901960784314</v>
      </c>
      <c r="D106" s="1143">
        <f>0.8417/D101</f>
        <v>0.20629901960784314</v>
      </c>
      <c r="E106" s="1143">
        <f>0.7371/E101</f>
        <v>0.18066176470588236</v>
      </c>
      <c r="F106" s="1143">
        <f>0.7371/F101</f>
        <v>0.18066176470588236</v>
      </c>
      <c r="G106" s="1143">
        <f>0.7371/G101</f>
        <v>0.18066176470588236</v>
      </c>
      <c r="H106" s="1143">
        <f>0.7371/H101</f>
        <v>0.18066176470588236</v>
      </c>
      <c r="I106" s="1143">
        <f>0.7371/I101</f>
        <v>0.18066176470588236</v>
      </c>
      <c r="J106" s="1143">
        <f>0.5659/J101</f>
        <v>0.13870098039215686</v>
      </c>
      <c r="K106" s="1143">
        <f>0.5659/K101</f>
        <v>0.13870098039215686</v>
      </c>
      <c r="L106" s="1143">
        <f>0.5659/L101</f>
        <v>0.13870098039215686</v>
      </c>
      <c r="M106" s="1143">
        <f>0.5659/M101</f>
        <v>0.13870098039215686</v>
      </c>
      <c r="N106" s="1143">
        <f>0.5659/N101</f>
        <v>0.13870098039215686</v>
      </c>
    </row>
    <row r="107" spans="1:14">
      <c r="A107" s="3430"/>
      <c r="B107" s="1142">
        <v>6</v>
      </c>
      <c r="C107" s="1143">
        <f>0.7608/C101</f>
        <v>0.18647058823529411</v>
      </c>
      <c r="D107" s="1143">
        <f>0.7608/D101</f>
        <v>0.18647058823529411</v>
      </c>
      <c r="E107" s="1143">
        <f>0.6482/E101</f>
        <v>0.15887254901960784</v>
      </c>
      <c r="F107" s="1143">
        <f>0.6482/F101</f>
        <v>0.15887254901960784</v>
      </c>
      <c r="G107" s="1143">
        <f>0.6482/G101</f>
        <v>0.15887254901960784</v>
      </c>
      <c r="H107" s="1143">
        <f>0.6482/H101</f>
        <v>0.15887254901960784</v>
      </c>
      <c r="I107" s="1143">
        <f>0.6482/I101</f>
        <v>0.15887254901960784</v>
      </c>
      <c r="J107" s="1143">
        <f>0.4525/J101</f>
        <v>0.11090686274509803</v>
      </c>
      <c r="K107" s="1143">
        <f>0.4525/K101</f>
        <v>0.11090686274509803</v>
      </c>
      <c r="L107" s="1143">
        <f>0.4525/L101</f>
        <v>0.11090686274509803</v>
      </c>
      <c r="M107" s="1143">
        <f>0.4525/M101</f>
        <v>0.11090686274509803</v>
      </c>
      <c r="N107" s="1143">
        <f>0.4525/N101</f>
        <v>0.11090686274509803</v>
      </c>
    </row>
    <row r="108" spans="1:14">
      <c r="A108" s="3430"/>
      <c r="B108" s="3432"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1"/>
      <c r="B109" s="3433"/>
      <c r="C109" s="1145">
        <f>(-0.163*(C108^2)-0.59*C108+7617)*(10^(-4))/C101</f>
        <v>0.18631980392156863</v>
      </c>
      <c r="D109" s="1145">
        <f>(-0.163*(D108^2)-0.59*D108+7617)*(10^(-4))/D101</f>
        <v>0.18631980392156863</v>
      </c>
      <c r="E109" s="1145">
        <f>(-0.161*(E108^2)-7.509*E108+6533)*(10^(-4))/E101</f>
        <v>0.15839764705882353</v>
      </c>
      <c r="F109" s="1145">
        <f>(-0.161*(F108^2)-7.509*F108+6533)*(10^(-4))/F101</f>
        <v>0.15839764705882353</v>
      </c>
      <c r="G109" s="1145">
        <f>(-0.161*(G108^2)-7.509*G108+6533)*(10^(-4))/G101</f>
        <v>0.15839764705882353</v>
      </c>
      <c r="H109" s="1145">
        <f>(-0.161*(H108^2)-7.509*H108+6533)*(10^(-4))/H101</f>
        <v>0.15839764705882353</v>
      </c>
      <c r="I109" s="1145">
        <f>(-0.161*(I108^2)-7.509*I108+6533)*(10^(-4))/I101</f>
        <v>0.15839764705882353</v>
      </c>
      <c r="J109" s="1145">
        <f>(-0.214*(J108^2)-21.991*J108+4665)*(10^(-4))/J101</f>
        <v>0.10969058823529412</v>
      </c>
      <c r="K109" s="1145">
        <f>(-0.214*(K108^2)-21.991*K108+4665)*(10^(-4))/K101</f>
        <v>0.10969058823529412</v>
      </c>
      <c r="L109" s="1145">
        <f>(-0.214*(L108^2)-21.991*L108+4665)*(10^(-4))/L101</f>
        <v>0.10969058823529412</v>
      </c>
      <c r="M109" s="1145">
        <f>(-0.214*(M108^2)-21.991*M108+4665)*(10^(-4))/M101</f>
        <v>0.10969058823529412</v>
      </c>
      <c r="N109" s="1145">
        <f>(-0.214*(N108^2)-21.991*N108+4665)*(10^(-4))/N101</f>
        <v>0.10969058823529412</v>
      </c>
    </row>
    <row r="110" spans="1:14">
      <c r="A110" s="3434" t="s">
        <v>1640</v>
      </c>
      <c r="B110" s="3434"/>
      <c r="C110" s="3434"/>
      <c r="D110" s="3434"/>
      <c r="E110" s="3434"/>
      <c r="F110" s="3434"/>
      <c r="G110" s="3434"/>
      <c r="H110" s="3434"/>
      <c r="I110" s="3434"/>
      <c r="J110" s="3434"/>
      <c r="K110" s="2427"/>
      <c r="L110" s="2427"/>
      <c r="M110" s="2427"/>
      <c r="N110" s="2427"/>
    </row>
    <row r="112" spans="1:14" ht="12.75" thickBot="1"/>
    <row r="113" spans="1:13" ht="25.5" thickBot="1">
      <c r="A113" s="1015" t="s">
        <v>896</v>
      </c>
      <c r="B113" s="2430">
        <f>G3</f>
        <v>4.08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0.89510000000000001</v>
      </c>
      <c r="C115" s="1029">
        <f>B115</f>
        <v>0.89510000000000001</v>
      </c>
      <c r="D115" s="1029">
        <f>ROUND(0.8331-0.0109*B113,4)</f>
        <v>0.78859999999999997</v>
      </c>
      <c r="E115" s="1029">
        <f>D115</f>
        <v>0.78859999999999997</v>
      </c>
      <c r="F115" s="1029">
        <f>E115</f>
        <v>0.78859999999999997</v>
      </c>
      <c r="G115" s="1029">
        <f>F115</f>
        <v>0.78859999999999997</v>
      </c>
      <c r="H115" s="1029">
        <f>G115</f>
        <v>0.78859999999999997</v>
      </c>
      <c r="I115" s="1029">
        <f>ROUND(0.689-0.0155*B113,4)</f>
        <v>0.62580000000000002</v>
      </c>
      <c r="J115" s="1029">
        <f t="shared" ref="J115:M118" si="33">I115</f>
        <v>0.62580000000000002</v>
      </c>
      <c r="K115" s="1029">
        <f t="shared" si="33"/>
        <v>0.62580000000000002</v>
      </c>
      <c r="L115" s="1029">
        <f t="shared" si="33"/>
        <v>0.62580000000000002</v>
      </c>
      <c r="M115" s="1030">
        <f t="shared" si="33"/>
        <v>0.62580000000000002</v>
      </c>
    </row>
    <row r="116" spans="1:13" ht="12.75">
      <c r="A116" s="1028" t="s">
        <v>901</v>
      </c>
      <c r="B116" s="1029">
        <f>ROUND(0.949-0.012*B113,4)</f>
        <v>0.9</v>
      </c>
      <c r="C116" s="1029">
        <f>B116</f>
        <v>0.9</v>
      </c>
      <c r="D116" s="1029">
        <f>ROUND(0.8567-0.013*B113,4)</f>
        <v>0.80369999999999997</v>
      </c>
      <c r="E116" s="1029">
        <f t="shared" ref="E116:H117" si="34">D116</f>
        <v>0.80369999999999997</v>
      </c>
      <c r="F116" s="1029">
        <f t="shared" si="34"/>
        <v>0.80369999999999997</v>
      </c>
      <c r="G116" s="1029">
        <f t="shared" si="34"/>
        <v>0.80369999999999997</v>
      </c>
      <c r="H116" s="1029">
        <f t="shared" si="34"/>
        <v>0.80369999999999997</v>
      </c>
      <c r="I116" s="1029">
        <f>ROUND(0.7694-0.014*B113,4)</f>
        <v>0.71230000000000004</v>
      </c>
      <c r="J116" s="1029">
        <f t="shared" si="33"/>
        <v>0.71230000000000004</v>
      </c>
      <c r="K116" s="1029">
        <f t="shared" si="33"/>
        <v>0.71230000000000004</v>
      </c>
      <c r="L116" s="1029">
        <f t="shared" si="33"/>
        <v>0.71230000000000004</v>
      </c>
      <c r="M116" s="1030">
        <f t="shared" si="33"/>
        <v>0.71230000000000004</v>
      </c>
    </row>
    <row r="117" spans="1:13" ht="12.75">
      <c r="A117" s="1031" t="s">
        <v>902</v>
      </c>
      <c r="B117" s="1029">
        <f>ROUND(0.8808-0.006*B113,4)</f>
        <v>0.85629999999999995</v>
      </c>
      <c r="C117" s="1029">
        <f>B117</f>
        <v>0.85629999999999995</v>
      </c>
      <c r="D117" s="1029">
        <f>ROUND(0.8748-0.008*B113,4)</f>
        <v>0.84219999999999995</v>
      </c>
      <c r="E117" s="1029">
        <f t="shared" si="34"/>
        <v>0.84219999999999995</v>
      </c>
      <c r="F117" s="1029">
        <f t="shared" si="34"/>
        <v>0.84219999999999995</v>
      </c>
      <c r="G117" s="1029">
        <f t="shared" si="34"/>
        <v>0.84219999999999995</v>
      </c>
      <c r="H117" s="1029">
        <f t="shared" si="34"/>
        <v>0.84219999999999995</v>
      </c>
      <c r="I117" s="1029">
        <f>ROUND(0.7412-0.0095*B113,4)</f>
        <v>0.70240000000000002</v>
      </c>
      <c r="J117" s="1029">
        <f t="shared" si="33"/>
        <v>0.70240000000000002</v>
      </c>
      <c r="K117" s="1029">
        <f t="shared" si="33"/>
        <v>0.70240000000000002</v>
      </c>
      <c r="L117" s="1029">
        <f t="shared" si="33"/>
        <v>0.70240000000000002</v>
      </c>
      <c r="M117" s="1030">
        <f t="shared" si="33"/>
        <v>0.70240000000000002</v>
      </c>
    </row>
    <row r="118" spans="1:13" ht="13.5" thickBot="1">
      <c r="A118" s="1032" t="s">
        <v>903</v>
      </c>
      <c r="B118" s="1033">
        <f>ROUND(0.7275-0.01*B113,4)</f>
        <v>0.68669999999999998</v>
      </c>
      <c r="C118" s="1033">
        <f>B118</f>
        <v>0.68669999999999998</v>
      </c>
      <c r="D118" s="1033">
        <f>ROUND(0.7043-0.012*B113,4)</f>
        <v>0.65529999999999999</v>
      </c>
      <c r="E118" s="1033">
        <f>D118</f>
        <v>0.65529999999999999</v>
      </c>
      <c r="F118" s="1033">
        <f>E118</f>
        <v>0.65529999999999999</v>
      </c>
      <c r="G118" s="1033">
        <f>ROUND(0.6299-0.0122*B113,4)</f>
        <v>0.58009999999999995</v>
      </c>
      <c r="H118" s="1033">
        <f>G118</f>
        <v>0.58009999999999995</v>
      </c>
      <c r="I118" s="1033">
        <f>ROUND(0.5667-0.0136*B113,4)</f>
        <v>0.51119999999999999</v>
      </c>
      <c r="J118" s="1033">
        <f t="shared" si="33"/>
        <v>0.51119999999999999</v>
      </c>
      <c r="K118" s="1033">
        <f t="shared" si="33"/>
        <v>0.51119999999999999</v>
      </c>
      <c r="L118" s="1033">
        <f t="shared" si="33"/>
        <v>0.51119999999999999</v>
      </c>
      <c r="M118" s="1034">
        <f t="shared" si="33"/>
        <v>0.51119999999999999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40" t="s">
        <v>1008</v>
      </c>
      <c r="B18" s="1153" t="s">
        <v>1447</v>
      </c>
      <c r="C18" s="1130" t="s">
        <v>1448</v>
      </c>
      <c r="D18" s="1131"/>
      <c r="E18" s="1153">
        <v>1</v>
      </c>
      <c r="F18" s="1132" t="s">
        <v>1449</v>
      </c>
      <c r="G18" s="1133"/>
      <c r="H18" s="1104"/>
      <c r="I18" s="1104"/>
    </row>
    <row r="19" spans="1:9" s="1599" customFormat="1" ht="19.5" customHeight="1">
      <c r="A19" s="3440"/>
      <c r="B19" s="3440" t="s">
        <v>1450</v>
      </c>
      <c r="C19" s="1130" t="s">
        <v>1451</v>
      </c>
      <c r="D19" s="1131"/>
      <c r="E19" s="1153">
        <v>0.9</v>
      </c>
      <c r="F19" s="1132" t="s">
        <v>1452</v>
      </c>
      <c r="G19" s="1133"/>
      <c r="H19" s="1104"/>
      <c r="I19" s="1104"/>
    </row>
    <row r="20" spans="1:9" s="1599" customFormat="1" ht="19.5" customHeight="1">
      <c r="A20" s="3440"/>
      <c r="B20" s="3440"/>
      <c r="C20" s="1130" t="s">
        <v>1453</v>
      </c>
      <c r="D20" s="1131"/>
      <c r="E20" s="1153">
        <v>1.1000000000000001</v>
      </c>
      <c r="F20" s="1132" t="s">
        <v>1454</v>
      </c>
      <c r="G20" s="1133"/>
      <c r="H20" s="1104"/>
      <c r="I20" s="1104"/>
    </row>
    <row r="21" spans="1:9" s="1599" customFormat="1" ht="19.5" customHeight="1">
      <c r="A21" s="3440"/>
      <c r="B21" s="3440"/>
      <c r="C21" s="1130" t="s">
        <v>1455</v>
      </c>
      <c r="D21" s="1131"/>
      <c r="E21" s="1153">
        <v>0.8</v>
      </c>
      <c r="F21" s="1132" t="s">
        <v>1456</v>
      </c>
      <c r="G21" s="1133"/>
      <c r="H21" s="1104"/>
      <c r="I21" s="1104"/>
    </row>
    <row r="22" spans="1:9" s="1599" customFormat="1" ht="19.5" customHeight="1">
      <c r="A22" s="3440"/>
      <c r="B22" s="3440"/>
      <c r="C22" s="1130" t="s">
        <v>1457</v>
      </c>
      <c r="D22" s="1131"/>
      <c r="E22" s="1153">
        <v>0.5</v>
      </c>
      <c r="F22" s="1132"/>
      <c r="G22" s="1133"/>
      <c r="H22" s="1104"/>
      <c r="I22" s="1104"/>
    </row>
    <row r="23" spans="1:9" s="1599" customFormat="1" ht="19.5" customHeight="1">
      <c r="A23" s="3440" t="s">
        <v>1030</v>
      </c>
      <c r="B23" s="1153" t="s">
        <v>1447</v>
      </c>
      <c r="C23" s="1130" t="s">
        <v>1458</v>
      </c>
      <c r="D23" s="1131"/>
      <c r="E23" s="1153">
        <v>1</v>
      </c>
      <c r="F23" s="1132" t="s">
        <v>1459</v>
      </c>
      <c r="G23" s="1133"/>
      <c r="H23" s="1104"/>
      <c r="I23" s="1104"/>
    </row>
    <row r="24" spans="1:9" s="1599" customFormat="1" ht="19.5" customHeight="1">
      <c r="A24" s="3440"/>
      <c r="B24" s="3440" t="s">
        <v>1450</v>
      </c>
      <c r="C24" s="1130" t="s">
        <v>1460</v>
      </c>
      <c r="D24" s="1131"/>
      <c r="E24" s="1153">
        <v>0.5</v>
      </c>
      <c r="F24" s="1132"/>
      <c r="G24" s="1133"/>
      <c r="H24" s="1104"/>
      <c r="I24" s="1104"/>
    </row>
    <row r="25" spans="1:9" s="1599" customFormat="1" ht="19.5" customHeight="1">
      <c r="A25" s="3440"/>
      <c r="B25" s="3440"/>
      <c r="C25" s="1130" t="s">
        <v>1461</v>
      </c>
      <c r="D25" s="1131"/>
      <c r="E25" s="1153">
        <v>1.1000000000000001</v>
      </c>
      <c r="F25" s="1132"/>
      <c r="G25" s="1133"/>
      <c r="H25" s="1104"/>
      <c r="I25" s="1104"/>
    </row>
    <row r="26" spans="1:9" s="1599" customFormat="1" ht="19.5" customHeight="1">
      <c r="A26" s="3440"/>
      <c r="B26" s="3440"/>
      <c r="C26" s="1130" t="s">
        <v>1462</v>
      </c>
      <c r="D26" s="1131"/>
      <c r="E26" s="1153">
        <v>1.1000000000000001</v>
      </c>
      <c r="F26" s="1132"/>
      <c r="G26" s="1133"/>
      <c r="H26" s="1104"/>
      <c r="I26" s="1104"/>
    </row>
    <row r="27" spans="1:9" s="1599" customFormat="1" ht="19.5" customHeight="1">
      <c r="A27" s="3440"/>
      <c r="B27" s="3440"/>
      <c r="C27" s="1130" t="s">
        <v>1463</v>
      </c>
      <c r="D27" s="1131"/>
      <c r="E27" s="1153">
        <v>0.9</v>
      </c>
      <c r="F27" s="1132" t="s">
        <v>1464</v>
      </c>
      <c r="G27" s="1133"/>
      <c r="H27" s="1104"/>
      <c r="I27" s="1104"/>
    </row>
    <row r="28" spans="1:9" s="1599" customFormat="1" ht="19.5" customHeight="1">
      <c r="A28" s="3440"/>
      <c r="B28" s="3440"/>
      <c r="C28" s="1130" t="s">
        <v>1465</v>
      </c>
      <c r="D28" s="1131"/>
      <c r="E28" s="1153">
        <v>0.9</v>
      </c>
      <c r="F28" s="1132" t="s">
        <v>1466</v>
      </c>
      <c r="G28" s="1133"/>
      <c r="H28" s="1104"/>
      <c r="I28" s="1104"/>
    </row>
    <row r="29" spans="1:9" s="1599" customFormat="1" ht="19.5" customHeight="1">
      <c r="A29" s="3440"/>
      <c r="B29" s="3440"/>
      <c r="C29" s="1130" t="s">
        <v>1467</v>
      </c>
      <c r="D29" s="1131"/>
      <c r="E29" s="1153">
        <v>0.9</v>
      </c>
      <c r="F29" s="1132" t="s">
        <v>1468</v>
      </c>
      <c r="G29" s="1133"/>
      <c r="H29" s="1104"/>
      <c r="I29" s="1104"/>
    </row>
    <row r="30" spans="1:9" s="1599" customFormat="1" ht="19.5" customHeight="1">
      <c r="A30" s="3440"/>
      <c r="B30" s="3440"/>
      <c r="C30" s="1130" t="s">
        <v>1469</v>
      </c>
      <c r="D30" s="1131"/>
      <c r="E30" s="1153">
        <v>0.9</v>
      </c>
      <c r="F30" s="1132" t="s">
        <v>1470</v>
      </c>
      <c r="G30" s="1133"/>
      <c r="H30" s="1104"/>
      <c r="I30" s="1104"/>
    </row>
    <row r="31" spans="1:9" s="1599" customFormat="1" ht="19.5" customHeight="1">
      <c r="A31" s="3440"/>
      <c r="B31" s="3440"/>
      <c r="C31" s="1130" t="s">
        <v>1471</v>
      </c>
      <c r="D31" s="1131"/>
      <c r="E31" s="1153">
        <v>0.8</v>
      </c>
      <c r="F31" s="1132" t="s">
        <v>1472</v>
      </c>
      <c r="G31" s="1133"/>
      <c r="H31" s="1104"/>
      <c r="I31" s="1104"/>
    </row>
    <row r="32" spans="1:9" s="1599" customFormat="1" ht="19.5" customHeight="1">
      <c r="A32" s="3440"/>
      <c r="B32" s="3440"/>
      <c r="C32" s="1130" t="s">
        <v>1473</v>
      </c>
      <c r="D32" s="1131"/>
      <c r="E32" s="1153">
        <v>0.8</v>
      </c>
      <c r="F32" s="1132" t="s">
        <v>1474</v>
      </c>
      <c r="G32" s="1133"/>
      <c r="H32" s="1104"/>
      <c r="I32" s="1104"/>
    </row>
    <row r="33" spans="1:9" s="1599" customFormat="1" ht="19.5" customHeight="1">
      <c r="A33" s="3440" t="s">
        <v>1475</v>
      </c>
      <c r="B33" s="1153" t="s">
        <v>1447</v>
      </c>
      <c r="C33" s="1130" t="s">
        <v>1476</v>
      </c>
      <c r="D33" s="1131"/>
      <c r="E33" s="1153">
        <v>1</v>
      </c>
      <c r="F33" s="1132" t="s">
        <v>1477</v>
      </c>
      <c r="G33" s="1133"/>
      <c r="H33" s="1104"/>
      <c r="I33" s="1104"/>
    </row>
    <row r="34" spans="1:9" s="1599" customFormat="1" ht="19.5" customHeight="1">
      <c r="A34" s="3440"/>
      <c r="B34" s="1153" t="s">
        <v>1450</v>
      </c>
      <c r="C34" s="1130" t="s">
        <v>1478</v>
      </c>
      <c r="D34" s="1131"/>
      <c r="E34" s="1153">
        <v>1.5</v>
      </c>
      <c r="F34" s="1132" t="s">
        <v>1479</v>
      </c>
      <c r="G34" s="1133"/>
      <c r="H34" s="1104"/>
      <c r="I34" s="1104"/>
    </row>
    <row r="35" spans="1:9" s="1599" customFormat="1" ht="19.5" customHeight="1">
      <c r="A35" s="3440" t="s">
        <v>1433</v>
      </c>
      <c r="B35" s="1153" t="s">
        <v>1447</v>
      </c>
      <c r="C35" s="1130" t="s">
        <v>1480</v>
      </c>
      <c r="D35" s="1131"/>
      <c r="E35" s="1153">
        <v>1</v>
      </c>
      <c r="F35" s="1132" t="s">
        <v>1481</v>
      </c>
      <c r="G35" s="1133"/>
      <c r="H35" s="1104"/>
      <c r="I35" s="1104"/>
    </row>
    <row r="36" spans="1:9" s="1599" customFormat="1" ht="19.5" customHeight="1">
      <c r="A36" s="3440"/>
      <c r="B36" s="3440" t="s">
        <v>1450</v>
      </c>
      <c r="C36" s="1130" t="s">
        <v>1482</v>
      </c>
      <c r="D36" s="1131"/>
      <c r="E36" s="1153">
        <v>1</v>
      </c>
      <c r="F36" s="1132" t="s">
        <v>1483</v>
      </c>
      <c r="G36" s="1133"/>
      <c r="H36" s="1104"/>
      <c r="I36" s="1104"/>
    </row>
    <row r="37" spans="1:9" s="1599" customFormat="1" ht="19.5" customHeight="1">
      <c r="A37" s="3440"/>
      <c r="B37" s="3440"/>
      <c r="C37" s="1130" t="s">
        <v>1484</v>
      </c>
      <c r="D37" s="1131"/>
      <c r="E37" s="1153">
        <v>1.5</v>
      </c>
      <c r="F37" s="1132" t="s">
        <v>1485</v>
      </c>
      <c r="G37" s="1133"/>
      <c r="H37" s="1104"/>
      <c r="I37" s="1104"/>
    </row>
    <row r="38" spans="1:9" s="1599" customFormat="1" ht="19.5" customHeight="1">
      <c r="A38" s="3440"/>
      <c r="B38" s="3440"/>
      <c r="C38" s="1130" t="s">
        <v>1486</v>
      </c>
      <c r="D38" s="1131"/>
      <c r="E38" s="1153">
        <v>1</v>
      </c>
      <c r="F38" s="1132" t="s">
        <v>1487</v>
      </c>
      <c r="G38" s="1133"/>
      <c r="H38" s="1104"/>
      <c r="I38" s="1104"/>
    </row>
    <row r="39" spans="1:9" s="1599" customFormat="1" ht="19.5" customHeight="1">
      <c r="A39" s="3440"/>
      <c r="B39" s="3440"/>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0" t="s">
        <v>1502</v>
      </c>
      <c r="C61" s="1067" t="s">
        <v>1503</v>
      </c>
      <c r="D61" s="1067" t="s">
        <v>1504</v>
      </c>
      <c r="E61" s="1138">
        <v>0.5</v>
      </c>
      <c r="F61" s="1153">
        <v>80</v>
      </c>
      <c r="H61" s="1104">
        <f>SUMIF(C59:C119,基准地价!C8,E59:E119)</f>
        <v>0</v>
      </c>
    </row>
    <row r="62" spans="1:8" s="1104" customFormat="1" ht="24">
      <c r="A62" s="1153">
        <v>2</v>
      </c>
      <c r="B62" s="3440"/>
      <c r="C62" s="1067" t="s">
        <v>1505</v>
      </c>
      <c r="D62" s="1067" t="s">
        <v>1506</v>
      </c>
      <c r="E62" s="1138">
        <v>0.5</v>
      </c>
      <c r="F62" s="1153">
        <v>80</v>
      </c>
    </row>
    <row r="63" spans="1:8" s="1104" customFormat="1" ht="36">
      <c r="A63" s="1153">
        <v>3</v>
      </c>
      <c r="B63" s="3440"/>
      <c r="C63" s="1067" t="s">
        <v>1507</v>
      </c>
      <c r="D63" s="1067" t="s">
        <v>1508</v>
      </c>
      <c r="E63" s="1138">
        <v>0.5</v>
      </c>
      <c r="F63" s="1153">
        <v>80</v>
      </c>
    </row>
    <row r="64" spans="1:8" s="1104" customFormat="1" ht="36">
      <c r="A64" s="1153">
        <v>4</v>
      </c>
      <c r="B64" s="3440"/>
      <c r="C64" s="1067" t="s">
        <v>1509</v>
      </c>
      <c r="D64" s="1067" t="s">
        <v>1510</v>
      </c>
      <c r="E64" s="1138">
        <v>0.4</v>
      </c>
      <c r="F64" s="1153">
        <v>60</v>
      </c>
    </row>
    <row r="65" spans="1:6" s="1104" customFormat="1" ht="36">
      <c r="A65" s="1153">
        <v>5</v>
      </c>
      <c r="B65" s="3440"/>
      <c r="C65" s="1067" t="s">
        <v>1511</v>
      </c>
      <c r="D65" s="1067" t="s">
        <v>1512</v>
      </c>
      <c r="E65" s="1138">
        <v>0.2</v>
      </c>
      <c r="F65" s="1153">
        <v>30</v>
      </c>
    </row>
    <row r="66" spans="1:6" s="1104" customFormat="1" ht="36">
      <c r="A66" s="1153">
        <v>6</v>
      </c>
      <c r="B66" s="3440"/>
      <c r="C66" s="1067" t="s">
        <v>1513</v>
      </c>
      <c r="D66" s="1067" t="s">
        <v>1514</v>
      </c>
      <c r="E66" s="1138">
        <v>0.3</v>
      </c>
      <c r="F66" s="1153">
        <v>50</v>
      </c>
    </row>
    <row r="67" spans="1:6" s="1104" customFormat="1" ht="36">
      <c r="A67" s="1153">
        <v>7</v>
      </c>
      <c r="B67" s="3440"/>
      <c r="C67" s="1067" t="s">
        <v>1515</v>
      </c>
      <c r="D67" s="1067" t="s">
        <v>1516</v>
      </c>
      <c r="E67" s="1138">
        <v>0.2</v>
      </c>
      <c r="F67" s="1153">
        <v>30</v>
      </c>
    </row>
    <row r="68" spans="1:6" s="1104" customFormat="1" ht="36">
      <c r="A68" s="1153">
        <v>8</v>
      </c>
      <c r="B68" s="3440"/>
      <c r="C68" s="1067" t="s">
        <v>1517</v>
      </c>
      <c r="D68" s="1067" t="s">
        <v>1518</v>
      </c>
      <c r="E68" s="1138">
        <v>0.2</v>
      </c>
      <c r="F68" s="1153">
        <v>30</v>
      </c>
    </row>
    <row r="69" spans="1:6" s="1104" customFormat="1" ht="36">
      <c r="A69" s="1153">
        <v>9</v>
      </c>
      <c r="B69" s="3440"/>
      <c r="C69" s="1067" t="s">
        <v>1519</v>
      </c>
      <c r="D69" s="1067" t="s">
        <v>1520</v>
      </c>
      <c r="E69" s="1138">
        <v>0.2</v>
      </c>
      <c r="F69" s="1153">
        <v>30</v>
      </c>
    </row>
    <row r="70" spans="1:6" s="1104" customFormat="1" ht="48">
      <c r="A70" s="1153">
        <v>10</v>
      </c>
      <c r="B70" s="3440"/>
      <c r="C70" s="1067" t="s">
        <v>1521</v>
      </c>
      <c r="D70" s="1067" t="s">
        <v>1522</v>
      </c>
      <c r="E70" s="1138">
        <v>0.2</v>
      </c>
      <c r="F70" s="1153">
        <v>30</v>
      </c>
    </row>
    <row r="71" spans="1:6" s="1104" customFormat="1" ht="48">
      <c r="A71" s="1153">
        <v>11</v>
      </c>
      <c r="B71" s="3440"/>
      <c r="C71" s="1067" t="s">
        <v>1523</v>
      </c>
      <c r="D71" s="1067" t="s">
        <v>1524</v>
      </c>
      <c r="E71" s="1138">
        <v>0.2</v>
      </c>
      <c r="F71" s="1153">
        <v>30</v>
      </c>
    </row>
    <row r="72" spans="1:6" s="1104" customFormat="1" ht="36">
      <c r="A72" s="1153">
        <v>12</v>
      </c>
      <c r="B72" s="3440"/>
      <c r="C72" s="1067" t="s">
        <v>1525</v>
      </c>
      <c r="D72" s="1067" t="s">
        <v>1526</v>
      </c>
      <c r="E72" s="1138">
        <v>0.5</v>
      </c>
      <c r="F72" s="1153">
        <v>80</v>
      </c>
    </row>
    <row r="73" spans="1:6" s="1104" customFormat="1" ht="24">
      <c r="A73" s="1153">
        <v>13</v>
      </c>
      <c r="B73" s="3440"/>
      <c r="C73" s="1067" t="s">
        <v>1527</v>
      </c>
      <c r="D73" s="1067" t="s">
        <v>1528</v>
      </c>
      <c r="E73" s="1138">
        <v>0.4</v>
      </c>
      <c r="F73" s="1153">
        <v>60</v>
      </c>
    </row>
    <row r="74" spans="1:6" s="1104" customFormat="1" ht="24">
      <c r="A74" s="1153">
        <v>14</v>
      </c>
      <c r="B74" s="3440"/>
      <c r="C74" s="1067" t="s">
        <v>1529</v>
      </c>
      <c r="D74" s="1067" t="s">
        <v>1530</v>
      </c>
      <c r="E74" s="1138">
        <v>0.2</v>
      </c>
      <c r="F74" s="1153">
        <v>30</v>
      </c>
    </row>
    <row r="75" spans="1:6" s="1104" customFormat="1" ht="24">
      <c r="A75" s="1153">
        <v>15</v>
      </c>
      <c r="B75" s="3440"/>
      <c r="C75" s="1067" t="s">
        <v>1531</v>
      </c>
      <c r="D75" s="1067" t="s">
        <v>1532</v>
      </c>
      <c r="E75" s="1138">
        <v>0.2</v>
      </c>
      <c r="F75" s="1153">
        <v>30</v>
      </c>
    </row>
    <row r="76" spans="1:6" s="1104" customFormat="1" ht="24">
      <c r="A76" s="1153">
        <v>16</v>
      </c>
      <c r="B76" s="3440" t="s">
        <v>1533</v>
      </c>
      <c r="C76" s="1067" t="s">
        <v>1534</v>
      </c>
      <c r="D76" s="1067" t="s">
        <v>1535</v>
      </c>
      <c r="E76" s="1138">
        <v>0.5</v>
      </c>
      <c r="F76" s="1153">
        <v>80</v>
      </c>
    </row>
    <row r="77" spans="1:6" s="1104" customFormat="1" ht="24">
      <c r="A77" s="1153">
        <v>17</v>
      </c>
      <c r="B77" s="3440"/>
      <c r="C77" s="1067" t="s">
        <v>1536</v>
      </c>
      <c r="D77" s="1067" t="s">
        <v>1537</v>
      </c>
      <c r="E77" s="1138">
        <v>0.5</v>
      </c>
      <c r="F77" s="1153">
        <v>80</v>
      </c>
    </row>
    <row r="78" spans="1:6" s="1104" customFormat="1" ht="24">
      <c r="A78" s="1153">
        <v>18</v>
      </c>
      <c r="B78" s="3440"/>
      <c r="C78" s="1067" t="s">
        <v>1538</v>
      </c>
      <c r="D78" s="1067" t="s">
        <v>1539</v>
      </c>
      <c r="E78" s="1138">
        <v>0.2</v>
      </c>
      <c r="F78" s="1153">
        <v>30</v>
      </c>
    </row>
    <row r="79" spans="1:6" s="1104" customFormat="1" ht="24">
      <c r="A79" s="1153">
        <v>19</v>
      </c>
      <c r="B79" s="3440"/>
      <c r="C79" s="1067" t="s">
        <v>1540</v>
      </c>
      <c r="D79" s="1067" t="s">
        <v>1541</v>
      </c>
      <c r="E79" s="1138">
        <v>0.5</v>
      </c>
      <c r="F79" s="1153">
        <v>80</v>
      </c>
    </row>
    <row r="80" spans="1:6" s="1104" customFormat="1" ht="36">
      <c r="A80" s="1153">
        <v>20</v>
      </c>
      <c r="B80" s="3440"/>
      <c r="C80" s="1067" t="s">
        <v>1542</v>
      </c>
      <c r="D80" s="1067" t="s">
        <v>1543</v>
      </c>
      <c r="E80" s="1138">
        <v>0.2</v>
      </c>
      <c r="F80" s="1153">
        <v>30</v>
      </c>
    </row>
    <row r="81" spans="1:6" s="1104" customFormat="1" ht="36">
      <c r="A81" s="1153">
        <v>21</v>
      </c>
      <c r="B81" s="3440"/>
      <c r="C81" s="1067" t="s">
        <v>1544</v>
      </c>
      <c r="D81" s="1067" t="s">
        <v>1545</v>
      </c>
      <c r="E81" s="1138">
        <v>0.2</v>
      </c>
      <c r="F81" s="1153">
        <v>30</v>
      </c>
    </row>
    <row r="82" spans="1:6" s="1104" customFormat="1" ht="48">
      <c r="A82" s="1153">
        <v>22</v>
      </c>
      <c r="B82" s="3440"/>
      <c r="C82" s="1067" t="s">
        <v>1546</v>
      </c>
      <c r="D82" s="1067" t="s">
        <v>1547</v>
      </c>
      <c r="E82" s="1138">
        <v>0.2</v>
      </c>
      <c r="F82" s="1153">
        <v>30</v>
      </c>
    </row>
    <row r="83" spans="1:6" s="1104" customFormat="1" ht="48">
      <c r="A83" s="1153">
        <v>23</v>
      </c>
      <c r="B83" s="3440"/>
      <c r="C83" s="1067" t="s">
        <v>1548</v>
      </c>
      <c r="D83" s="1067" t="s">
        <v>1549</v>
      </c>
      <c r="E83" s="1138">
        <v>0.2</v>
      </c>
      <c r="F83" s="1153">
        <v>30</v>
      </c>
    </row>
    <row r="84" spans="1:6" s="1104" customFormat="1" ht="36">
      <c r="A84" s="1153">
        <v>24</v>
      </c>
      <c r="B84" s="3440"/>
      <c r="C84" s="1067" t="s">
        <v>1550</v>
      </c>
      <c r="D84" s="1067" t="s">
        <v>1551</v>
      </c>
      <c r="E84" s="1138">
        <v>0.2</v>
      </c>
      <c r="F84" s="1153">
        <v>30</v>
      </c>
    </row>
    <row r="85" spans="1:6" s="1104" customFormat="1" ht="36">
      <c r="A85" s="1153">
        <v>25</v>
      </c>
      <c r="B85" s="3440"/>
      <c r="C85" s="1067" t="s">
        <v>1552</v>
      </c>
      <c r="D85" s="1067" t="s">
        <v>1553</v>
      </c>
      <c r="E85" s="1138">
        <v>0.5</v>
      </c>
      <c r="F85" s="1153">
        <v>80</v>
      </c>
    </row>
    <row r="86" spans="1:6" s="1104" customFormat="1" ht="36">
      <c r="A86" s="1153">
        <v>26</v>
      </c>
      <c r="B86" s="3440"/>
      <c r="C86" s="1067" t="s">
        <v>1554</v>
      </c>
      <c r="D86" s="1067" t="s">
        <v>1555</v>
      </c>
      <c r="E86" s="1138">
        <v>0.2</v>
      </c>
      <c r="F86" s="1153">
        <v>30</v>
      </c>
    </row>
    <row r="87" spans="1:6" s="1104" customFormat="1" ht="36">
      <c r="A87" s="1153">
        <v>27</v>
      </c>
      <c r="B87" s="3440"/>
      <c r="C87" s="1067" t="s">
        <v>1556</v>
      </c>
      <c r="D87" s="1067" t="s">
        <v>1557</v>
      </c>
      <c r="E87" s="1138">
        <v>0.2</v>
      </c>
      <c r="F87" s="1153">
        <v>30</v>
      </c>
    </row>
    <row r="88" spans="1:6" s="1104" customFormat="1" ht="36">
      <c r="A88" s="1153">
        <v>28</v>
      </c>
      <c r="B88" s="3440"/>
      <c r="C88" s="1067" t="s">
        <v>1558</v>
      </c>
      <c r="D88" s="1067" t="s">
        <v>1559</v>
      </c>
      <c r="E88" s="1138">
        <v>0.2</v>
      </c>
      <c r="F88" s="1153">
        <v>30</v>
      </c>
    </row>
    <row r="89" spans="1:6" s="1104" customFormat="1" ht="24">
      <c r="A89" s="1153">
        <v>29</v>
      </c>
      <c r="B89" s="3440"/>
      <c r="C89" s="1067" t="s">
        <v>1560</v>
      </c>
      <c r="D89" s="1067" t="s">
        <v>1561</v>
      </c>
      <c r="E89" s="1138">
        <v>0.2</v>
      </c>
      <c r="F89" s="1153">
        <v>30</v>
      </c>
    </row>
    <row r="90" spans="1:6" s="1104" customFormat="1" ht="24">
      <c r="A90" s="1153">
        <v>30</v>
      </c>
      <c r="B90" s="3440"/>
      <c r="C90" s="1067" t="s">
        <v>1562</v>
      </c>
      <c r="D90" s="1067" t="s">
        <v>1563</v>
      </c>
      <c r="E90" s="1138">
        <v>0.2</v>
      </c>
      <c r="F90" s="1153">
        <v>30</v>
      </c>
    </row>
    <row r="91" spans="1:6" s="1104" customFormat="1" ht="36">
      <c r="A91" s="1153">
        <v>31</v>
      </c>
      <c r="B91" s="3440"/>
      <c r="C91" s="1067" t="s">
        <v>1564</v>
      </c>
      <c r="D91" s="1067" t="s">
        <v>1565</v>
      </c>
      <c r="E91" s="1138">
        <v>0.2</v>
      </c>
      <c r="F91" s="1153">
        <v>30</v>
      </c>
    </row>
    <row r="92" spans="1:6" s="1104" customFormat="1" ht="24">
      <c r="A92" s="1153">
        <v>32</v>
      </c>
      <c r="B92" s="3440" t="s">
        <v>1566</v>
      </c>
      <c r="C92" s="1153" t="s">
        <v>1567</v>
      </c>
      <c r="D92" s="1067" t="s">
        <v>1568</v>
      </c>
      <c r="E92" s="1138">
        <v>0.2</v>
      </c>
      <c r="F92" s="1153">
        <v>30</v>
      </c>
    </row>
    <row r="93" spans="1:6" s="1104" customFormat="1" ht="36">
      <c r="A93" s="1153">
        <v>33</v>
      </c>
      <c r="B93" s="3440"/>
      <c r="C93" s="1153" t="s">
        <v>1569</v>
      </c>
      <c r="D93" s="1067" t="s">
        <v>1570</v>
      </c>
      <c r="E93" s="1138">
        <v>0.2</v>
      </c>
      <c r="F93" s="1153">
        <v>30</v>
      </c>
    </row>
    <row r="94" spans="1:6" s="1104" customFormat="1" ht="48">
      <c r="A94" s="1153">
        <v>34</v>
      </c>
      <c r="B94" s="3440"/>
      <c r="C94" s="1153" t="s">
        <v>1571</v>
      </c>
      <c r="D94" s="1067" t="s">
        <v>1572</v>
      </c>
      <c r="E94" s="1138">
        <v>0.2</v>
      </c>
      <c r="F94" s="1153">
        <v>30</v>
      </c>
    </row>
    <row r="95" spans="1:6" s="1104" customFormat="1" ht="36">
      <c r="A95" s="1153">
        <v>35</v>
      </c>
      <c r="B95" s="3440"/>
      <c r="C95" s="1153" t="s">
        <v>1573</v>
      </c>
      <c r="D95" s="1067" t="s">
        <v>1574</v>
      </c>
      <c r="E95" s="1138">
        <v>0.2</v>
      </c>
      <c r="F95" s="1153">
        <v>30</v>
      </c>
    </row>
    <row r="96" spans="1:6" s="1104" customFormat="1" ht="48">
      <c r="A96" s="1153">
        <v>36</v>
      </c>
      <c r="B96" s="3440"/>
      <c r="C96" s="1067" t="s">
        <v>1575</v>
      </c>
      <c r="D96" s="1067" t="s">
        <v>1576</v>
      </c>
      <c r="E96" s="1138">
        <v>0.2</v>
      </c>
      <c r="F96" s="1153">
        <v>30</v>
      </c>
    </row>
    <row r="97" spans="1:6" s="1104" customFormat="1" ht="36">
      <c r="A97" s="1153">
        <v>37</v>
      </c>
      <c r="B97" s="3440"/>
      <c r="C97" s="1153" t="s">
        <v>1577</v>
      </c>
      <c r="D97" s="1067" t="s">
        <v>1578</v>
      </c>
      <c r="E97" s="1138">
        <v>0.2</v>
      </c>
      <c r="F97" s="1153">
        <v>30</v>
      </c>
    </row>
    <row r="98" spans="1:6" s="1104" customFormat="1" ht="36">
      <c r="A98" s="1153">
        <v>38</v>
      </c>
      <c r="B98" s="3440"/>
      <c r="C98" s="1153" t="s">
        <v>1579</v>
      </c>
      <c r="D98" s="1067" t="s">
        <v>1580</v>
      </c>
      <c r="E98" s="1138">
        <v>0.2</v>
      </c>
      <c r="F98" s="1153">
        <v>30</v>
      </c>
    </row>
    <row r="99" spans="1:6" s="1104" customFormat="1" ht="36">
      <c r="A99" s="1153">
        <v>39</v>
      </c>
      <c r="B99" s="3440" t="s">
        <v>1581</v>
      </c>
      <c r="C99" s="1153" t="s">
        <v>1582</v>
      </c>
      <c r="D99" s="1067" t="s">
        <v>1583</v>
      </c>
      <c r="E99" s="1138">
        <v>0.3</v>
      </c>
      <c r="F99" s="1153">
        <v>50</v>
      </c>
    </row>
    <row r="100" spans="1:6" s="1104" customFormat="1" ht="24">
      <c r="A100" s="1153">
        <v>40</v>
      </c>
      <c r="B100" s="3440"/>
      <c r="C100" s="1153" t="s">
        <v>1584</v>
      </c>
      <c r="D100" s="1067" t="s">
        <v>1585</v>
      </c>
      <c r="E100" s="1138">
        <v>0.2</v>
      </c>
      <c r="F100" s="1153">
        <v>30</v>
      </c>
    </row>
    <row r="101" spans="1:6" s="1104" customFormat="1" ht="36">
      <c r="A101" s="1153">
        <v>41</v>
      </c>
      <c r="B101" s="3440"/>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0" t="s">
        <v>1596</v>
      </c>
      <c r="C105" s="1153" t="s">
        <v>1597</v>
      </c>
      <c r="D105" s="1067" t="s">
        <v>1598</v>
      </c>
      <c r="E105" s="1138">
        <v>0.2</v>
      </c>
      <c r="F105" s="1153">
        <v>30</v>
      </c>
    </row>
    <row r="106" spans="1:6" s="1104" customFormat="1" ht="36">
      <c r="A106" s="1153">
        <v>46</v>
      </c>
      <c r="B106" s="3440"/>
      <c r="C106" s="1153" t="s">
        <v>1599</v>
      </c>
      <c r="D106" s="1067" t="s">
        <v>1600</v>
      </c>
      <c r="E106" s="1138">
        <v>0.2</v>
      </c>
      <c r="F106" s="1153">
        <v>30</v>
      </c>
    </row>
    <row r="107" spans="1:6" s="1104" customFormat="1" ht="36">
      <c r="A107" s="1153">
        <v>47</v>
      </c>
      <c r="B107" s="3440" t="s">
        <v>1601</v>
      </c>
      <c r="C107" s="1153" t="s">
        <v>1602</v>
      </c>
      <c r="D107" s="1067" t="s">
        <v>1603</v>
      </c>
      <c r="E107" s="1138">
        <v>0.3</v>
      </c>
      <c r="F107" s="1153">
        <v>50</v>
      </c>
    </row>
    <row r="108" spans="1:6" s="1104" customFormat="1" ht="36">
      <c r="A108" s="1153">
        <v>48</v>
      </c>
      <c r="B108" s="3440"/>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0" t="s">
        <v>1612</v>
      </c>
      <c r="C111" s="1153" t="s">
        <v>1613</v>
      </c>
      <c r="D111" s="1067" t="s">
        <v>1614</v>
      </c>
      <c r="E111" s="1138">
        <v>0.2</v>
      </c>
      <c r="F111" s="1153">
        <v>30</v>
      </c>
    </row>
    <row r="112" spans="1:6" s="1104" customFormat="1" ht="24">
      <c r="A112" s="1153">
        <v>52</v>
      </c>
      <c r="B112" s="3440"/>
      <c r="C112" s="1153" t="s">
        <v>1615</v>
      </c>
      <c r="D112" s="1067" t="s">
        <v>1616</v>
      </c>
      <c r="E112" s="1138">
        <v>0.2</v>
      </c>
      <c r="F112" s="1153">
        <v>30</v>
      </c>
    </row>
    <row r="113" spans="1:14" s="1104" customFormat="1" ht="24">
      <c r="A113" s="1153">
        <v>53</v>
      </c>
      <c r="B113" s="3440"/>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0" t="s">
        <v>1625</v>
      </c>
      <c r="C116" s="1153" t="s">
        <v>1626</v>
      </c>
      <c r="D116" s="1067" t="s">
        <v>1627</v>
      </c>
      <c r="E116" s="1138">
        <v>0.2</v>
      </c>
      <c r="F116" s="1153">
        <v>30</v>
      </c>
    </row>
    <row r="117" spans="1:14" ht="36">
      <c r="A117" s="1153">
        <v>57</v>
      </c>
      <c r="B117" s="3440"/>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9" t="s">
        <v>1634</v>
      </c>
      <c r="B121" s="3439"/>
      <c r="C121" s="3439"/>
      <c r="D121" s="3439"/>
      <c r="E121" s="3439"/>
      <c r="F121" s="3439"/>
      <c r="G121" s="3439"/>
      <c r="H121" s="3439"/>
      <c r="I121" s="3439"/>
      <c r="J121" s="343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4" t="s">
        <v>1040</v>
      </c>
      <c r="B1" s="3444"/>
      <c r="C1" s="3444"/>
      <c r="D1" s="3444"/>
      <c r="E1" s="3444"/>
      <c r="F1" s="3444"/>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5" t="s">
        <v>1053</v>
      </c>
      <c r="B2" s="3445"/>
      <c r="C2" s="3445"/>
      <c r="D2" s="3445"/>
      <c r="E2" s="3445"/>
      <c r="F2" s="3445"/>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6"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7"/>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8" t="s">
        <v>2080</v>
      </c>
      <c r="B1" s="3448"/>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3" sqref="L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2951</v>
      </c>
      <c r="B1" s="3081"/>
      <c r="C1" s="3081"/>
      <c r="D1" s="3081"/>
      <c r="E1" s="3081"/>
      <c r="F1" s="3081"/>
    </row>
    <row r="2" spans="1:6" ht="14.25">
      <c r="A2" s="3082" t="s">
        <v>2946</v>
      </c>
      <c r="B2" s="3083" t="e">
        <f ca="1">SUMIF(B7:B14,"&lt;&gt;#ref!",B7:B14)</f>
        <v>#DIV/0!</v>
      </c>
      <c r="C2" s="3082" t="s">
        <v>2947</v>
      </c>
      <c r="D2" s="3081"/>
      <c r="E2" s="3081"/>
      <c r="F2" s="3081"/>
    </row>
    <row r="3" spans="1:6" ht="14.25">
      <c r="A3" s="3082" t="s">
        <v>2979</v>
      </c>
      <c r="B3" s="3083" t="e">
        <f ca="1">ROUND(B2*10000/E3,0)</f>
        <v>#DIV/0!</v>
      </c>
      <c r="C3" s="3082" t="s">
        <v>2079</v>
      </c>
      <c r="D3" s="3082" t="s">
        <v>2948</v>
      </c>
      <c r="E3" s="3083">
        <f ca="1">SUMIF(E7:E14,"&lt;&gt;#ref!",E7:E14)</f>
        <v>0</v>
      </c>
      <c r="F3" s="3081"/>
    </row>
    <row r="4" spans="1:6" ht="14.25">
      <c r="A4" s="3082" t="s">
        <v>2955</v>
      </c>
      <c r="B4" s="3083" t="e">
        <f ca="1">ROUND(B2*10000/E4,0)</f>
        <v>#DIV/0!</v>
      </c>
      <c r="C4" s="3082" t="s">
        <v>2079</v>
      </c>
      <c r="D4" s="3082" t="s">
        <v>2956</v>
      </c>
      <c r="E4" s="3083">
        <f ca="1">SUMIF(F7:F14,"&lt;&gt;#ref!",F7:F14)</f>
        <v>0</v>
      </c>
      <c r="F4" s="3081"/>
    </row>
    <row r="5" spans="1:6" ht="14.25">
      <c r="A5" s="3084"/>
      <c r="B5" s="1881"/>
      <c r="C5" s="1881"/>
      <c r="D5" s="1881"/>
      <c r="E5" s="1881"/>
      <c r="F5" s="3081"/>
    </row>
    <row r="6" spans="1:6" ht="28.5">
      <c r="A6" s="3085" t="s">
        <v>2952</v>
      </c>
      <c r="B6" s="3082" t="s">
        <v>2949</v>
      </c>
      <c r="C6" s="3083"/>
      <c r="D6" s="1881"/>
      <c r="E6" s="3082" t="s">
        <v>2950</v>
      </c>
      <c r="F6" s="3082" t="s">
        <v>2954</v>
      </c>
    </row>
    <row r="7" spans="1:6" ht="14.25">
      <c r="A7" s="260" t="s">
        <v>2953</v>
      </c>
      <c r="B7" s="3086" t="e">
        <f ca="1">SUMIF(INDIRECT("'"&amp;A7&amp;"'"&amp;"!A:A"),"总价",INDIRECT("'"&amp;A7&amp;"'"&amp;"!B:B"))</f>
        <v>#DIV/0!</v>
      </c>
      <c r="C7" s="3082" t="s">
        <v>2947</v>
      </c>
      <c r="D7" s="1881"/>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2947</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2947</v>
      </c>
      <c r="D9" s="1881"/>
      <c r="E9" s="3087" t="e">
        <f t="shared" ca="1" si="1"/>
        <v>#REF!</v>
      </c>
      <c r="F9" s="3087" t="e">
        <f t="shared" ca="1" si="2"/>
        <v>#REF!</v>
      </c>
    </row>
    <row r="10" spans="1:6" ht="14.25">
      <c r="A10" s="260"/>
      <c r="B10" s="3086" t="e">
        <f t="shared" ca="1" si="0"/>
        <v>#REF!</v>
      </c>
      <c r="C10" s="3082" t="s">
        <v>2947</v>
      </c>
      <c r="D10" s="1881"/>
      <c r="E10" s="3087" t="e">
        <f t="shared" ca="1" si="1"/>
        <v>#REF!</v>
      </c>
      <c r="F10" s="3087" t="e">
        <f t="shared" ca="1" si="2"/>
        <v>#REF!</v>
      </c>
    </row>
    <row r="11" spans="1:6" ht="14.25">
      <c r="A11" s="260"/>
      <c r="B11" s="3086" t="e">
        <f t="shared" ca="1" si="0"/>
        <v>#REF!</v>
      </c>
      <c r="C11" s="3082" t="s">
        <v>2947</v>
      </c>
      <c r="D11" s="1881"/>
      <c r="E11" s="3087" t="e">
        <f t="shared" ca="1" si="1"/>
        <v>#REF!</v>
      </c>
      <c r="F11" s="3087" t="e">
        <f t="shared" ca="1" si="2"/>
        <v>#REF!</v>
      </c>
    </row>
    <row r="12" spans="1:6" ht="14.25">
      <c r="A12" s="260"/>
      <c r="B12" s="3086" t="e">
        <f t="shared" ca="1" si="0"/>
        <v>#REF!</v>
      </c>
      <c r="C12" s="3082" t="s">
        <v>2947</v>
      </c>
      <c r="D12" s="1881"/>
      <c r="E12" s="3087" t="e">
        <f t="shared" ca="1" si="1"/>
        <v>#REF!</v>
      </c>
      <c r="F12" s="3087" t="e">
        <f t="shared" ca="1" si="2"/>
        <v>#REF!</v>
      </c>
    </row>
    <row r="13" spans="1:6" ht="14.25">
      <c r="A13" s="260"/>
      <c r="B13" s="3086" t="e">
        <f t="shared" ca="1" si="0"/>
        <v>#REF!</v>
      </c>
      <c r="C13" s="3082" t="s">
        <v>2947</v>
      </c>
      <c r="D13" s="1881"/>
      <c r="E13" s="3087" t="e">
        <f t="shared" ca="1" si="1"/>
        <v>#REF!</v>
      </c>
      <c r="F13" s="3087" t="e">
        <f t="shared" ca="1" si="2"/>
        <v>#REF!</v>
      </c>
    </row>
    <row r="14" spans="1:6" ht="14.25">
      <c r="A14" s="3080"/>
      <c r="B14" s="3086" t="e">
        <f t="shared" ca="1" si="0"/>
        <v>#REF!</v>
      </c>
      <c r="C14" s="3082" t="s">
        <v>2947</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3" sqref="L3"/>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-3</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6" t="s">
        <v>695</v>
      </c>
      <c r="I3" s="2057"/>
      <c r="J3" s="2057"/>
      <c r="K3" s="2058"/>
      <c r="L3" s="2057"/>
      <c r="M3" s="2057"/>
    </row>
    <row r="4" spans="1:25" ht="18" customHeight="1">
      <c r="A4" s="1646" t="s">
        <v>696</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2"/>
      <c r="H7" s="781">
        <v>1</v>
      </c>
      <c r="I7" s="782" t="s">
        <v>2459</v>
      </c>
      <c r="J7" s="53">
        <f ca="1">J8+J12+J14</f>
        <v>0</v>
      </c>
      <c r="K7" s="2475" t="s">
        <v>2462</v>
      </c>
      <c r="L7" s="2469"/>
      <c r="M7" s="2470"/>
    </row>
    <row r="8" spans="1:25" ht="18" customHeight="1">
      <c r="A8" s="1830" t="s">
        <v>1825</v>
      </c>
      <c r="B8" s="3450" t="s">
        <v>2464</v>
      </c>
      <c r="C8" s="1825">
        <f ca="1">ROUND(F8*F10*F9*(1-F11)/10000,0)</f>
        <v>0</v>
      </c>
      <c r="D8" s="1822" t="s">
        <v>2535</v>
      </c>
      <c r="E8" s="61" t="s">
        <v>637</v>
      </c>
      <c r="F8" s="785">
        <f ca="1">INDIRECT("'数据-取费表'!u"&amp;$G$1)</f>
        <v>0</v>
      </c>
      <c r="G8" s="1592"/>
      <c r="H8" s="2483" t="s">
        <v>1825</v>
      </c>
      <c r="I8" s="3450" t="s">
        <v>2464</v>
      </c>
      <c r="J8" s="783">
        <f ca="1">ROUND(M8*M10*M9*(1-M11)/10000,0)</f>
        <v>0</v>
      </c>
      <c r="K8" s="341" t="s">
        <v>2535</v>
      </c>
      <c r="L8" s="784" t="s">
        <v>1739</v>
      </c>
      <c r="M8" s="785">
        <f ca="1">INDIRECT("'数据-取费表'!z"&amp;$G$1)</f>
        <v>0</v>
      </c>
    </row>
    <row r="9" spans="1:25" ht="18" customHeight="1">
      <c r="A9" s="2479"/>
      <c r="B9" s="3451"/>
      <c r="C9" s="1826"/>
      <c r="D9" s="1823"/>
      <c r="E9" s="61" t="s">
        <v>638</v>
      </c>
      <c r="F9" s="785">
        <f ca="1">IF(INDIRECT("'数据-取费表'!ah"&amp;$G$1)="",INDIRECT("'数据-取费表'!k"&amp;$G$1),INDIRECT("'数据-取费表'!ah"&amp;$G$1))</f>
        <v>0</v>
      </c>
      <c r="G9" s="1592"/>
      <c r="H9" s="2468"/>
      <c r="I9" s="3451"/>
      <c r="J9" s="788"/>
      <c r="K9" s="789"/>
      <c r="L9" s="784" t="s">
        <v>1740</v>
      </c>
      <c r="M9" s="785">
        <f ca="1">F9</f>
        <v>0</v>
      </c>
    </row>
    <row r="10" spans="1:25" ht="18" customHeight="1">
      <c r="A10" s="2472"/>
      <c r="B10" s="3452"/>
      <c r="C10" s="1826"/>
      <c r="D10" s="1823"/>
      <c r="E10" s="61" t="s">
        <v>639</v>
      </c>
      <c r="F10" s="785">
        <f ca="1">INDIRECT("'数据-取费表'!ai"&amp;$G$1)</f>
        <v>0</v>
      </c>
      <c r="G10" s="1592"/>
      <c r="H10" s="2468"/>
      <c r="I10" s="3452"/>
      <c r="J10" s="788"/>
      <c r="K10" s="789"/>
      <c r="L10" s="784" t="s">
        <v>1741</v>
      </c>
      <c r="M10" s="785">
        <f ca="1">INDIRECT("'数据-取费表'!ai"&amp;$G$1)</f>
        <v>0</v>
      </c>
    </row>
    <row r="11" spans="1:25" ht="18" customHeight="1">
      <c r="A11" s="786"/>
      <c r="B11" s="3453"/>
      <c r="C11" s="1826"/>
      <c r="D11" s="1823"/>
      <c r="E11" s="61" t="s">
        <v>640</v>
      </c>
      <c r="F11" s="794">
        <f ca="1">INDIRECT("'数据-取费表'!w"&amp;$G$1)</f>
        <v>0</v>
      </c>
      <c r="G11" s="1592"/>
      <c r="H11" s="2484"/>
      <c r="I11" s="3452"/>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2"/>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0.01</v>
      </c>
      <c r="G22" s="1593"/>
      <c r="H22" s="1832" t="s">
        <v>1851</v>
      </c>
      <c r="I22" s="1822" t="s">
        <v>668</v>
      </c>
      <c r="J22" s="54">
        <f ca="1">ROUND(M22*M23/10000,0)</f>
        <v>0</v>
      </c>
      <c r="K22" s="814" t="s">
        <v>669</v>
      </c>
      <c r="L22" s="784" t="s">
        <v>670</v>
      </c>
      <c r="M22" s="640">
        <f>'数据-取费表'!B52</f>
        <v>9</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0.01</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3</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6.9999999999999999E-4</v>
      </c>
      <c r="D26" s="255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7"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3"/>
      <c r="H31" s="823" t="s">
        <v>1873</v>
      </c>
      <c r="I31" s="2988"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9</v>
      </c>
      <c r="G36" s="2062"/>
      <c r="H36" s="2065"/>
      <c r="I36" s="3449"/>
      <c r="J36" s="2079"/>
      <c r="K36" s="2080"/>
      <c r="L36" s="2079"/>
      <c r="M36" s="2079"/>
    </row>
    <row r="37" spans="1:18" ht="18" customHeight="1">
      <c r="A37" s="815"/>
      <c r="B37" s="793"/>
      <c r="C37" s="69"/>
      <c r="D37" s="816"/>
      <c r="E37" s="784" t="s">
        <v>674</v>
      </c>
      <c r="F37" s="785">
        <f ca="1">INDIRECT("'数据-取费表'!r"&amp;$G$1)</f>
        <v>0</v>
      </c>
      <c r="G37" s="2062"/>
      <c r="H37" s="2065"/>
      <c r="I37" s="3449"/>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098" t="s">
        <v>2964</v>
      </c>
      <c r="F43" s="3099">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1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00"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6" t="str">
        <f ca="1">IF(M48="住宅",0,IF(L49&gt;J52,L61,J61))</f>
        <v>0</v>
      </c>
      <c r="O47" s="2373" t="s">
        <v>2411</v>
      </c>
      <c r="P47" s="1592"/>
      <c r="Q47" s="1604"/>
      <c r="R47" s="1592"/>
    </row>
    <row r="48" spans="1:18" s="2059" customFormat="1" ht="18" customHeight="1" thickBot="1">
      <c r="A48" s="2084"/>
      <c r="C48" s="2087"/>
      <c r="D48" s="2088"/>
      <c r="E48" s="2088"/>
      <c r="F48" s="2089"/>
      <c r="G48" s="2090"/>
      <c r="I48" s="3126" t="s">
        <v>2345</v>
      </c>
      <c r="J48" s="2360"/>
      <c r="K48" s="3133" t="s">
        <v>2350</v>
      </c>
      <c r="L48" s="3137">
        <f ca="1">INDIRECT("'数据-取费表'!d"&amp;$G$1)</f>
        <v>0</v>
      </c>
      <c r="M48" s="3097"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2" t="s">
        <v>2346</v>
      </c>
      <c r="J49" s="2361"/>
      <c r="K49" s="3134"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2" t="s">
        <v>2347</v>
      </c>
      <c r="J50" s="2362"/>
      <c r="K50" s="3135"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2" t="s">
        <v>2348</v>
      </c>
      <c r="J51" s="3130">
        <f>SUMPRODUCT((I64:I66=J48)*(J63:L63=J49)*(J64:L66))</f>
        <v>0</v>
      </c>
      <c r="K51" s="3135" t="s">
        <v>2354</v>
      </c>
      <c r="L51" s="2363"/>
      <c r="O51" s="2380" t="s">
        <v>2384</v>
      </c>
      <c r="P51" s="2378" t="s">
        <v>2408</v>
      </c>
      <c r="Q51" s="2379">
        <f ca="1">C31</f>
        <v>0</v>
      </c>
      <c r="R51" s="2378" t="s">
        <v>2381</v>
      </c>
    </row>
    <row r="52" spans="1:18" s="2059" customFormat="1" ht="18" customHeight="1" thickBot="1">
      <c r="A52" s="2096"/>
      <c r="F52" s="2085"/>
      <c r="I52" s="3127" t="s">
        <v>2349</v>
      </c>
      <c r="J52" s="3131">
        <f>IF(J50="",J51,J50+J51-YEAR('数据-取费表'!B3))</f>
        <v>0</v>
      </c>
      <c r="K52" s="3102" t="s">
        <v>2355</v>
      </c>
      <c r="L52" s="3138">
        <f ca="1">ROUND(-PV(INDIRECT("'数据-取费表'!h"&amp;$G$1),L49,(C40-C14*J36),0),0)</f>
        <v>0</v>
      </c>
      <c r="O52" s="2380" t="s">
        <v>2385</v>
      </c>
      <c r="P52" s="2378" t="s">
        <v>2386</v>
      </c>
      <c r="Q52" s="2381" t="e">
        <f ca="1">J59</f>
        <v>#VALUE!</v>
      </c>
      <c r="R52" s="2382"/>
    </row>
    <row r="53" spans="1:18" s="2059" customFormat="1" ht="18" customHeight="1" thickBot="1">
      <c r="A53" s="2096"/>
      <c r="F53" s="2085"/>
      <c r="I53" s="3128" t="s">
        <v>2422</v>
      </c>
      <c r="J53" s="2364"/>
      <c r="K53" s="3128" t="s">
        <v>2421</v>
      </c>
      <c r="L53" s="2364"/>
      <c r="O53" s="2380" t="s">
        <v>2387</v>
      </c>
      <c r="P53" s="2378" t="s">
        <v>2388</v>
      </c>
      <c r="Q53" s="2381">
        <f>J53</f>
        <v>0</v>
      </c>
      <c r="R53" s="2382"/>
    </row>
    <row r="54" spans="1:18" s="2059" customFormat="1" ht="29.25" thickBot="1">
      <c r="A54" s="2096"/>
      <c r="I54" s="3129" t="s">
        <v>2980</v>
      </c>
      <c r="J54" s="3132">
        <f ca="1">IF(M48="住宅",MAX(J52,L49-'数据-取费表'!B20),MIN(J52,L49-'数据-取费表'!B20))</f>
        <v>-3</v>
      </c>
      <c r="K54" s="3454"/>
      <c r="L54" s="3455"/>
      <c r="O54" s="2380" t="s">
        <v>2389</v>
      </c>
      <c r="P54" s="2378" t="s">
        <v>2390</v>
      </c>
      <c r="Q54" s="2379">
        <f ca="1">J54</f>
        <v>-3</v>
      </c>
      <c r="R54" s="2378" t="s">
        <v>2391</v>
      </c>
    </row>
    <row r="55" spans="1:18" s="2059" customFormat="1" ht="18" customHeight="1" thickBot="1">
      <c r="A55" s="2096"/>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7" t="s">
        <v>2392</v>
      </c>
      <c r="P55" s="2378" t="s">
        <v>2409</v>
      </c>
      <c r="Q55" s="2379">
        <f ca="1">Q49+Q50</f>
        <v>0</v>
      </c>
      <c r="R55" s="2382" t="s">
        <v>2393</v>
      </c>
    </row>
    <row r="56" spans="1:18" s="2059" customFormat="1" ht="16.5" thickBot="1">
      <c r="A56" s="2096"/>
      <c r="B56" s="2097"/>
      <c r="C56" s="2097"/>
      <c r="I56" s="3141" t="s">
        <v>2356</v>
      </c>
      <c r="J56" s="3077" t="e">
        <f ca="1">ROUND(IF(J48="钢混",J58/J51,1-(1-2%)*(J51-J58)/J51),3)</f>
        <v>#VALUE!</v>
      </c>
      <c r="K56" s="3142" t="s">
        <v>2357</v>
      </c>
      <c r="L56" s="2365"/>
      <c r="O56" s="2383" t="s">
        <v>2412</v>
      </c>
      <c r="P56" s="1592"/>
      <c r="Q56" s="1604"/>
      <c r="R56" s="1592"/>
    </row>
    <row r="57" spans="1:18" s="2059" customFormat="1" ht="43.5" thickBot="1">
      <c r="A57" s="2096"/>
      <c r="B57" s="2097"/>
      <c r="C57" s="2097"/>
      <c r="I57" s="3143" t="s">
        <v>2358</v>
      </c>
      <c r="J57" s="3153" t="s">
        <v>1679</v>
      </c>
      <c r="K57" s="3102" t="s">
        <v>2363</v>
      </c>
      <c r="L57" s="1908">
        <f ca="1">IF(L49&lt;J52,"——",L49-J52)</f>
        <v>0</v>
      </c>
      <c r="O57" s="2374" t="s">
        <v>2376</v>
      </c>
      <c r="P57" s="2375" t="s">
        <v>2377</v>
      </c>
      <c r="Q57" s="2376" t="s">
        <v>2378</v>
      </c>
      <c r="R57" s="2375" t="s">
        <v>2379</v>
      </c>
    </row>
    <row r="58" spans="1:18" s="2059" customFormat="1" ht="29.25" thickBot="1">
      <c r="A58" s="2096"/>
      <c r="B58" s="2097"/>
      <c r="C58" s="2097"/>
      <c r="I58" s="3144" t="s">
        <v>2359</v>
      </c>
      <c r="J58" s="3145" t="str">
        <f ca="1">IF(OR(M48="住宅",J52&lt;L49,J57="是"),"——",J52-L49)</f>
        <v>——</v>
      </c>
      <c r="K58" s="3102"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4" t="s">
        <v>2360</v>
      </c>
      <c r="J59" s="3078" t="e">
        <f ca="1">IF(J56&lt;0.4,0.4,J56)</f>
        <v>#VALUE!</v>
      </c>
      <c r="K59" s="3102"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4" t="s">
        <v>2361</v>
      </c>
      <c r="J60" s="3145" t="str">
        <f ca="1">IF(OR(M48="住宅",J52&lt;L49,J57="是"),"——",ROUND(C30*J59,0))</f>
        <v>——</v>
      </c>
      <c r="K60" s="3102"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6" t="s">
        <v>2362</v>
      </c>
      <c r="J61" s="3147" t="str">
        <f ca="1">IF(OR(M48="住宅",J52&lt;L49,J57="是"),"0",ROUND(J60/(1+J53)^J54,0))</f>
        <v>0</v>
      </c>
      <c r="K61" s="3148" t="s">
        <v>2367</v>
      </c>
      <c r="L61" s="3147"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9" t="s">
        <v>2368</v>
      </c>
      <c r="J63" s="3150" t="s">
        <v>2369</v>
      </c>
      <c r="K63" s="3150" t="s">
        <v>2370</v>
      </c>
      <c r="L63" s="3150" t="s">
        <v>2351</v>
      </c>
      <c r="M63" s="3151" t="s">
        <v>2944</v>
      </c>
      <c r="O63" s="2380" t="s">
        <v>2389</v>
      </c>
      <c r="P63" s="2378" t="s">
        <v>2397</v>
      </c>
      <c r="Q63" s="2379">
        <f ca="1">L60</f>
        <v>0</v>
      </c>
      <c r="R63" s="2382" t="s">
        <v>2398</v>
      </c>
    </row>
    <row r="64" spans="1:18" s="2059" customFormat="1" ht="15.75" thickBot="1">
      <c r="A64" s="2096"/>
      <c r="B64" s="2097"/>
      <c r="C64" s="2097"/>
      <c r="I64" s="3149" t="s">
        <v>2371</v>
      </c>
      <c r="J64" s="3150">
        <v>70</v>
      </c>
      <c r="K64" s="3150">
        <v>50</v>
      </c>
      <c r="L64" s="3150">
        <v>80</v>
      </c>
      <c r="M64" s="3152">
        <v>0.02</v>
      </c>
      <c r="O64" s="2377" t="s">
        <v>2392</v>
      </c>
      <c r="P64" s="2378" t="s">
        <v>2409</v>
      </c>
      <c r="Q64" s="2379" t="e">
        <f ca="1">Q58+Q59</f>
        <v>#DIV/0!</v>
      </c>
      <c r="R64" s="2382" t="s">
        <v>2393</v>
      </c>
    </row>
    <row r="65" spans="1:18" s="2059" customFormat="1" ht="16.5" thickBot="1">
      <c r="A65" s="2096"/>
      <c r="B65" s="2097"/>
      <c r="C65" s="2097"/>
      <c r="I65" s="3149" t="s">
        <v>2372</v>
      </c>
      <c r="J65" s="3150">
        <v>50</v>
      </c>
      <c r="K65" s="3150">
        <v>35</v>
      </c>
      <c r="L65" s="3150">
        <v>60</v>
      </c>
      <c r="M65" s="846">
        <v>0</v>
      </c>
      <c r="O65" s="2383" t="s">
        <v>2416</v>
      </c>
      <c r="P65" s="1592"/>
      <c r="Q65" s="1604"/>
      <c r="R65" s="1592"/>
    </row>
    <row r="66" spans="1:18" s="2059" customFormat="1" ht="15.75" thickBot="1">
      <c r="A66" s="2096"/>
      <c r="B66" s="2097"/>
      <c r="C66" s="2097"/>
      <c r="I66" s="3149" t="s">
        <v>2373</v>
      </c>
      <c r="J66" s="3150">
        <v>40</v>
      </c>
      <c r="K66" s="3150">
        <v>30</v>
      </c>
      <c r="L66" s="3150">
        <v>50</v>
      </c>
      <c r="M66" s="3152">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2" customFormat="1">
      <c r="B1" s="3462" t="s">
        <v>2577</v>
      </c>
      <c r="C1" s="3462"/>
      <c r="D1" s="3462"/>
      <c r="E1" s="3462"/>
      <c r="F1" s="3462"/>
      <c r="G1" s="3461" t="s">
        <v>2578</v>
      </c>
      <c r="H1" s="3461"/>
      <c r="I1" s="3461"/>
      <c r="J1" s="3461"/>
      <c r="K1" s="3461"/>
      <c r="L1" s="3461"/>
      <c r="N1" s="3461" t="s">
        <v>2579</v>
      </c>
      <c r="O1" s="3461"/>
      <c r="P1" s="3461"/>
      <c r="Q1" s="3461"/>
      <c r="R1" s="2633"/>
      <c r="S1" s="3461" t="s">
        <v>2580</v>
      </c>
      <c r="T1" s="3461"/>
      <c r="U1" s="3461"/>
      <c r="V1" s="3461"/>
      <c r="X1" s="3460" t="s">
        <v>2640</v>
      </c>
      <c r="Y1" s="3461"/>
      <c r="Z1" s="3461"/>
      <c r="AA1" s="3461"/>
      <c r="AB1" s="3461"/>
      <c r="AD1" s="3460" t="s">
        <v>2644</v>
      </c>
      <c r="AE1" s="3461"/>
      <c r="AF1" s="3461"/>
      <c r="AG1" s="3461"/>
      <c r="AH1" s="3461"/>
    </row>
    <row r="2" spans="1:34" s="2735" customFormat="1" ht="14.25" thickBot="1">
      <c r="B2" s="2743" t="s">
        <v>2581</v>
      </c>
      <c r="C2" s="2743" t="s">
        <v>2642</v>
      </c>
      <c r="D2" s="2736" t="s">
        <v>1645</v>
      </c>
      <c r="E2" s="2736" t="s">
        <v>1950</v>
      </c>
      <c r="F2" s="2743" t="s">
        <v>2643</v>
      </c>
      <c r="G2" s="2739"/>
      <c r="H2" s="2738"/>
      <c r="I2" s="2743" t="s">
        <v>2958</v>
      </c>
      <c r="J2" s="2736" t="s">
        <v>2960</v>
      </c>
      <c r="K2" s="2736" t="s">
        <v>2961</v>
      </c>
      <c r="L2" s="2743" t="s">
        <v>2962</v>
      </c>
      <c r="N2" s="2743" t="s">
        <v>2581</v>
      </c>
      <c r="O2" s="2736" t="s">
        <v>2959</v>
      </c>
      <c r="P2" s="2736" t="s">
        <v>1950</v>
      </c>
      <c r="Q2" s="2743" t="s">
        <v>2643</v>
      </c>
      <c r="R2" s="2737"/>
      <c r="S2" s="2743" t="s">
        <v>2581</v>
      </c>
      <c r="T2" s="2736" t="s">
        <v>2959</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10" customFormat="1" ht="14.25">
      <c r="A3" s="3122" t="s">
        <v>2971</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8" customFormat="1" ht="14.25">
      <c r="B4" s="2729"/>
      <c r="C4" s="2729"/>
      <c r="D4" s="2730"/>
      <c r="E4" s="2730"/>
      <c r="F4" s="2729"/>
      <c r="G4" s="2734"/>
      <c r="H4" s="2731"/>
      <c r="I4" s="3103"/>
      <c r="J4" s="3103"/>
      <c r="K4" s="3103"/>
      <c r="L4" s="3103"/>
      <c r="N4" s="2734"/>
      <c r="O4" s="2732"/>
      <c r="P4" s="2732"/>
      <c r="Q4" s="2732"/>
      <c r="R4" s="2732"/>
      <c r="S4" s="2734"/>
      <c r="T4" s="2732"/>
      <c r="U4" s="2732"/>
      <c r="V4" s="2732"/>
      <c r="W4" s="3119"/>
      <c r="X4" s="2733"/>
      <c r="Y4" s="2733"/>
      <c r="Z4" s="2733"/>
      <c r="AA4" s="2733"/>
      <c r="AB4" s="2733"/>
      <c r="AD4" s="2653"/>
      <c r="AE4" s="2653"/>
      <c r="AF4" s="2653"/>
      <c r="AG4" s="2653"/>
      <c r="AH4" s="2653"/>
    </row>
    <row r="5" spans="1:34" s="3091" customFormat="1">
      <c r="A5" s="3089" t="s">
        <v>2983</v>
      </c>
      <c r="B5" s="2774">
        <f>B6*(1+N5)</f>
        <v>459.95733971036987</v>
      </c>
      <c r="C5" s="2774">
        <f t="shared" ref="C5" si="2">C6*(1+O5)</f>
        <v>341.22221064422405</v>
      </c>
      <c r="D5" s="2774">
        <f t="shared" ref="D5" si="3">C5</f>
        <v>341.22221064422405</v>
      </c>
      <c r="E5" s="2774">
        <f t="shared" ref="E5" si="4">E6*(1+P5)</f>
        <v>657.19161663724799</v>
      </c>
      <c r="F5" s="2774">
        <f t="shared" ref="F5" si="5">F6*(1+Q5)</f>
        <v>300.87803644464805</v>
      </c>
      <c r="G5" s="2734">
        <v>2018</v>
      </c>
      <c r="H5" s="3090">
        <v>4</v>
      </c>
      <c r="I5" s="3104">
        <v>0</v>
      </c>
      <c r="J5" s="3104">
        <v>0</v>
      </c>
      <c r="K5" s="3104">
        <v>0</v>
      </c>
      <c r="L5" s="3104">
        <v>0</v>
      </c>
      <c r="N5" s="2741">
        <f t="shared" ref="N5" si="6">I5/100</f>
        <v>0</v>
      </c>
      <c r="O5" s="2741">
        <f t="shared" ref="O5" si="7">J5/100</f>
        <v>0</v>
      </c>
      <c r="P5" s="2741">
        <f t="shared" ref="P5" si="8">K5/100</f>
        <v>0</v>
      </c>
      <c r="Q5" s="2741">
        <f t="shared" ref="Q5" si="9">L5/100</f>
        <v>0</v>
      </c>
      <c r="R5" s="3092"/>
      <c r="S5" s="3093"/>
      <c r="T5" s="3092"/>
      <c r="U5" s="3092"/>
      <c r="V5" s="3092"/>
      <c r="W5" s="3120" t="s">
        <v>2972</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40" customFormat="1" ht="13.5" thickBot="1">
      <c r="A6" s="2634" t="s">
        <v>2981</v>
      </c>
      <c r="B6" s="2648">
        <f>B7*(1+N6)</f>
        <v>459.95733971036987</v>
      </c>
      <c r="C6" s="2648">
        <f t="shared" ref="C6" si="12">C7*(1+O6)</f>
        <v>341.22221064422405</v>
      </c>
      <c r="D6" s="2648">
        <f t="shared" ref="D6" si="13">C6</f>
        <v>341.22221064422405</v>
      </c>
      <c r="E6" s="2648">
        <f t="shared" ref="E6" si="14">E7*(1+P6)</f>
        <v>657.19161663724799</v>
      </c>
      <c r="F6" s="2648">
        <f t="shared" ref="F6" si="15">F7*(1+Q6)</f>
        <v>300.87803644464805</v>
      </c>
      <c r="G6" s="3109"/>
      <c r="H6" s="2638">
        <v>3</v>
      </c>
      <c r="I6" s="2638">
        <v>1.51</v>
      </c>
      <c r="J6" s="2638">
        <v>1.41</v>
      </c>
      <c r="K6" s="2638">
        <v>1.52</v>
      </c>
      <c r="L6" s="2649">
        <v>1.74</v>
      </c>
      <c r="M6" s="2642"/>
      <c r="N6" s="2643">
        <f t="shared" ref="N6" si="16">I6/100</f>
        <v>1.5100000000000001E-2</v>
      </c>
      <c r="O6" s="2644">
        <f t="shared" ref="O6" si="17">J6/100</f>
        <v>1.41E-2</v>
      </c>
      <c r="P6" s="2644">
        <f t="shared" ref="P6" si="18">K6/100</f>
        <v>1.52E-2</v>
      </c>
      <c r="Q6" s="2644">
        <f t="shared" ref="Q6" si="19">L6/100</f>
        <v>1.7399999999999999E-2</v>
      </c>
      <c r="R6" s="2645"/>
      <c r="S6" s="2651"/>
      <c r="T6" s="2652"/>
      <c r="U6" s="2652"/>
      <c r="V6" s="2652"/>
      <c r="W6" s="2642"/>
      <c r="X6" s="2733">
        <f>ROUND(SUMPRODUCT(PRODUCT(1+N6:N$23)),4)</f>
        <v>1.4956</v>
      </c>
      <c r="Y6" s="2733">
        <f>ROUND(SUMPRODUCT(PRODUCT(1+O6:O$23)),4)</f>
        <v>1.3237000000000001</v>
      </c>
      <c r="Z6" s="2733">
        <f t="shared" ref="Z6" si="20">Y6</f>
        <v>1.3237000000000001</v>
      </c>
      <c r="AA6" s="2733">
        <f>ROUND(SUMPRODUCT(PRODUCT(1+P6:P$23)),4)</f>
        <v>1.554</v>
      </c>
      <c r="AB6" s="2733">
        <f>ROUND(SUMPRODUCT(PRODUCT(1+Q6:Q$23)),4)</f>
        <v>1.3087</v>
      </c>
      <c r="AC6" s="2642"/>
      <c r="AD6" s="2653">
        <f>ROUND(AVERAGE(I6:I$24)/100,4)</f>
        <v>2.3099999999999999E-2</v>
      </c>
      <c r="AE6" s="2653">
        <f>ROUND(AVERAGE(J6:J$24)/100,4)</f>
        <v>1.61E-2</v>
      </c>
      <c r="AF6" s="2653">
        <f t="shared" ref="AF6" si="21">AE6</f>
        <v>1.61E-2</v>
      </c>
      <c r="AG6" s="2653">
        <f>ROUND(AVERAGE(K6:K$24)/100,4)</f>
        <v>2.53E-2</v>
      </c>
      <c r="AH6" s="2653">
        <f>ROUND(AVERAGE(L6:L$24)/100,4)</f>
        <v>1.4999999999999999E-2</v>
      </c>
    </row>
    <row r="7" spans="1:34" s="2740" customFormat="1" ht="13.5" thickBot="1">
      <c r="A7" s="2634" t="s">
        <v>2982</v>
      </c>
      <c r="B7" s="2648">
        <f>B8*(1+N7)</f>
        <v>453.11529869999993</v>
      </c>
      <c r="C7" s="2648">
        <f t="shared" ref="C7" si="22">C8*(1+O7)</f>
        <v>336.47787264000004</v>
      </c>
      <c r="D7" s="2648">
        <f t="shared" ref="D7" si="23">C7</f>
        <v>336.47787264000004</v>
      </c>
      <c r="E7" s="2648">
        <f t="shared" ref="E7" si="24">E8*(1+P7)</f>
        <v>647.35186823999993</v>
      </c>
      <c r="F7" s="2648">
        <f t="shared" ref="F7" si="25">F8*(1+Q7)</f>
        <v>295.73229452000004</v>
      </c>
      <c r="G7" s="3109"/>
      <c r="H7" s="2638">
        <v>2</v>
      </c>
      <c r="I7" s="2638">
        <v>1.49</v>
      </c>
      <c r="J7" s="2638">
        <v>0.96</v>
      </c>
      <c r="K7" s="2638">
        <v>1.58</v>
      </c>
      <c r="L7" s="2649">
        <v>2.44</v>
      </c>
      <c r="M7" s="2642"/>
      <c r="N7" s="2643">
        <f t="shared" ref="N7" si="26">I7/100</f>
        <v>1.49E-2</v>
      </c>
      <c r="O7" s="2644">
        <f t="shared" ref="O7" si="27">J7/100</f>
        <v>9.5999999999999992E-3</v>
      </c>
      <c r="P7" s="2644">
        <f t="shared" ref="P7" si="28">K7/100</f>
        <v>1.5800000000000002E-2</v>
      </c>
      <c r="Q7" s="2644">
        <f t="shared" ref="Q7" si="29">L7/100</f>
        <v>2.4399999999999998E-2</v>
      </c>
      <c r="R7" s="2645"/>
      <c r="S7" s="2651"/>
      <c r="T7" s="2652"/>
      <c r="U7" s="2652"/>
      <c r="V7" s="2652"/>
      <c r="W7" s="2642"/>
      <c r="X7" s="2733">
        <f>ROUND(SUMPRODUCT(PRODUCT(1+N7:N$23)),4)</f>
        <v>1.4733000000000001</v>
      </c>
      <c r="Y7" s="2733">
        <f>ROUND(SUMPRODUCT(PRODUCT(1+O7:O$23)),4)</f>
        <v>1.3052999999999999</v>
      </c>
      <c r="Z7" s="2733">
        <f t="shared" ref="Z7" si="30">Y7</f>
        <v>1.3052999999999999</v>
      </c>
      <c r="AA7" s="2733">
        <f>ROUND(SUMPRODUCT(PRODUCT(1+P7:P$23)),4)</f>
        <v>1.5306999999999999</v>
      </c>
      <c r="AB7" s="2733">
        <f>ROUND(SUMPRODUCT(PRODUCT(1+Q7:Q$23)),4)</f>
        <v>1.2863</v>
      </c>
      <c r="AC7" s="2642"/>
      <c r="AD7" s="2653">
        <f>ROUND(AVERAGE(I7:I$24)/100,4)</f>
        <v>2.35E-2</v>
      </c>
      <c r="AE7" s="2653">
        <f>ROUND(AVERAGE(J7:J$24)/100,4)</f>
        <v>1.6199999999999999E-2</v>
      </c>
      <c r="AF7" s="2653">
        <f t="shared" ref="AF7" si="31">AE7</f>
        <v>1.6199999999999999E-2</v>
      </c>
      <c r="AG7" s="2653">
        <f>ROUND(AVERAGE(K7:K$24)/100,4)</f>
        <v>2.5899999999999999E-2</v>
      </c>
      <c r="AH7" s="2653">
        <f>ROUND(AVERAGE(L7:L$24)/100,4)</f>
        <v>1.49E-2</v>
      </c>
    </row>
    <row r="8" spans="1:34" s="2740" customFormat="1" ht="13.5" thickBot="1">
      <c r="A8" s="2634" t="s">
        <v>2978</v>
      </c>
      <c r="B8" s="2648">
        <f>B9*(1+N8)</f>
        <v>446.46299999999997</v>
      </c>
      <c r="C8" s="2648">
        <f t="shared" ref="C8" si="32">C9*(1+O8)</f>
        <v>333.27840000000003</v>
      </c>
      <c r="D8" s="2648">
        <f t="shared" ref="D8:D13" si="33">C8</f>
        <v>333.27840000000003</v>
      </c>
      <c r="E8" s="2648">
        <f t="shared" ref="E8" si="34">E9*(1+P8)</f>
        <v>637.28279999999995</v>
      </c>
      <c r="F8" s="2648">
        <f t="shared" ref="F8" si="35">F9*(1+Q8)</f>
        <v>288.68830000000003</v>
      </c>
      <c r="G8" s="3109"/>
      <c r="H8" s="2638">
        <v>1</v>
      </c>
      <c r="I8" s="2638">
        <v>1.7</v>
      </c>
      <c r="J8" s="2638">
        <v>1.92</v>
      </c>
      <c r="K8" s="2638">
        <v>1.64</v>
      </c>
      <c r="L8" s="2649">
        <v>2.0099999999999998</v>
      </c>
      <c r="M8" s="2642"/>
      <c r="N8" s="2643">
        <f t="shared" ref="N8:N13" si="36">I8/100</f>
        <v>1.7000000000000001E-2</v>
      </c>
      <c r="O8" s="2644">
        <f t="shared" ref="O8" si="37">J8/100</f>
        <v>1.9199999999999998E-2</v>
      </c>
      <c r="P8" s="2644">
        <f t="shared" ref="P8" si="38">K8/100</f>
        <v>1.6399999999999998E-2</v>
      </c>
      <c r="Q8" s="2644">
        <f t="shared" ref="Q8" si="39">L8/100</f>
        <v>2.0099999999999996E-2</v>
      </c>
      <c r="R8" s="2645"/>
      <c r="S8" s="2651">
        <f>B8/B9-1</f>
        <v>1.6999999999999904E-2</v>
      </c>
      <c r="T8" s="2652">
        <f>C8/C9-1</f>
        <v>1.9200000000000106E-2</v>
      </c>
      <c r="U8" s="2652">
        <f>E8/E9-1</f>
        <v>1.639999999999997E-2</v>
      </c>
      <c r="V8" s="2652">
        <f>F8/F9-1</f>
        <v>2.0100000000000007E-2</v>
      </c>
      <c r="W8" s="2642"/>
      <c r="X8" s="2733">
        <f>ROUND(SUMPRODUCT(PRODUCT(1+N8:N$23)),4)</f>
        <v>1.4517</v>
      </c>
      <c r="Y8" s="2733">
        <f>ROUND(SUMPRODUCT(PRODUCT(1+O8:O$23)),4)</f>
        <v>1.2928999999999999</v>
      </c>
      <c r="Z8" s="2733">
        <f t="shared" ref="Z8" si="40">Y8</f>
        <v>1.2928999999999999</v>
      </c>
      <c r="AA8" s="2733">
        <f>ROUND(SUMPRODUCT(PRODUCT(1+P8:P$23)),4)</f>
        <v>1.5068999999999999</v>
      </c>
      <c r="AB8" s="2733">
        <f>ROUND(SUMPRODUCT(PRODUCT(1+Q8:Q$23)),4)</f>
        <v>1.2557</v>
      </c>
      <c r="AC8" s="2642"/>
      <c r="AD8" s="2653">
        <f>ROUND(AVERAGE(I8:I$24)/100,4)</f>
        <v>2.4E-2</v>
      </c>
      <c r="AE8" s="2653">
        <f>ROUND(AVERAGE(J8:J$24)/100,4)</f>
        <v>1.66E-2</v>
      </c>
      <c r="AF8" s="2653">
        <f t="shared" ref="AF8" si="41">AE8</f>
        <v>1.66E-2</v>
      </c>
      <c r="AG8" s="2653">
        <f>ROUND(AVERAGE(K8:K$24)/100,4)</f>
        <v>2.6499999999999999E-2</v>
      </c>
      <c r="AH8" s="2653">
        <f>ROUND(AVERAGE(L8:L$24)/100,4)</f>
        <v>1.43E-2</v>
      </c>
    </row>
    <row r="9" spans="1:34">
      <c r="A9" s="2634" t="s">
        <v>2969</v>
      </c>
      <c r="B9" s="3124">
        <v>439</v>
      </c>
      <c r="C9" s="3124">
        <v>327</v>
      </c>
      <c r="D9" s="3124">
        <f t="shared" si="33"/>
        <v>327</v>
      </c>
      <c r="E9" s="3124">
        <v>627</v>
      </c>
      <c r="F9" s="3125">
        <v>283</v>
      </c>
      <c r="G9" s="3107">
        <v>2017</v>
      </c>
      <c r="H9" s="2635">
        <v>4</v>
      </c>
      <c r="I9" s="2635">
        <v>1.71</v>
      </c>
      <c r="J9" s="2635">
        <v>1.78</v>
      </c>
      <c r="K9" s="2635">
        <v>1.71</v>
      </c>
      <c r="L9" s="2636">
        <v>1.43</v>
      </c>
      <c r="N9" s="2656">
        <f t="shared" si="36"/>
        <v>1.7100000000000001E-2</v>
      </c>
      <c r="O9" s="2657">
        <f t="shared" ref="O9" si="42">J9/100</f>
        <v>1.78E-2</v>
      </c>
      <c r="P9" s="2657">
        <f t="shared" ref="P9" si="43">K9/100</f>
        <v>1.7100000000000001E-2</v>
      </c>
      <c r="Q9" s="2657">
        <f t="shared" ref="Q9" si="44">L9/100</f>
        <v>1.43E-2</v>
      </c>
      <c r="R9" s="2645"/>
      <c r="S9" s="2646"/>
      <c r="T9" s="2647"/>
      <c r="U9" s="2647"/>
      <c r="V9" s="2647"/>
      <c r="X9" s="2733">
        <f>ROUND(SUMPRODUCT(PRODUCT(1+N9:N$23)),4)</f>
        <v>1.4274</v>
      </c>
      <c r="Y9" s="2733">
        <f>ROUND(SUMPRODUCT(PRODUCT(1+O9:O$23)),4)</f>
        <v>1.2685</v>
      </c>
      <c r="Z9" s="2733">
        <f t="shared" si="0"/>
        <v>1.2685</v>
      </c>
      <c r="AA9" s="2733">
        <f>ROUND(SUMPRODUCT(PRODUCT(1+P9:P$23)),4)</f>
        <v>1.4825999999999999</v>
      </c>
      <c r="AB9" s="2733">
        <f>ROUND(SUMPRODUCT(PRODUCT(1+Q9:Q$23)),4)</f>
        <v>1.2309000000000001</v>
      </c>
      <c r="AD9" s="2653">
        <f>ROUND(AVERAGE(I9:I$24)/100,4)</f>
        <v>2.4500000000000001E-2</v>
      </c>
      <c r="AE9" s="2653">
        <f>ROUND(AVERAGE(J9:J$24)/100,4)</f>
        <v>1.6500000000000001E-2</v>
      </c>
      <c r="AF9" s="2653">
        <f t="shared" si="1"/>
        <v>1.6500000000000001E-2</v>
      </c>
      <c r="AG9" s="2653">
        <f>ROUND(AVERAGE(K9:K$24)/100,4)</f>
        <v>2.7099999999999999E-2</v>
      </c>
      <c r="AH9" s="2653">
        <f>ROUND(AVERAGE(L9:L$24)/100,4)</f>
        <v>1.3899999999999999E-2</v>
      </c>
    </row>
    <row r="10" spans="1:34" s="2740" customFormat="1" ht="13.5" thickBot="1">
      <c r="A10" s="2634" t="s">
        <v>2973</v>
      </c>
      <c r="B10" s="2648">
        <f t="shared" ref="B10:C12" si="45">B11*(1+N10)</f>
        <v>431.80730811680002</v>
      </c>
      <c r="C10" s="2648">
        <f t="shared" si="45"/>
        <v>320.57880516480003</v>
      </c>
      <c r="D10" s="2648">
        <f t="shared" si="33"/>
        <v>320.57880516480003</v>
      </c>
      <c r="E10" s="2648">
        <f t="shared" ref="E10:F12" si="46">E11*(1+P10)</f>
        <v>615.96110553196797</v>
      </c>
      <c r="F10" s="2648">
        <f t="shared" si="46"/>
        <v>279.46777300108801</v>
      </c>
      <c r="G10" s="3109"/>
      <c r="H10" s="2638">
        <v>3</v>
      </c>
      <c r="I10" s="2638">
        <v>2.98</v>
      </c>
      <c r="J10" s="2638">
        <v>2.11</v>
      </c>
      <c r="K10" s="2638">
        <v>3.24</v>
      </c>
      <c r="L10" s="2649">
        <v>1.72</v>
      </c>
      <c r="M10" s="2642"/>
      <c r="N10" s="2643">
        <f t="shared" si="36"/>
        <v>2.98E-2</v>
      </c>
      <c r="O10" s="2661">
        <f t="shared" ref="O10:O11" si="47">J10/100</f>
        <v>2.1099999999999997E-2</v>
      </c>
      <c r="P10" s="2661">
        <f t="shared" ref="P10:P11" si="48">K10/100</f>
        <v>3.2400000000000005E-2</v>
      </c>
      <c r="Q10" s="2661">
        <f t="shared" ref="Q10:Q11" si="49">L10/100</f>
        <v>1.72E-2</v>
      </c>
      <c r="R10" s="2645"/>
      <c r="S10" s="2651"/>
      <c r="T10" s="2652"/>
      <c r="U10" s="2652"/>
      <c r="V10" s="2652"/>
      <c r="W10" s="2642"/>
      <c r="X10" s="2733">
        <f>ROUND(SUMPRODUCT(PRODUCT(1+N10:N$23)),4)</f>
        <v>1.4034</v>
      </c>
      <c r="Y10" s="2733">
        <f>ROUND(SUMPRODUCT(PRODUCT(1+O10:O$23)),4)</f>
        <v>1.2463</v>
      </c>
      <c r="Z10" s="2733">
        <f t="shared" si="0"/>
        <v>1.2463</v>
      </c>
      <c r="AA10" s="2733">
        <f>ROUND(SUMPRODUCT(PRODUCT(1+P10:P$23)),4)</f>
        <v>1.4577</v>
      </c>
      <c r="AB10" s="2733">
        <f>ROUND(SUMPRODUCT(PRODUCT(1+Q10:Q$23)),4)</f>
        <v>1.2136</v>
      </c>
      <c r="AC10" s="2642"/>
      <c r="AD10" s="2653">
        <f>ROUND(AVERAGE(I10:I$24)/100,4)</f>
        <v>2.4899999999999999E-2</v>
      </c>
      <c r="AE10" s="2653">
        <f>ROUND(AVERAGE(J10:J$24)/100,4)</f>
        <v>1.6400000000000001E-2</v>
      </c>
      <c r="AF10" s="2653">
        <f t="shared" si="1"/>
        <v>1.6400000000000001E-2</v>
      </c>
      <c r="AG10" s="2653">
        <f>ROUND(AVERAGE(K10:K$24)/100,4)</f>
        <v>2.7799999999999998E-2</v>
      </c>
      <c r="AH10" s="2653">
        <f>ROUND(AVERAGE(L10:L$24)/100,4)</f>
        <v>1.3899999999999999E-2</v>
      </c>
    </row>
    <row r="11" spans="1:34" s="2632" customFormat="1">
      <c r="A11" s="2634" t="s">
        <v>2582</v>
      </c>
      <c r="B11" s="2648">
        <f t="shared" si="45"/>
        <v>419.31181600000002</v>
      </c>
      <c r="C11" s="2648">
        <f t="shared" si="45"/>
        <v>313.95436800000004</v>
      </c>
      <c r="D11" s="2648">
        <f t="shared" si="33"/>
        <v>313.95436800000004</v>
      </c>
      <c r="E11" s="2648">
        <f t="shared" si="46"/>
        <v>596.63028431999999</v>
      </c>
      <c r="F11" s="2648">
        <f t="shared" si="46"/>
        <v>274.74220703999998</v>
      </c>
      <c r="G11" s="3108"/>
      <c r="H11" s="2639">
        <v>2</v>
      </c>
      <c r="I11" s="2639">
        <v>3.4</v>
      </c>
      <c r="J11" s="2639">
        <v>2</v>
      </c>
      <c r="K11" s="2639">
        <v>3.82</v>
      </c>
      <c r="L11" s="2650">
        <v>1.68</v>
      </c>
      <c r="N11" s="2643">
        <f t="shared" si="36"/>
        <v>3.4000000000000002E-2</v>
      </c>
      <c r="O11" s="2661">
        <f t="shared" si="47"/>
        <v>0.02</v>
      </c>
      <c r="P11" s="2661">
        <f t="shared" si="48"/>
        <v>3.8199999999999998E-2</v>
      </c>
      <c r="Q11" s="2661">
        <f t="shared" si="49"/>
        <v>1.6799999999999999E-2</v>
      </c>
      <c r="R11" s="2633"/>
      <c r="S11" s="2637"/>
      <c r="T11" s="2633"/>
      <c r="U11" s="2633"/>
      <c r="V11" s="2633"/>
      <c r="X11" s="2733">
        <f>ROUND(SUMPRODUCT(PRODUCT(1+N11:N$23)),4)</f>
        <v>1.3628</v>
      </c>
      <c r="Y11" s="2733">
        <f>ROUND(SUMPRODUCT(PRODUCT(1+O11:O$23)),4)</f>
        <v>1.2205999999999999</v>
      </c>
      <c r="Z11" s="2733">
        <f t="shared" si="0"/>
        <v>1.2205999999999999</v>
      </c>
      <c r="AA11" s="2733">
        <f>ROUND(SUMPRODUCT(PRODUCT(1+P11:P$23)),4)</f>
        <v>1.4118999999999999</v>
      </c>
      <c r="AB11" s="2733">
        <f>ROUND(SUMPRODUCT(PRODUCT(1+Q11:Q$23)),4)</f>
        <v>1.1930000000000001</v>
      </c>
      <c r="AD11" s="2653">
        <f>ROUND(AVERAGE(I11:I$24)/100,4)</f>
        <v>2.46E-2</v>
      </c>
      <c r="AE11" s="2653">
        <f>ROUND(AVERAGE(J11:J$24)/100,4)</f>
        <v>1.6E-2</v>
      </c>
      <c r="AF11" s="2653">
        <f t="shared" si="1"/>
        <v>1.6E-2</v>
      </c>
      <c r="AG11" s="2653">
        <f>ROUND(AVERAGE(K11:K$24)/100,4)</f>
        <v>2.75E-2</v>
      </c>
      <c r="AH11" s="2653">
        <f>ROUND(AVERAGE(L11:L$24)/100,4)</f>
        <v>1.37E-2</v>
      </c>
    </row>
    <row r="12" spans="1:34" s="2740" customFormat="1" ht="13.5" thickBot="1">
      <c r="A12" s="2634" t="s">
        <v>2583</v>
      </c>
      <c r="B12" s="2648">
        <f t="shared" si="45"/>
        <v>405.524</v>
      </c>
      <c r="C12" s="2648">
        <f t="shared" si="45"/>
        <v>307.79840000000002</v>
      </c>
      <c r="D12" s="2648">
        <f t="shared" si="33"/>
        <v>307.79840000000002</v>
      </c>
      <c r="E12" s="2648">
        <f t="shared" si="46"/>
        <v>574.67759999999998</v>
      </c>
      <c r="F12" s="2648">
        <f t="shared" si="46"/>
        <v>270.20280000000002</v>
      </c>
      <c r="G12" s="3109"/>
      <c r="H12" s="2638">
        <v>1</v>
      </c>
      <c r="I12" s="2638">
        <v>3.45</v>
      </c>
      <c r="J12" s="2638">
        <v>1.92</v>
      </c>
      <c r="K12" s="2638">
        <v>3.92</v>
      </c>
      <c r="L12" s="2649">
        <v>1.58</v>
      </c>
      <c r="M12" s="2642"/>
      <c r="N12" s="2651">
        <f t="shared" si="36"/>
        <v>3.4500000000000003E-2</v>
      </c>
      <c r="O12" s="2652">
        <f t="shared" ref="O12" si="50">J12/100</f>
        <v>1.9199999999999998E-2</v>
      </c>
      <c r="P12" s="2652">
        <f t="shared" ref="P12" si="51">K12/100</f>
        <v>3.9199999999999999E-2</v>
      </c>
      <c r="Q12" s="2652">
        <f t="shared" ref="Q12" si="52">L12/100</f>
        <v>1.5800000000000002E-2</v>
      </c>
      <c r="R12" s="2645"/>
      <c r="S12" s="2651">
        <f>B12/B13-1</f>
        <v>3.4499999999999975E-2</v>
      </c>
      <c r="T12" s="2652">
        <f>C12/C13-1</f>
        <v>1.9200000000000106E-2</v>
      </c>
      <c r="U12" s="2652">
        <f>E12/E13-1</f>
        <v>3.9199999999999902E-2</v>
      </c>
      <c r="V12" s="2652">
        <f>F12/F13-1</f>
        <v>1.5800000000000036E-2</v>
      </c>
      <c r="W12" s="2642"/>
      <c r="X12" s="2733">
        <f>ROUND(SUMPRODUCT(PRODUCT(1+N12:N$23)),4)</f>
        <v>1.3180000000000001</v>
      </c>
      <c r="Y12" s="2733">
        <f>ROUND(SUMPRODUCT(PRODUCT(1+O12:O$23)),4)</f>
        <v>1.1966000000000001</v>
      </c>
      <c r="Z12" s="2733">
        <f t="shared" si="0"/>
        <v>1.1966000000000001</v>
      </c>
      <c r="AA12" s="2733">
        <f>ROUND(SUMPRODUCT(PRODUCT(1+P12:P$23)),4)</f>
        <v>1.36</v>
      </c>
      <c r="AB12" s="2733">
        <f>ROUND(SUMPRODUCT(PRODUCT(1+Q12:Q$23)),4)</f>
        <v>1.1733</v>
      </c>
      <c r="AC12" s="2642"/>
      <c r="AD12" s="2653">
        <f>ROUND(AVERAGE(I12:I$24)/100,4)</f>
        <v>2.3900000000000001E-2</v>
      </c>
      <c r="AE12" s="2653">
        <f>ROUND(AVERAGE(J12:J$24)/100,4)</f>
        <v>1.5699999999999999E-2</v>
      </c>
      <c r="AF12" s="2653">
        <f t="shared" si="1"/>
        <v>1.5699999999999999E-2</v>
      </c>
      <c r="AG12" s="2653">
        <f>ROUND(AVERAGE(K12:K$24)/100,4)</f>
        <v>2.6599999999999999E-2</v>
      </c>
      <c r="AH12" s="2653">
        <f>ROUND(AVERAGE(L12:L$24)/100,4)</f>
        <v>1.34E-2</v>
      </c>
    </row>
    <row r="13" spans="1:34">
      <c r="A13" s="2634" t="s">
        <v>971</v>
      </c>
      <c r="B13" s="2640">
        <v>392</v>
      </c>
      <c r="C13" s="2640">
        <v>302</v>
      </c>
      <c r="D13" s="2640">
        <f t="shared" si="33"/>
        <v>302</v>
      </c>
      <c r="E13" s="2640">
        <v>553</v>
      </c>
      <c r="F13" s="2641">
        <v>266</v>
      </c>
      <c r="G13" s="3459">
        <v>2016</v>
      </c>
      <c r="H13" s="2635">
        <v>4</v>
      </c>
      <c r="I13" s="2635">
        <v>4.5599999999999996</v>
      </c>
      <c r="J13" s="2635">
        <v>2.15</v>
      </c>
      <c r="K13" s="2635">
        <v>5.32</v>
      </c>
      <c r="L13" s="2636">
        <v>1.57</v>
      </c>
      <c r="N13" s="2643">
        <f t="shared" si="36"/>
        <v>4.5599999999999995E-2</v>
      </c>
      <c r="O13" s="2644">
        <f t="shared" ref="O13:Q28" si="53">J13/100</f>
        <v>2.1499999999999998E-2</v>
      </c>
      <c r="P13" s="2644">
        <f t="shared" si="53"/>
        <v>5.3200000000000004E-2</v>
      </c>
      <c r="Q13" s="2644">
        <f t="shared" si="53"/>
        <v>1.5700000000000002E-2</v>
      </c>
      <c r="R13" s="2645"/>
      <c r="S13" s="2646"/>
      <c r="T13" s="2647"/>
      <c r="U13" s="2647"/>
      <c r="V13" s="2647"/>
      <c r="X13" s="2733">
        <f>ROUND(SUMPRODUCT(PRODUCT(1+N13:N$23)),4)</f>
        <v>1.274</v>
      </c>
      <c r="Y13" s="2733">
        <f>ROUND(SUMPRODUCT(PRODUCT(1+O13:O$23)),4)</f>
        <v>1.1740999999999999</v>
      </c>
      <c r="Z13" s="2733">
        <f t="shared" si="0"/>
        <v>1.1740999999999999</v>
      </c>
      <c r="AA13" s="2733">
        <f>ROUND(SUMPRODUCT(PRODUCT(1+P13:P$23)),4)</f>
        <v>1.3087</v>
      </c>
      <c r="AB13" s="2733">
        <f>ROUND(SUMPRODUCT(PRODUCT(1+Q13:Q$23)),4)</f>
        <v>1.1551</v>
      </c>
      <c r="AD13" s="2653">
        <f>ROUND(AVERAGE(I13:I$24)/100,4)</f>
        <v>2.3E-2</v>
      </c>
      <c r="AE13" s="2653">
        <f>ROUND(AVERAGE(J13:J$24)/100,4)</f>
        <v>1.55E-2</v>
      </c>
      <c r="AF13" s="2653">
        <f t="shared" si="1"/>
        <v>1.55E-2</v>
      </c>
      <c r="AG13" s="2653">
        <f>ROUND(AVERAGE(K13:K$24)/100,4)</f>
        <v>2.5600000000000001E-2</v>
      </c>
      <c r="AH13" s="2653">
        <f>ROUND(AVERAGE(L13:L$24)/100,4)</f>
        <v>1.32E-2</v>
      </c>
    </row>
    <row r="14" spans="1:34">
      <c r="A14" s="2634" t="s">
        <v>970</v>
      </c>
      <c r="B14" s="2648">
        <f t="shared" ref="B14:C16" si="54">B13/(1+N13)</f>
        <v>374.90436113236416</v>
      </c>
      <c r="C14" s="2648">
        <f t="shared" si="54"/>
        <v>295.64366128242779</v>
      </c>
      <c r="D14" s="2648">
        <f t="shared" ref="D14:D73" si="55">C14</f>
        <v>295.64366128242779</v>
      </c>
      <c r="E14" s="2648">
        <f t="shared" ref="E14:F16" si="56">E13/(1+P13)</f>
        <v>525.06646410938095</v>
      </c>
      <c r="F14" s="2648">
        <f t="shared" si="56"/>
        <v>261.88835286009646</v>
      </c>
      <c r="G14" s="3457"/>
      <c r="H14" s="2638">
        <v>3</v>
      </c>
      <c r="I14" s="2638">
        <v>4.12</v>
      </c>
      <c r="J14" s="2638">
        <v>2</v>
      </c>
      <c r="K14" s="2638">
        <v>4.79</v>
      </c>
      <c r="L14" s="2649">
        <v>1.97</v>
      </c>
      <c r="N14" s="2643">
        <f t="shared" ref="N14:Q48" si="57">I14/100</f>
        <v>4.1200000000000001E-2</v>
      </c>
      <c r="O14" s="2644">
        <f t="shared" si="53"/>
        <v>0.02</v>
      </c>
      <c r="P14" s="2644">
        <f t="shared" si="53"/>
        <v>4.7899999999999998E-2</v>
      </c>
      <c r="Q14" s="2644">
        <f t="shared" si="53"/>
        <v>1.9699999999999999E-2</v>
      </c>
      <c r="R14" s="2645"/>
      <c r="S14" s="2643"/>
      <c r="T14" s="2644"/>
      <c r="U14" s="2644"/>
      <c r="V14" s="2644"/>
      <c r="X14" s="2733">
        <f>ROUND(SUMPRODUCT(PRODUCT(1+N14:N$23)),4)</f>
        <v>1.2184999999999999</v>
      </c>
      <c r="Y14" s="2733">
        <f>ROUND(SUMPRODUCT(PRODUCT(1+O14:O$23)),4)</f>
        <v>1.1494</v>
      </c>
      <c r="Z14" s="2733">
        <f t="shared" si="0"/>
        <v>1.1494</v>
      </c>
      <c r="AA14" s="2733">
        <f>ROUND(SUMPRODUCT(PRODUCT(1+P14:P$23)),4)</f>
        <v>1.2425999999999999</v>
      </c>
      <c r="AB14" s="2733">
        <f>ROUND(SUMPRODUCT(PRODUCT(1+Q14:Q$23)),4)</f>
        <v>1.1372</v>
      </c>
      <c r="AD14" s="2653">
        <f>ROUND(AVERAGE(I14:I$24)/100,4)</f>
        <v>2.0899999999999998E-2</v>
      </c>
      <c r="AE14" s="2653">
        <f>ROUND(AVERAGE(J14:J$24)/100,4)</f>
        <v>1.49E-2</v>
      </c>
      <c r="AF14" s="2653">
        <f t="shared" si="1"/>
        <v>1.49E-2</v>
      </c>
      <c r="AG14" s="2653">
        <f>ROUND(AVERAGE(K14:K$24)/100,4)</f>
        <v>2.3099999999999999E-2</v>
      </c>
      <c r="AH14" s="2653">
        <f>ROUND(AVERAGE(L14:L$24)/100,4)</f>
        <v>1.2999999999999999E-2</v>
      </c>
    </row>
    <row r="15" spans="1:34">
      <c r="A15" s="2634" t="s">
        <v>960</v>
      </c>
      <c r="B15" s="2648">
        <f t="shared" si="54"/>
        <v>360.06949782209392</v>
      </c>
      <c r="C15" s="2648">
        <f t="shared" si="54"/>
        <v>289.84672674747821</v>
      </c>
      <c r="D15" s="2648">
        <f t="shared" si="55"/>
        <v>289.84672674747821</v>
      </c>
      <c r="E15" s="2648">
        <f t="shared" si="56"/>
        <v>501.06543001181495</v>
      </c>
      <c r="F15" s="2648">
        <f t="shared" si="56"/>
        <v>256.82882500744967</v>
      </c>
      <c r="G15" s="3457"/>
      <c r="H15" s="2639">
        <v>2</v>
      </c>
      <c r="I15" s="2639">
        <v>3.85</v>
      </c>
      <c r="J15" s="2639">
        <v>1.95</v>
      </c>
      <c r="K15" s="2639">
        <v>4.4800000000000004</v>
      </c>
      <c r="L15" s="2650">
        <v>1.41</v>
      </c>
      <c r="N15" s="2643">
        <f t="shared" si="57"/>
        <v>3.85E-2</v>
      </c>
      <c r="O15" s="2644">
        <f t="shared" si="53"/>
        <v>1.95E-2</v>
      </c>
      <c r="P15" s="2644">
        <f t="shared" si="53"/>
        <v>4.4800000000000006E-2</v>
      </c>
      <c r="Q15" s="2644">
        <f t="shared" si="53"/>
        <v>1.41E-2</v>
      </c>
      <c r="R15" s="2645"/>
      <c r="S15" s="2643"/>
      <c r="T15" s="2644"/>
      <c r="U15" s="2644"/>
      <c r="V15" s="2644"/>
      <c r="X15" s="2733">
        <f>ROUND(SUMPRODUCT(PRODUCT(1+N15:N$23)),4)</f>
        <v>1.1702999999999999</v>
      </c>
      <c r="Y15" s="2733">
        <f>ROUND(SUMPRODUCT(PRODUCT(1+O15:O$23)),4)</f>
        <v>1.1269</v>
      </c>
      <c r="Z15" s="2733">
        <f t="shared" si="0"/>
        <v>1.1269</v>
      </c>
      <c r="AA15" s="2733">
        <f>ROUND(SUMPRODUCT(PRODUCT(1+P15:P$23)),4)</f>
        <v>1.1858</v>
      </c>
      <c r="AB15" s="2733">
        <f>ROUND(SUMPRODUCT(PRODUCT(1+Q15:Q$23)),4)</f>
        <v>1.1152</v>
      </c>
      <c r="AD15" s="2653">
        <f>ROUND(AVERAGE(I15:I$24)/100,4)</f>
        <v>1.89E-2</v>
      </c>
      <c r="AE15" s="2653">
        <f>ROUND(AVERAGE(J15:J$24)/100,4)</f>
        <v>1.44E-2</v>
      </c>
      <c r="AF15" s="2653">
        <f t="shared" si="1"/>
        <v>1.44E-2</v>
      </c>
      <c r="AG15" s="2653">
        <f>ROUND(AVERAGE(K15:K$24)/100,4)</f>
        <v>2.06E-2</v>
      </c>
      <c r="AH15" s="2653">
        <f>ROUND(AVERAGE(L15:L$24)/100,4)</f>
        <v>1.23E-2</v>
      </c>
    </row>
    <row r="16" spans="1:34" ht="13.5" thickBot="1">
      <c r="A16" s="2634" t="s">
        <v>969</v>
      </c>
      <c r="B16" s="2648">
        <f t="shared" si="54"/>
        <v>346.720748986128</v>
      </c>
      <c r="C16" s="2648">
        <f t="shared" si="54"/>
        <v>284.30282172386285</v>
      </c>
      <c r="D16" s="2648">
        <f t="shared" si="55"/>
        <v>284.30282172386285</v>
      </c>
      <c r="E16" s="2648">
        <f t="shared" si="56"/>
        <v>479.58023546306947</v>
      </c>
      <c r="F16" s="2648">
        <f t="shared" si="56"/>
        <v>253.25788877571213</v>
      </c>
      <c r="G16" s="3458"/>
      <c r="H16" s="2638">
        <v>1</v>
      </c>
      <c r="I16" s="2638">
        <v>4.09</v>
      </c>
      <c r="J16" s="2638">
        <v>2.93</v>
      </c>
      <c r="K16" s="2638">
        <v>4.54</v>
      </c>
      <c r="L16" s="2649">
        <v>1.48</v>
      </c>
      <c r="N16" s="2643">
        <f t="shared" si="57"/>
        <v>4.0899999999999999E-2</v>
      </c>
      <c r="O16" s="2644">
        <f t="shared" si="53"/>
        <v>2.9300000000000003E-2</v>
      </c>
      <c r="P16" s="2644">
        <f t="shared" si="53"/>
        <v>4.5400000000000003E-2</v>
      </c>
      <c r="Q16" s="2644">
        <f t="shared" si="53"/>
        <v>1.4800000000000001E-2</v>
      </c>
      <c r="R16" s="2645"/>
      <c r="S16" s="2651">
        <f>B16/B17-1</f>
        <v>4.1203450408792808E-2</v>
      </c>
      <c r="T16" s="2652">
        <f>C16/C17-1</f>
        <v>2.6363977342465095E-2</v>
      </c>
      <c r="U16" s="2652">
        <f>E16/E17-1</f>
        <v>4.4837114298626357E-2</v>
      </c>
      <c r="V16" s="2652">
        <f>F16/F17-1</f>
        <v>1.7099954922538574E-2</v>
      </c>
      <c r="X16" s="2733">
        <f>ROUND(SUMPRODUCT(PRODUCT(1+N16:N$23)),4)</f>
        <v>1.1269</v>
      </c>
      <c r="Y16" s="2733">
        <f>ROUND(SUMPRODUCT(PRODUCT(1+O16:O$23)),4)</f>
        <v>1.1052999999999999</v>
      </c>
      <c r="Z16" s="2733">
        <f t="shared" si="0"/>
        <v>1.1052999999999999</v>
      </c>
      <c r="AA16" s="2733">
        <f>ROUND(SUMPRODUCT(PRODUCT(1+P16:P$23)),4)</f>
        <v>1.1349</v>
      </c>
      <c r="AB16" s="2733">
        <f>ROUND(SUMPRODUCT(PRODUCT(1+Q16:Q$23)),4)</f>
        <v>1.0996999999999999</v>
      </c>
      <c r="AD16" s="2653">
        <f>ROUND(AVERAGE(I16:I$24)/100,4)</f>
        <v>1.67E-2</v>
      </c>
      <c r="AE16" s="2653">
        <f>ROUND(AVERAGE(J16:J$24)/100,4)</f>
        <v>1.38E-2</v>
      </c>
      <c r="AF16" s="2653">
        <f t="shared" si="1"/>
        <v>1.38E-2</v>
      </c>
      <c r="AG16" s="2653">
        <f>ROUND(AVERAGE(K16:K$24)/100,4)</f>
        <v>1.7899999999999999E-2</v>
      </c>
      <c r="AH16" s="2653">
        <f>ROUND(AVERAGE(L16:L$24)/100,4)</f>
        <v>1.21E-2</v>
      </c>
    </row>
    <row r="17" spans="1:34" ht="13.5" thickBot="1">
      <c r="A17" s="2634" t="s">
        <v>968</v>
      </c>
      <c r="B17" s="2640">
        <v>333</v>
      </c>
      <c r="C17" s="2640">
        <v>277</v>
      </c>
      <c r="D17" s="2640">
        <f t="shared" si="55"/>
        <v>277</v>
      </c>
      <c r="E17" s="2640">
        <v>459</v>
      </c>
      <c r="F17" s="2641">
        <v>249</v>
      </c>
      <c r="G17" s="3456">
        <v>2015</v>
      </c>
      <c r="H17" s="2654">
        <v>4</v>
      </c>
      <c r="I17" s="2654">
        <v>1.63</v>
      </c>
      <c r="J17" s="2654">
        <v>1.1100000000000001</v>
      </c>
      <c r="K17" s="2654">
        <v>1.77</v>
      </c>
      <c r="L17" s="2655">
        <v>1.89</v>
      </c>
      <c r="N17" s="2656">
        <f t="shared" si="57"/>
        <v>1.6299999999999999E-2</v>
      </c>
      <c r="O17" s="2657">
        <f t="shared" si="53"/>
        <v>1.11E-2</v>
      </c>
      <c r="P17" s="2657">
        <f t="shared" si="53"/>
        <v>1.77E-2</v>
      </c>
      <c r="Q17" s="2657">
        <f t="shared" si="53"/>
        <v>1.89E-2</v>
      </c>
      <c r="R17" s="2645"/>
      <c r="X17" s="2733">
        <f>ROUND(SUMPRODUCT(PRODUCT(1+N17:N$23)),4)</f>
        <v>1.0826</v>
      </c>
      <c r="Y17" s="2733">
        <f>ROUND(SUMPRODUCT(PRODUCT(1+O17:O$23)),4)</f>
        <v>1.0738000000000001</v>
      </c>
      <c r="Z17" s="2733">
        <f t="shared" si="0"/>
        <v>1.0738000000000001</v>
      </c>
      <c r="AA17" s="2733">
        <f>ROUND(SUMPRODUCT(PRODUCT(1+P17:P$23)),4)</f>
        <v>1.0855999999999999</v>
      </c>
      <c r="AB17" s="2733">
        <f>ROUND(SUMPRODUCT(PRODUCT(1+Q17:Q$23)),4)</f>
        <v>1.0837000000000001</v>
      </c>
      <c r="AD17" s="2653">
        <f>ROUND(AVERAGE(I17:I$24)/100,4)</f>
        <v>1.37E-2</v>
      </c>
      <c r="AE17" s="2653">
        <f>ROUND(AVERAGE(J17:J$24)/100,4)</f>
        <v>1.1900000000000001E-2</v>
      </c>
      <c r="AF17" s="2653">
        <f t="shared" si="1"/>
        <v>1.1900000000000001E-2</v>
      </c>
      <c r="AG17" s="2653">
        <f>ROUND(AVERAGE(K17:K$24)/100,4)</f>
        <v>1.4500000000000001E-2</v>
      </c>
      <c r="AH17" s="2653">
        <f>ROUND(AVERAGE(L17:L$24)/100,4)</f>
        <v>1.18E-2</v>
      </c>
    </row>
    <row r="18" spans="1:34">
      <c r="A18" s="2634" t="s">
        <v>967</v>
      </c>
      <c r="B18" s="2648">
        <f t="shared" ref="B18:C20" si="58">B17/(1+N17)</f>
        <v>327.65915576109415</v>
      </c>
      <c r="C18" s="2648">
        <f t="shared" si="58"/>
        <v>273.95905449510434</v>
      </c>
      <c r="D18" s="2648">
        <f t="shared" si="55"/>
        <v>273.95905449510434</v>
      </c>
      <c r="E18" s="2648">
        <f t="shared" ref="E18:F20" si="59">E17/(1+P17)</f>
        <v>451.01699911565294</v>
      </c>
      <c r="F18" s="2648">
        <f t="shared" si="59"/>
        <v>244.38119540681129</v>
      </c>
      <c r="G18" s="3457"/>
      <c r="H18" s="2659">
        <v>3</v>
      </c>
      <c r="I18" s="2659">
        <v>1.65</v>
      </c>
      <c r="J18" s="2659">
        <v>0.92</v>
      </c>
      <c r="K18" s="2659">
        <v>1.88</v>
      </c>
      <c r="L18" s="2660">
        <v>1.26</v>
      </c>
      <c r="N18" s="2643">
        <f t="shared" si="57"/>
        <v>1.6500000000000001E-2</v>
      </c>
      <c r="O18" s="2661">
        <f t="shared" si="53"/>
        <v>9.1999999999999998E-3</v>
      </c>
      <c r="P18" s="2661">
        <f t="shared" si="53"/>
        <v>1.8799999999999997E-2</v>
      </c>
      <c r="Q18" s="2661">
        <f t="shared" si="53"/>
        <v>1.26E-2</v>
      </c>
      <c r="R18" s="2645"/>
      <c r="S18" s="2643"/>
      <c r="T18" s="2644"/>
      <c r="U18" s="2644"/>
      <c r="V18" s="2644"/>
      <c r="X18" s="2733">
        <f>ROUND(SUMPRODUCT(PRODUCT(1+N18:N$23)),4)</f>
        <v>1.0651999999999999</v>
      </c>
      <c r="Y18" s="2733">
        <f>ROUND(SUMPRODUCT(PRODUCT(1+O18:O$23)),4)</f>
        <v>1.0621</v>
      </c>
      <c r="Z18" s="2733">
        <f t="shared" si="0"/>
        <v>1.0621</v>
      </c>
      <c r="AA18" s="2733">
        <f>ROUND(SUMPRODUCT(PRODUCT(1+P18:P$23)),4)</f>
        <v>1.0668</v>
      </c>
      <c r="AB18" s="2733">
        <f>ROUND(SUMPRODUCT(PRODUCT(1+Q18:Q$23)),4)</f>
        <v>1.0636000000000001</v>
      </c>
      <c r="AD18" s="2653">
        <f>ROUND(AVERAGE(I18:I$24)/100,4)</f>
        <v>1.3299999999999999E-2</v>
      </c>
      <c r="AE18" s="2653">
        <f>ROUND(AVERAGE(J18:J$24)/100,4)</f>
        <v>1.2E-2</v>
      </c>
      <c r="AF18" s="2653">
        <f t="shared" si="1"/>
        <v>1.2E-2</v>
      </c>
      <c r="AG18" s="2653">
        <f>ROUND(AVERAGE(K18:K$24)/100,4)</f>
        <v>1.4E-2</v>
      </c>
      <c r="AH18" s="2653">
        <f>ROUND(AVERAGE(L18:L$24)/100,4)</f>
        <v>1.0800000000000001E-2</v>
      </c>
    </row>
    <row r="19" spans="1:34">
      <c r="A19" s="2634" t="s">
        <v>966</v>
      </c>
      <c r="B19" s="2648">
        <f t="shared" si="58"/>
        <v>322.34053690220776</v>
      </c>
      <c r="C19" s="2648">
        <f t="shared" si="58"/>
        <v>271.46160770422546</v>
      </c>
      <c r="D19" s="2648">
        <f t="shared" si="55"/>
        <v>271.46160770422546</v>
      </c>
      <c r="E19" s="2648">
        <f t="shared" si="59"/>
        <v>442.69434542172456</v>
      </c>
      <c r="F19" s="2648">
        <f t="shared" si="59"/>
        <v>241.34030753190925</v>
      </c>
      <c r="G19" s="3457"/>
      <c r="H19" s="2639">
        <v>2</v>
      </c>
      <c r="I19" s="2639">
        <v>0.77</v>
      </c>
      <c r="J19" s="2639">
        <v>0.69</v>
      </c>
      <c r="K19" s="2639">
        <v>0.8</v>
      </c>
      <c r="L19" s="2650">
        <v>0.88</v>
      </c>
      <c r="N19" s="2643">
        <f t="shared" si="57"/>
        <v>7.7000000000000002E-3</v>
      </c>
      <c r="O19" s="2661">
        <f t="shared" si="53"/>
        <v>6.8999999999999999E-3</v>
      </c>
      <c r="P19" s="2661">
        <f t="shared" si="53"/>
        <v>8.0000000000000002E-3</v>
      </c>
      <c r="Q19" s="2661">
        <f t="shared" si="53"/>
        <v>8.8000000000000005E-3</v>
      </c>
      <c r="R19" s="2645"/>
      <c r="S19" s="2643"/>
      <c r="T19" s="2644"/>
      <c r="U19" s="2644"/>
      <c r="V19" s="2644"/>
      <c r="X19" s="2733">
        <f>ROUND(SUMPRODUCT(PRODUCT(1+N19:N$23)),4)</f>
        <v>1.048</v>
      </c>
      <c r="Y19" s="2733">
        <f>ROUND(SUMPRODUCT(PRODUCT(1+O19:O$23)),4)</f>
        <v>1.0524</v>
      </c>
      <c r="Z19" s="2733">
        <f t="shared" si="0"/>
        <v>1.0524</v>
      </c>
      <c r="AA19" s="2733">
        <f>ROUND(SUMPRODUCT(PRODUCT(1+P19:P$23)),4)</f>
        <v>1.0470999999999999</v>
      </c>
      <c r="AB19" s="2733">
        <f>ROUND(SUMPRODUCT(PRODUCT(1+Q19:Q$23)),4)</f>
        <v>1.0504</v>
      </c>
      <c r="AD19" s="2653">
        <f>ROUND(AVERAGE(I19:I$24)/100,4)</f>
        <v>1.2800000000000001E-2</v>
      </c>
      <c r="AE19" s="2653">
        <f>ROUND(AVERAGE(J19:J$24)/100,4)</f>
        <v>1.2500000000000001E-2</v>
      </c>
      <c r="AF19" s="2653">
        <f t="shared" si="1"/>
        <v>1.2500000000000001E-2</v>
      </c>
      <c r="AG19" s="2653">
        <f>ROUND(AVERAGE(K19:K$24)/100,4)</f>
        <v>1.32E-2</v>
      </c>
      <c r="AH19" s="2653">
        <f>ROUND(AVERAGE(L19:L$24)/100,4)</f>
        <v>1.0500000000000001E-2</v>
      </c>
    </row>
    <row r="20" spans="1:34">
      <c r="A20" s="2634" t="s">
        <v>965</v>
      </c>
      <c r="B20" s="2648">
        <f t="shared" si="58"/>
        <v>319.87748030386797</v>
      </c>
      <c r="C20" s="2648">
        <f t="shared" si="58"/>
        <v>269.60135833173649</v>
      </c>
      <c r="D20" s="2648">
        <f t="shared" si="55"/>
        <v>269.60135833173649</v>
      </c>
      <c r="E20" s="2648">
        <f t="shared" si="59"/>
        <v>439.18089823583784</v>
      </c>
      <c r="F20" s="2648">
        <f t="shared" si="59"/>
        <v>239.23503918706311</v>
      </c>
      <c r="G20" s="3458"/>
      <c r="H20" s="2638">
        <v>1</v>
      </c>
      <c r="I20" s="2638">
        <v>0.51</v>
      </c>
      <c r="J20" s="2638">
        <v>0.54</v>
      </c>
      <c r="K20" s="2638">
        <v>0.48</v>
      </c>
      <c r="L20" s="2649">
        <v>0.93</v>
      </c>
      <c r="N20" s="2651">
        <f t="shared" si="57"/>
        <v>5.1000000000000004E-3</v>
      </c>
      <c r="O20" s="2652">
        <f t="shared" si="53"/>
        <v>5.4000000000000003E-3</v>
      </c>
      <c r="P20" s="2652">
        <f t="shared" si="53"/>
        <v>4.7999999999999996E-3</v>
      </c>
      <c r="Q20" s="2652">
        <f t="shared" si="53"/>
        <v>9.300000000000001E-3</v>
      </c>
      <c r="R20" s="2645"/>
      <c r="S20" s="2651">
        <f>B20/B21-1</f>
        <v>5.9040261127922822E-3</v>
      </c>
      <c r="T20" s="2652">
        <f>C20/C21-1</f>
        <v>5.9752176557332781E-3</v>
      </c>
      <c r="U20" s="2652">
        <f>E20/E21-1</f>
        <v>4.9906138119859556E-3</v>
      </c>
      <c r="V20" s="2652">
        <f>F20/F21-1</f>
        <v>9.4305450930933787E-3</v>
      </c>
      <c r="X20" s="2733">
        <f>ROUND(SUMPRODUCT(PRODUCT(1+N20:N$23)),4)</f>
        <v>1.0399</v>
      </c>
      <c r="Y20" s="2733">
        <f>ROUND(SUMPRODUCT(PRODUCT(1+O20:O$23)),4)</f>
        <v>1.0451999999999999</v>
      </c>
      <c r="Z20" s="2733">
        <f t="shared" si="0"/>
        <v>1.0451999999999999</v>
      </c>
      <c r="AA20" s="2733">
        <f>ROUND(SUMPRODUCT(PRODUCT(1+P20:P$23)),4)</f>
        <v>1.0387999999999999</v>
      </c>
      <c r="AB20" s="2733">
        <f>ROUND(SUMPRODUCT(PRODUCT(1+Q20:Q$23)),4)</f>
        <v>1.0411999999999999</v>
      </c>
      <c r="AD20" s="2653">
        <f>ROUND(AVERAGE(I20:I$24)/100,4)</f>
        <v>1.38E-2</v>
      </c>
      <c r="AE20" s="2653">
        <f>ROUND(AVERAGE(J20:J$24)/100,4)</f>
        <v>1.3599999999999999E-2</v>
      </c>
      <c r="AF20" s="2653">
        <f t="shared" si="1"/>
        <v>1.3599999999999999E-2</v>
      </c>
      <c r="AG20" s="2653">
        <f>ROUND(AVERAGE(K20:K$24)/100,4)</f>
        <v>1.4200000000000001E-2</v>
      </c>
      <c r="AH20" s="2653">
        <f>ROUND(AVERAGE(L20:L$24)/100,4)</f>
        <v>1.0800000000000001E-2</v>
      </c>
    </row>
    <row r="21" spans="1:34" ht="13.5" thickBot="1">
      <c r="A21" s="2634" t="s">
        <v>964</v>
      </c>
      <c r="B21" s="2662">
        <v>318</v>
      </c>
      <c r="C21" s="2662">
        <v>268</v>
      </c>
      <c r="D21" s="2662">
        <f t="shared" si="55"/>
        <v>268</v>
      </c>
      <c r="E21" s="2662">
        <v>437</v>
      </c>
      <c r="F21" s="2663">
        <v>237</v>
      </c>
      <c r="G21" s="3456">
        <v>2014</v>
      </c>
      <c r="H21" s="2654">
        <v>4</v>
      </c>
      <c r="I21" s="2654">
        <v>0.21</v>
      </c>
      <c r="J21" s="2654">
        <v>0.41</v>
      </c>
      <c r="K21" s="2654">
        <v>0.12</v>
      </c>
      <c r="L21" s="2655">
        <v>0.89</v>
      </c>
      <c r="N21" s="2643">
        <f t="shared" si="57"/>
        <v>2.0999999999999999E-3</v>
      </c>
      <c r="O21" s="2644">
        <f t="shared" si="53"/>
        <v>4.0999999999999995E-3</v>
      </c>
      <c r="P21" s="2644">
        <f t="shared" si="53"/>
        <v>1.1999999999999999E-3</v>
      </c>
      <c r="Q21" s="2644">
        <f t="shared" si="53"/>
        <v>8.8999999999999999E-3</v>
      </c>
      <c r="R21" s="2645"/>
      <c r="S21" s="2646"/>
      <c r="T21" s="2647"/>
      <c r="U21" s="2647"/>
      <c r="V21" s="2647"/>
      <c r="X21" s="2733">
        <f>ROUND(SUMPRODUCT(PRODUCT(1+N21:N$23)),4)</f>
        <v>1.0347</v>
      </c>
      <c r="Y21" s="2733">
        <f>ROUND(SUMPRODUCT(PRODUCT(1+O21:O$23)),4)</f>
        <v>1.0395000000000001</v>
      </c>
      <c r="Z21" s="2733">
        <f t="shared" si="0"/>
        <v>1.0395000000000001</v>
      </c>
      <c r="AA21" s="2733">
        <f>ROUND(SUMPRODUCT(PRODUCT(1+P21:P$23)),4)</f>
        <v>1.0338000000000001</v>
      </c>
      <c r="AB21" s="2733">
        <f>ROUND(SUMPRODUCT(PRODUCT(1+Q21:Q$23)),4)</f>
        <v>1.0316000000000001</v>
      </c>
      <c r="AD21" s="2653">
        <f>ROUND(AVERAGE(I21:I$24)/100,4)</f>
        <v>1.6E-2</v>
      </c>
      <c r="AE21" s="2653">
        <f>ROUND(AVERAGE(J21:J$24)/100,4)</f>
        <v>1.5599999999999999E-2</v>
      </c>
      <c r="AF21" s="2653">
        <f t="shared" si="1"/>
        <v>1.5599999999999999E-2</v>
      </c>
      <c r="AG21" s="2653">
        <f>ROUND(AVERAGE(K21:K$24)/100,4)</f>
        <v>1.66E-2</v>
      </c>
      <c r="AH21" s="2653">
        <f>ROUND(AVERAGE(L21:L$24)/100,4)</f>
        <v>1.12E-2</v>
      </c>
    </row>
    <row r="22" spans="1:34">
      <c r="A22" s="2634" t="s">
        <v>963</v>
      </c>
      <c r="B22" s="2648">
        <f t="shared" ref="B22:C24" si="60">B21/(1+N21)</f>
        <v>317.33359944117353</v>
      </c>
      <c r="C22" s="2648">
        <f t="shared" si="60"/>
        <v>266.90568668459315</v>
      </c>
      <c r="D22" s="2648">
        <f t="shared" si="55"/>
        <v>266.90568668459315</v>
      </c>
      <c r="E22" s="2648">
        <f t="shared" ref="E22:F24" si="61">E21/(1+P21)</f>
        <v>436.47622852576905</v>
      </c>
      <c r="F22" s="2648">
        <f t="shared" si="61"/>
        <v>234.90930716622066</v>
      </c>
      <c r="G22" s="3457"/>
      <c r="H22" s="2664">
        <v>3</v>
      </c>
      <c r="I22" s="2664">
        <v>0.83</v>
      </c>
      <c r="J22" s="2664">
        <v>1.47</v>
      </c>
      <c r="K22" s="2664">
        <v>0.65</v>
      </c>
      <c r="L22" s="2665">
        <v>0.72</v>
      </c>
      <c r="N22" s="2643">
        <f t="shared" si="57"/>
        <v>8.3000000000000001E-3</v>
      </c>
      <c r="O22" s="2644">
        <f t="shared" si="53"/>
        <v>1.47E-2</v>
      </c>
      <c r="P22" s="2644">
        <f t="shared" si="53"/>
        <v>6.5000000000000006E-3</v>
      </c>
      <c r="Q22" s="2644">
        <f t="shared" si="53"/>
        <v>7.1999999999999998E-3</v>
      </c>
      <c r="R22" s="2645"/>
      <c r="S22" s="2643"/>
      <c r="T22" s="2644"/>
      <c r="U22" s="2644"/>
      <c r="V22" s="2644"/>
      <c r="X22" s="2733">
        <f>ROUND(SUMPRODUCT(PRODUCT(1+N22:N$23)),4)</f>
        <v>1.0325</v>
      </c>
      <c r="Y22" s="2733">
        <f>ROUND(SUMPRODUCT(PRODUCT(1+O22:O$23)),4)</f>
        <v>1.0353000000000001</v>
      </c>
      <c r="Z22" s="2733">
        <f t="shared" ref="Z22:Z23" si="62">Y22</f>
        <v>1.0353000000000001</v>
      </c>
      <c r="AA22" s="2733">
        <f>ROUND(SUMPRODUCT(PRODUCT(1+P22:P$23)),4)</f>
        <v>1.0326</v>
      </c>
      <c r="AB22" s="2733">
        <f>ROUND(SUMPRODUCT(PRODUCT(1+Q22:Q$23)),4)</f>
        <v>1.0225</v>
      </c>
      <c r="AD22" s="2653">
        <f>ROUND(AVERAGE(I22:I$24)/100,4)</f>
        <v>2.07E-2</v>
      </c>
      <c r="AE22" s="2653">
        <f>ROUND(AVERAGE(J22:J$24)/100,4)</f>
        <v>1.95E-2</v>
      </c>
      <c r="AF22" s="2653">
        <f t="shared" si="1"/>
        <v>1.95E-2</v>
      </c>
      <c r="AG22" s="2653">
        <f>ROUND(AVERAGE(K22:K$24)/100,4)</f>
        <v>2.1700000000000001E-2</v>
      </c>
      <c r="AH22" s="2653">
        <f>ROUND(AVERAGE(L22:L$24)/100,4)</f>
        <v>1.2E-2</v>
      </c>
    </row>
    <row r="23" spans="1:34" ht="13.5" thickBot="1">
      <c r="A23" s="2634" t="s">
        <v>962</v>
      </c>
      <c r="B23" s="2648">
        <f t="shared" si="60"/>
        <v>314.72141172386546</v>
      </c>
      <c r="C23" s="2648">
        <f t="shared" si="60"/>
        <v>263.03901319069001</v>
      </c>
      <c r="D23" s="2648">
        <f t="shared" si="55"/>
        <v>263.03901319069001</v>
      </c>
      <c r="E23" s="2648">
        <f t="shared" si="61"/>
        <v>433.65745506782821</v>
      </c>
      <c r="F23" s="2648">
        <f t="shared" si="61"/>
        <v>233.23005080045735</v>
      </c>
      <c r="G23" s="3457"/>
      <c r="H23" s="2654">
        <v>2</v>
      </c>
      <c r="I23" s="2654">
        <v>2.4</v>
      </c>
      <c r="J23" s="2654">
        <v>2.0299999999999998</v>
      </c>
      <c r="K23" s="2654">
        <v>2.59</v>
      </c>
      <c r="L23" s="2655">
        <v>1.52</v>
      </c>
      <c r="N23" s="2643">
        <f t="shared" si="57"/>
        <v>2.4E-2</v>
      </c>
      <c r="O23" s="2644">
        <f t="shared" si="53"/>
        <v>2.0299999999999999E-2</v>
      </c>
      <c r="P23" s="2644">
        <f t="shared" si="53"/>
        <v>2.5899999999999999E-2</v>
      </c>
      <c r="Q23" s="2644">
        <f t="shared" si="53"/>
        <v>1.52E-2</v>
      </c>
      <c r="R23" s="2645"/>
      <c r="S23" s="2643"/>
      <c r="T23" s="2644"/>
      <c r="U23" s="2644"/>
      <c r="V23" s="2644"/>
      <c r="X23" s="2733">
        <f>1+N23</f>
        <v>1.024</v>
      </c>
      <c r="Y23" s="2733">
        <f>1+O23</f>
        <v>1.0203</v>
      </c>
      <c r="Z23" s="2733">
        <f t="shared" si="62"/>
        <v>1.0203</v>
      </c>
      <c r="AA23" s="2733">
        <f>1+P23</f>
        <v>1.0259</v>
      </c>
      <c r="AB23" s="2733">
        <f>1+Q23</f>
        <v>1.0152000000000001</v>
      </c>
      <c r="AD23" s="2653">
        <f>ROUND(AVERAGE(I23:I$24)/100,4)</f>
        <v>2.69E-2</v>
      </c>
      <c r="AE23" s="2653">
        <f>ROUND(AVERAGE(J23:J$24)/100,4)</f>
        <v>2.1899999999999999E-2</v>
      </c>
      <c r="AF23" s="2653">
        <f t="shared" ref="AF23" si="63">AE23</f>
        <v>2.1899999999999999E-2</v>
      </c>
      <c r="AG23" s="2653">
        <f>ROUND(AVERAGE(K23:K$24)/100,4)</f>
        <v>2.9399999999999999E-2</v>
      </c>
      <c r="AH23" s="2653">
        <f>ROUND(AVERAGE(L23:L$24)/100,4)</f>
        <v>1.44E-2</v>
      </c>
    </row>
    <row r="24" spans="1:34" s="2670" customFormat="1" ht="13.5" thickBot="1">
      <c r="A24" s="2666" t="s">
        <v>961</v>
      </c>
      <c r="B24" s="2667">
        <f t="shared" si="60"/>
        <v>307.34512863658733</v>
      </c>
      <c r="C24" s="2667">
        <f t="shared" si="60"/>
        <v>257.80556031626975</v>
      </c>
      <c r="D24" s="2667">
        <f t="shared" si="55"/>
        <v>257.80556031626975</v>
      </c>
      <c r="E24" s="2667">
        <f t="shared" si="61"/>
        <v>422.70928459677179</v>
      </c>
      <c r="F24" s="2667">
        <f t="shared" si="61"/>
        <v>229.73803270336617</v>
      </c>
      <c r="G24" s="3458"/>
      <c r="H24" s="2668">
        <v>1</v>
      </c>
      <c r="I24" s="2668">
        <v>2.97</v>
      </c>
      <c r="J24" s="2668">
        <v>2.34</v>
      </c>
      <c r="K24" s="2668">
        <v>3.28</v>
      </c>
      <c r="L24" s="2669">
        <v>1.36</v>
      </c>
      <c r="N24" s="2671">
        <f t="shared" si="57"/>
        <v>2.9700000000000001E-2</v>
      </c>
      <c r="O24" s="2672">
        <f t="shared" si="53"/>
        <v>2.3399999999999997E-2</v>
      </c>
      <c r="P24" s="2672">
        <f t="shared" si="53"/>
        <v>3.2799999999999996E-2</v>
      </c>
      <c r="Q24" s="2672">
        <f t="shared" si="53"/>
        <v>1.3600000000000001E-2</v>
      </c>
      <c r="R24" s="2673"/>
      <c r="S24" s="2674">
        <f>B24/B25-1</f>
        <v>2.7910129219355539E-2</v>
      </c>
      <c r="T24" s="2675">
        <f>C24/C25-1</f>
        <v>2.3037937762975247E-2</v>
      </c>
      <c r="U24" s="2675">
        <f>E24/E25-1</f>
        <v>3.3519033243940788E-2</v>
      </c>
      <c r="V24" s="2675">
        <f>F24/F25-1</f>
        <v>1.2061818076502862E-2</v>
      </c>
      <c r="W24" s="2742" t="s">
        <v>2641</v>
      </c>
      <c r="X24" s="2744">
        <v>1</v>
      </c>
      <c r="Y24" s="2744">
        <v>1</v>
      </c>
      <c r="Z24" s="2744">
        <v>1</v>
      </c>
      <c r="AA24" s="2744">
        <v>1</v>
      </c>
      <c r="AB24" s="2744">
        <v>1</v>
      </c>
      <c r="AD24" s="2985">
        <f>I24/100</f>
        <v>2.9700000000000001E-2</v>
      </c>
      <c r="AE24" s="2985">
        <f>J24/100</f>
        <v>2.3399999999999997E-2</v>
      </c>
      <c r="AF24" s="2985">
        <f>AE24</f>
        <v>2.3399999999999997E-2</v>
      </c>
      <c r="AG24" s="2985">
        <f>K24/100</f>
        <v>3.2799999999999996E-2</v>
      </c>
      <c r="AH24" s="2985">
        <f>L24/100</f>
        <v>1.3600000000000001E-2</v>
      </c>
    </row>
    <row r="25" spans="1:34" ht="13.5" thickBot="1">
      <c r="A25" s="2634" t="s">
        <v>2584</v>
      </c>
      <c r="B25" s="2640">
        <v>299</v>
      </c>
      <c r="C25" s="2640">
        <v>252</v>
      </c>
      <c r="D25" s="2640">
        <f t="shared" si="55"/>
        <v>252</v>
      </c>
      <c r="E25" s="2640">
        <v>409</v>
      </c>
      <c r="F25" s="2641">
        <v>227</v>
      </c>
      <c r="G25" s="3463">
        <v>2013</v>
      </c>
      <c r="H25" s="2676">
        <v>4</v>
      </c>
      <c r="I25" s="2676">
        <v>1.83</v>
      </c>
      <c r="J25" s="2676">
        <v>1.68</v>
      </c>
      <c r="K25" s="2676">
        <v>1.97</v>
      </c>
      <c r="L25" s="2677">
        <v>0.87</v>
      </c>
      <c r="N25" s="2656">
        <f t="shared" si="57"/>
        <v>1.83E-2</v>
      </c>
      <c r="O25" s="2657">
        <f t="shared" si="53"/>
        <v>1.6799999999999999E-2</v>
      </c>
      <c r="P25" s="2657">
        <f t="shared" si="53"/>
        <v>1.9699999999999999E-2</v>
      </c>
      <c r="Q25" s="2657">
        <f t="shared" si="53"/>
        <v>8.6999999999999994E-3</v>
      </c>
      <c r="R25" s="2645"/>
      <c r="S25" s="2646"/>
      <c r="T25" s="2647"/>
      <c r="U25" s="2647"/>
      <c r="V25" s="2647"/>
      <c r="X25" s="2647"/>
      <c r="Y25" s="2647"/>
      <c r="Z25" s="2647"/>
    </row>
    <row r="26" spans="1:34">
      <c r="A26" s="2634" t="s">
        <v>2585</v>
      </c>
      <c r="B26" s="2648">
        <f t="shared" ref="B26:C28" si="64">B25/(1+N25)</f>
        <v>293.62663262299913</v>
      </c>
      <c r="C26" s="2648">
        <f t="shared" si="64"/>
        <v>247.83634933123525</v>
      </c>
      <c r="D26" s="2648">
        <f t="shared" si="55"/>
        <v>247.83634933123525</v>
      </c>
      <c r="E26" s="2648">
        <f t="shared" ref="E26:F28" si="65">E25/(1+P25)</f>
        <v>401.09836226341076</v>
      </c>
      <c r="F26" s="2648">
        <f t="shared" si="65"/>
        <v>225.04213343908003</v>
      </c>
      <c r="G26" s="3464"/>
      <c r="H26" s="2659">
        <v>3</v>
      </c>
      <c r="I26" s="2659">
        <v>1.86</v>
      </c>
      <c r="J26" s="2659">
        <v>1.72</v>
      </c>
      <c r="K26" s="2659">
        <v>1.98</v>
      </c>
      <c r="L26" s="2660">
        <v>0.88</v>
      </c>
      <c r="N26" s="2643">
        <f t="shared" si="57"/>
        <v>1.8600000000000002E-2</v>
      </c>
      <c r="O26" s="2661">
        <f t="shared" si="53"/>
        <v>1.72E-2</v>
      </c>
      <c r="P26" s="2661">
        <f t="shared" si="53"/>
        <v>1.9799999999999998E-2</v>
      </c>
      <c r="Q26" s="2661">
        <f t="shared" si="53"/>
        <v>8.8000000000000005E-3</v>
      </c>
      <c r="R26" s="2645"/>
      <c r="S26" s="2643"/>
      <c r="T26" s="2644"/>
      <c r="U26" s="2644"/>
      <c r="V26" s="2644"/>
    </row>
    <row r="27" spans="1:34">
      <c r="A27" s="2634" t="s">
        <v>2586</v>
      </c>
      <c r="B27" s="2648">
        <f t="shared" si="64"/>
        <v>288.2649053828776</v>
      </c>
      <c r="C27" s="2648">
        <f t="shared" si="64"/>
        <v>243.64564425013293</v>
      </c>
      <c r="D27" s="2648">
        <f t="shared" si="55"/>
        <v>243.64564425013293</v>
      </c>
      <c r="E27" s="2648">
        <f t="shared" si="65"/>
        <v>393.31080825986544</v>
      </c>
      <c r="F27" s="2648">
        <f t="shared" si="65"/>
        <v>223.07903790551154</v>
      </c>
      <c r="G27" s="3464"/>
      <c r="H27" s="2639">
        <v>2</v>
      </c>
      <c r="I27" s="2639">
        <v>2.04</v>
      </c>
      <c r="J27" s="2639">
        <v>2.33</v>
      </c>
      <c r="K27" s="2639">
        <v>2.0699999999999998</v>
      </c>
      <c r="L27" s="2650">
        <v>0.69</v>
      </c>
      <c r="N27" s="2643">
        <f t="shared" si="57"/>
        <v>2.0400000000000001E-2</v>
      </c>
      <c r="O27" s="2661">
        <f t="shared" si="53"/>
        <v>2.3300000000000001E-2</v>
      </c>
      <c r="P27" s="2661">
        <f t="shared" si="53"/>
        <v>2.07E-2</v>
      </c>
      <c r="Q27" s="2661">
        <f t="shared" si="53"/>
        <v>6.8999999999999999E-3</v>
      </c>
      <c r="R27" s="2645"/>
      <c r="S27" s="2643"/>
      <c r="T27" s="2644"/>
      <c r="U27" s="2644"/>
      <c r="V27" s="2644"/>
      <c r="X27" s="2745"/>
      <c r="Y27" s="2747"/>
    </row>
    <row r="28" spans="1:34">
      <c r="A28" s="2634" t="s">
        <v>2587</v>
      </c>
      <c r="B28" s="2648">
        <f t="shared" si="64"/>
        <v>282.50186729015837</v>
      </c>
      <c r="C28" s="2648">
        <f t="shared" si="64"/>
        <v>238.09796174155468</v>
      </c>
      <c r="D28" s="2648">
        <f t="shared" si="55"/>
        <v>238.09796174155468</v>
      </c>
      <c r="E28" s="2648">
        <f t="shared" si="65"/>
        <v>385.33438646014054</v>
      </c>
      <c r="F28" s="2648">
        <f t="shared" si="65"/>
        <v>221.55034055567739</v>
      </c>
      <c r="G28" s="3465"/>
      <c r="H28" s="2638">
        <v>1</v>
      </c>
      <c r="I28" s="2638">
        <v>1.67</v>
      </c>
      <c r="J28" s="2638">
        <v>1.31</v>
      </c>
      <c r="K28" s="2638">
        <v>1.85</v>
      </c>
      <c r="L28" s="2649">
        <v>0.96</v>
      </c>
      <c r="N28" s="2651">
        <f t="shared" si="57"/>
        <v>1.67E-2</v>
      </c>
      <c r="O28" s="2652">
        <f t="shared" si="53"/>
        <v>1.3100000000000001E-2</v>
      </c>
      <c r="P28" s="2652">
        <f t="shared" si="53"/>
        <v>1.8500000000000003E-2</v>
      </c>
      <c r="Q28" s="2652">
        <f t="shared" si="53"/>
        <v>9.5999999999999992E-3</v>
      </c>
      <c r="R28" s="2645"/>
      <c r="S28" s="2651">
        <f>B28/B29-1</f>
        <v>1.6193767230785472E-2</v>
      </c>
      <c r="T28" s="2652">
        <f>C28/C29-1</f>
        <v>1.7512657015190891E-2</v>
      </c>
      <c r="U28" s="2652">
        <f>E28/E29-1</f>
        <v>1.6713420739157048E-2</v>
      </c>
      <c r="V28" s="2652">
        <f>F28/F29-1</f>
        <v>7.0470025258062563E-3</v>
      </c>
      <c r="X28" s="2746"/>
      <c r="Y28" s="2653"/>
      <c r="Z28" s="2653"/>
    </row>
    <row r="29" spans="1:34" ht="13.5" thickBot="1">
      <c r="A29" s="2634" t="s">
        <v>2588</v>
      </c>
      <c r="B29" s="2678">
        <v>278</v>
      </c>
      <c r="C29" s="2678">
        <v>234</v>
      </c>
      <c r="D29" s="2678">
        <f t="shared" si="55"/>
        <v>234</v>
      </c>
      <c r="E29" s="2678">
        <v>379</v>
      </c>
      <c r="F29" s="2679">
        <v>220</v>
      </c>
      <c r="G29" s="3456">
        <v>2012</v>
      </c>
      <c r="H29" s="2654">
        <v>4</v>
      </c>
      <c r="I29" s="2654">
        <v>0.91</v>
      </c>
      <c r="J29" s="2654">
        <v>0.68</v>
      </c>
      <c r="K29" s="2654">
        <v>0.98</v>
      </c>
      <c r="L29" s="2655">
        <v>0.9</v>
      </c>
      <c r="N29" s="2643">
        <f t="shared" si="57"/>
        <v>9.1000000000000004E-3</v>
      </c>
      <c r="O29" s="2644">
        <f t="shared" si="57"/>
        <v>6.8000000000000005E-3</v>
      </c>
      <c r="P29" s="2644">
        <f t="shared" si="57"/>
        <v>9.7999999999999997E-3</v>
      </c>
      <c r="Q29" s="2644">
        <f t="shared" si="57"/>
        <v>9.0000000000000011E-3</v>
      </c>
      <c r="R29" s="2645"/>
      <c r="S29" s="2646"/>
      <c r="T29" s="2647"/>
      <c r="U29" s="2647"/>
      <c r="V29" s="2647"/>
      <c r="X29" s="2647"/>
      <c r="Y29" s="2647"/>
      <c r="Z29" s="2647"/>
    </row>
    <row r="30" spans="1:34">
      <c r="A30" s="2634" t="s">
        <v>2589</v>
      </c>
      <c r="B30" s="2648">
        <f>B29/(1+N29)</f>
        <v>275.49301357645425</v>
      </c>
      <c r="C30" s="2648">
        <f>C29/(1+O29)</f>
        <v>232.41954707985698</v>
      </c>
      <c r="D30" s="2648">
        <f t="shared" si="55"/>
        <v>232.41954707985698</v>
      </c>
      <c r="E30" s="2648">
        <f t="shared" ref="E30:F32" si="66">E29/(1+P29)</f>
        <v>375.32184591008121</v>
      </c>
      <c r="F30" s="2648">
        <f t="shared" si="66"/>
        <v>218.03766105054513</v>
      </c>
      <c r="G30" s="3457"/>
      <c r="H30" s="2659">
        <v>3</v>
      </c>
      <c r="I30" s="2659">
        <v>0.09</v>
      </c>
      <c r="J30" s="2659">
        <v>0.28999999999999998</v>
      </c>
      <c r="K30" s="2659">
        <v>-0.01</v>
      </c>
      <c r="L30" s="2660">
        <v>0.57999999999999996</v>
      </c>
      <c r="N30" s="2643">
        <f t="shared" si="57"/>
        <v>8.9999999999999998E-4</v>
      </c>
      <c r="O30" s="2644">
        <f t="shared" si="57"/>
        <v>2.8999999999999998E-3</v>
      </c>
      <c r="P30" s="2644">
        <f t="shared" si="57"/>
        <v>-1E-4</v>
      </c>
      <c r="Q30" s="2644">
        <f t="shared" si="57"/>
        <v>5.7999999999999996E-3</v>
      </c>
      <c r="R30" s="2645"/>
      <c r="S30" s="2643"/>
      <c r="T30" s="2644"/>
      <c r="U30" s="2644"/>
      <c r="V30" s="2644"/>
    </row>
    <row r="31" spans="1:34">
      <c r="A31" s="2634" t="s">
        <v>2590</v>
      </c>
      <c r="B31" s="2648">
        <f>B30/(1+N30)</f>
        <v>275.24529281292263</v>
      </c>
      <c r="C31" s="2648">
        <f>C30/(1+O30)</f>
        <v>231.74747938962707</v>
      </c>
      <c r="D31" s="2648">
        <f t="shared" si="55"/>
        <v>231.74747938962707</v>
      </c>
      <c r="E31" s="2648">
        <f t="shared" si="66"/>
        <v>375.35938184826603</v>
      </c>
      <c r="F31" s="2648">
        <f t="shared" si="66"/>
        <v>216.78033510692495</v>
      </c>
      <c r="G31" s="3457"/>
      <c r="H31" s="2639">
        <v>2</v>
      </c>
      <c r="I31" s="2639">
        <v>0.02</v>
      </c>
      <c r="J31" s="2639">
        <v>0.12</v>
      </c>
      <c r="K31" s="2639">
        <v>-0.08</v>
      </c>
      <c r="L31" s="2650">
        <v>1.24</v>
      </c>
      <c r="N31" s="2643">
        <f t="shared" si="57"/>
        <v>2.0000000000000001E-4</v>
      </c>
      <c r="O31" s="2644">
        <f t="shared" si="57"/>
        <v>1.1999999999999999E-3</v>
      </c>
      <c r="P31" s="2644">
        <f t="shared" si="57"/>
        <v>-8.0000000000000004E-4</v>
      </c>
      <c r="Q31" s="2644">
        <f t="shared" si="57"/>
        <v>1.24E-2</v>
      </c>
      <c r="R31" s="2645"/>
      <c r="S31" s="2643"/>
      <c r="T31" s="2644"/>
      <c r="U31" s="2644"/>
      <c r="V31" s="2644"/>
    </row>
    <row r="32" spans="1:34" ht="13.5" thickBot="1">
      <c r="A32" s="2634" t="s">
        <v>2591</v>
      </c>
      <c r="B32" s="2648">
        <f>B31/(1+N31)</f>
        <v>275.19025476197027</v>
      </c>
      <c r="C32" s="2680">
        <v>232</v>
      </c>
      <c r="D32" s="2680">
        <f t="shared" si="55"/>
        <v>232</v>
      </c>
      <c r="E32" s="2648">
        <f t="shared" si="66"/>
        <v>375.65990977608692</v>
      </c>
      <c r="F32" s="2648">
        <f t="shared" si="66"/>
        <v>214.12518283971252</v>
      </c>
      <c r="G32" s="3458"/>
      <c r="H32" s="2638">
        <v>1</v>
      </c>
      <c r="I32" s="2638">
        <v>0.02</v>
      </c>
      <c r="J32" s="2638">
        <v>0.13</v>
      </c>
      <c r="K32" s="2638">
        <v>-0.04</v>
      </c>
      <c r="L32" s="2649">
        <v>0.46</v>
      </c>
      <c r="N32" s="2643">
        <f t="shared" si="57"/>
        <v>2.0000000000000001E-4</v>
      </c>
      <c r="O32" s="2644">
        <f t="shared" si="57"/>
        <v>1.2999999999999999E-3</v>
      </c>
      <c r="P32" s="2644">
        <f t="shared" si="57"/>
        <v>-4.0000000000000002E-4</v>
      </c>
      <c r="Q32" s="2644">
        <f t="shared" si="57"/>
        <v>4.5999999999999999E-3</v>
      </c>
      <c r="R32" s="2645"/>
      <c r="S32" s="2651">
        <f>B32/B33-1</f>
        <v>6.9183549807361189E-4</v>
      </c>
      <c r="T32" s="2652">
        <f>C32/C33-1</f>
        <v>0</v>
      </c>
      <c r="U32" s="2652">
        <f>E32/E33-1</f>
        <v>-9.0449527636460303E-4</v>
      </c>
      <c r="V32" s="2652">
        <f>F32/F33-1</f>
        <v>5.2825485432512753E-3</v>
      </c>
      <c r="X32" s="2653"/>
      <c r="Y32" s="2653"/>
      <c r="Z32" s="2653"/>
    </row>
    <row r="33" spans="1:26" ht="13.5" thickBot="1">
      <c r="A33" s="2634" t="s">
        <v>2592</v>
      </c>
      <c r="B33" s="2640">
        <v>275</v>
      </c>
      <c r="C33" s="2640">
        <v>232</v>
      </c>
      <c r="D33" s="2640">
        <f t="shared" si="55"/>
        <v>232</v>
      </c>
      <c r="E33" s="2640">
        <v>376</v>
      </c>
      <c r="F33" s="2641">
        <v>213</v>
      </c>
      <c r="G33" s="3456">
        <v>2011</v>
      </c>
      <c r="H33" s="2654">
        <v>4</v>
      </c>
      <c r="I33" s="2654">
        <v>-0.2</v>
      </c>
      <c r="J33" s="2654">
        <v>0.04</v>
      </c>
      <c r="K33" s="2654">
        <v>-0.34</v>
      </c>
      <c r="L33" s="2655">
        <v>0.46</v>
      </c>
      <c r="N33" s="2656">
        <f t="shared" si="57"/>
        <v>-2E-3</v>
      </c>
      <c r="O33" s="2657">
        <f t="shared" si="57"/>
        <v>4.0000000000000002E-4</v>
      </c>
      <c r="P33" s="2657">
        <f t="shared" si="57"/>
        <v>-3.4000000000000002E-3</v>
      </c>
      <c r="Q33" s="2657">
        <f t="shared" si="57"/>
        <v>4.5999999999999999E-3</v>
      </c>
      <c r="R33" s="2645"/>
      <c r="S33" s="2646"/>
      <c r="T33" s="2647"/>
      <c r="U33" s="2647"/>
      <c r="V33" s="2647"/>
      <c r="X33" s="2647"/>
      <c r="Y33" s="2647"/>
      <c r="Z33" s="2647"/>
    </row>
    <row r="34" spans="1:26">
      <c r="A34" s="2634" t="s">
        <v>2593</v>
      </c>
      <c r="B34" s="2648">
        <f t="shared" ref="B34:C36" si="67">B33/(1+N33)</f>
        <v>275.55110220440883</v>
      </c>
      <c r="C34" s="2648">
        <f t="shared" si="67"/>
        <v>231.90723710515795</v>
      </c>
      <c r="D34" s="2648">
        <f t="shared" si="55"/>
        <v>231.90723710515795</v>
      </c>
      <c r="E34" s="2648">
        <f t="shared" ref="E34:F36" si="68">E33/(1+P33)</f>
        <v>377.28276138872161</v>
      </c>
      <c r="F34" s="2648">
        <f t="shared" si="68"/>
        <v>212.02468644236512</v>
      </c>
      <c r="G34" s="3457">
        <v>2011</v>
      </c>
      <c r="H34" s="2659">
        <v>3</v>
      </c>
      <c r="I34" s="2659">
        <v>0.13</v>
      </c>
      <c r="J34" s="2659">
        <v>0.75</v>
      </c>
      <c r="K34" s="2659">
        <v>-0.08</v>
      </c>
      <c r="L34" s="2660">
        <v>0.53</v>
      </c>
      <c r="N34" s="2643">
        <f t="shared" si="57"/>
        <v>1.2999999999999999E-3</v>
      </c>
      <c r="O34" s="2661">
        <f t="shared" si="57"/>
        <v>7.4999999999999997E-3</v>
      </c>
      <c r="P34" s="2661">
        <f t="shared" si="57"/>
        <v>-8.0000000000000004E-4</v>
      </c>
      <c r="Q34" s="2661">
        <f t="shared" si="57"/>
        <v>5.3E-3</v>
      </c>
      <c r="R34" s="2645"/>
      <c r="S34" s="2643"/>
      <c r="T34" s="2644"/>
      <c r="U34" s="2644"/>
      <c r="V34" s="2644"/>
    </row>
    <row r="35" spans="1:26">
      <c r="A35" s="2634" t="s">
        <v>2594</v>
      </c>
      <c r="B35" s="2648">
        <f t="shared" si="67"/>
        <v>275.19335084830601</v>
      </c>
      <c r="C35" s="2648">
        <f t="shared" si="67"/>
        <v>230.18088050139744</v>
      </c>
      <c r="D35" s="2648">
        <f t="shared" si="55"/>
        <v>230.18088050139744</v>
      </c>
      <c r="E35" s="2648">
        <f t="shared" si="68"/>
        <v>377.58482925212331</v>
      </c>
      <c r="F35" s="2648">
        <f t="shared" si="68"/>
        <v>210.90687997847917</v>
      </c>
      <c r="G35" s="3457">
        <v>2011</v>
      </c>
      <c r="H35" s="2639">
        <v>2</v>
      </c>
      <c r="I35" s="2639">
        <v>-0.4</v>
      </c>
      <c r="J35" s="2639">
        <v>0.17</v>
      </c>
      <c r="K35" s="2639">
        <v>-0.57999999999999996</v>
      </c>
      <c r="L35" s="2650">
        <v>-0.2</v>
      </c>
      <c r="N35" s="2643">
        <f t="shared" si="57"/>
        <v>-4.0000000000000001E-3</v>
      </c>
      <c r="O35" s="2661">
        <f t="shared" si="57"/>
        <v>1.7000000000000001E-3</v>
      </c>
      <c r="P35" s="2661">
        <f t="shared" si="57"/>
        <v>-5.7999999999999996E-3</v>
      </c>
      <c r="Q35" s="2661">
        <f t="shared" si="57"/>
        <v>-2E-3</v>
      </c>
      <c r="R35" s="2645"/>
      <c r="S35" s="2643"/>
      <c r="T35" s="2644"/>
      <c r="U35" s="2644"/>
      <c r="V35" s="2644"/>
    </row>
    <row r="36" spans="1:26" ht="13.5" thickBot="1">
      <c r="A36" s="2634" t="s">
        <v>2595</v>
      </c>
      <c r="B36" s="2648">
        <f t="shared" si="67"/>
        <v>276.29854502841971</v>
      </c>
      <c r="C36" s="2648">
        <f t="shared" si="67"/>
        <v>229.79023709833027</v>
      </c>
      <c r="D36" s="2648">
        <f t="shared" si="55"/>
        <v>229.79023709833027</v>
      </c>
      <c r="E36" s="2648">
        <f t="shared" si="68"/>
        <v>379.78759731655936</v>
      </c>
      <c r="F36" s="2648">
        <f t="shared" si="68"/>
        <v>211.32953905659235</v>
      </c>
      <c r="G36" s="3458">
        <v>2011</v>
      </c>
      <c r="H36" s="2638">
        <v>1</v>
      </c>
      <c r="I36" s="2638">
        <v>2.65</v>
      </c>
      <c r="J36" s="2638">
        <v>3.76</v>
      </c>
      <c r="K36" s="2638">
        <v>1.89</v>
      </c>
      <c r="L36" s="2649">
        <v>7.95</v>
      </c>
      <c r="N36" s="2651">
        <f t="shared" si="57"/>
        <v>2.6499999999999999E-2</v>
      </c>
      <c r="O36" s="2652">
        <f t="shared" si="57"/>
        <v>3.7599999999999995E-2</v>
      </c>
      <c r="P36" s="2652">
        <f t="shared" si="57"/>
        <v>1.89E-2</v>
      </c>
      <c r="Q36" s="2652">
        <f t="shared" si="57"/>
        <v>7.9500000000000001E-2</v>
      </c>
      <c r="R36" s="2645"/>
      <c r="S36" s="2651">
        <f>B36/B37-1</f>
        <v>2.713213765211786E-2</v>
      </c>
      <c r="T36" s="2652">
        <f>C36/C37-1</f>
        <v>3.9774828499231862E-2</v>
      </c>
      <c r="U36" s="2652">
        <f>E36/E37-1</f>
        <v>1.8197311840641772E-2</v>
      </c>
      <c r="V36" s="2652">
        <f>F36/F37-1</f>
        <v>7.8211933962205826E-2</v>
      </c>
      <c r="X36" s="2653"/>
      <c r="Y36" s="2653"/>
      <c r="Z36" s="2653"/>
    </row>
    <row r="37" spans="1:26" ht="13.5" thickBot="1">
      <c r="A37" s="2634" t="s">
        <v>2596</v>
      </c>
      <c r="B37" s="2640">
        <v>269</v>
      </c>
      <c r="C37" s="2640">
        <v>221</v>
      </c>
      <c r="D37" s="2640">
        <f t="shared" si="55"/>
        <v>221</v>
      </c>
      <c r="E37" s="2640">
        <v>373</v>
      </c>
      <c r="F37" s="2641">
        <v>196</v>
      </c>
      <c r="G37" s="3456">
        <v>2010</v>
      </c>
      <c r="H37" s="2654">
        <v>4</v>
      </c>
      <c r="I37" s="2654">
        <v>5.72</v>
      </c>
      <c r="J37" s="2654">
        <v>6.57</v>
      </c>
      <c r="K37" s="2654">
        <v>5.72</v>
      </c>
      <c r="L37" s="2655">
        <v>2.72</v>
      </c>
      <c r="N37" s="2643">
        <f t="shared" si="57"/>
        <v>5.7200000000000001E-2</v>
      </c>
      <c r="O37" s="2644">
        <f t="shared" si="57"/>
        <v>6.5700000000000008E-2</v>
      </c>
      <c r="P37" s="2644">
        <f t="shared" si="57"/>
        <v>5.7200000000000001E-2</v>
      </c>
      <c r="Q37" s="2644">
        <f t="shared" si="57"/>
        <v>2.7200000000000002E-2</v>
      </c>
      <c r="R37" s="2645"/>
      <c r="S37" s="2646"/>
      <c r="T37" s="2647"/>
      <c r="U37" s="2647"/>
      <c r="V37" s="2647"/>
      <c r="X37" s="2647"/>
      <c r="Y37" s="2647"/>
      <c r="Z37" s="2647"/>
    </row>
    <row r="38" spans="1:26">
      <c r="A38" s="2634" t="s">
        <v>2597</v>
      </c>
      <c r="B38" s="2648">
        <f t="shared" ref="B38:C40" si="69">B37/(1+N37)</f>
        <v>254.44570563753314</v>
      </c>
      <c r="C38" s="2648">
        <f t="shared" si="69"/>
        <v>207.37543398705074</v>
      </c>
      <c r="D38" s="2648">
        <f t="shared" si="55"/>
        <v>207.37543398705074</v>
      </c>
      <c r="E38" s="2648">
        <f t="shared" ref="E38:F40" si="70">E37/(1+P37)</f>
        <v>352.81876655315932</v>
      </c>
      <c r="F38" s="2648">
        <f t="shared" si="70"/>
        <v>190.809968847352</v>
      </c>
      <c r="G38" s="3457">
        <v>2010</v>
      </c>
      <c r="H38" s="2659">
        <v>3</v>
      </c>
      <c r="I38" s="2659">
        <v>4.7300000000000004</v>
      </c>
      <c r="J38" s="2659">
        <v>3.9</v>
      </c>
      <c r="K38" s="2659">
        <v>5.03</v>
      </c>
      <c r="L38" s="2660">
        <v>4.21</v>
      </c>
      <c r="N38" s="2643">
        <f t="shared" si="57"/>
        <v>4.7300000000000002E-2</v>
      </c>
      <c r="O38" s="2644">
        <f t="shared" si="57"/>
        <v>3.9E-2</v>
      </c>
      <c r="P38" s="2644">
        <f t="shared" si="57"/>
        <v>5.0300000000000004E-2</v>
      </c>
      <c r="Q38" s="2644">
        <f t="shared" si="57"/>
        <v>4.2099999999999999E-2</v>
      </c>
      <c r="R38" s="2645"/>
      <c r="S38" s="2643"/>
      <c r="T38" s="2644"/>
      <c r="U38" s="2644"/>
      <c r="V38" s="2644"/>
    </row>
    <row r="39" spans="1:26">
      <c r="A39" s="2634" t="s">
        <v>2598</v>
      </c>
      <c r="B39" s="2648">
        <f t="shared" si="69"/>
        <v>242.95398227588385</v>
      </c>
      <c r="C39" s="2648">
        <f t="shared" si="69"/>
        <v>199.59137053614126</v>
      </c>
      <c r="D39" s="2648">
        <f t="shared" si="55"/>
        <v>199.59137053614126</v>
      </c>
      <c r="E39" s="2648">
        <f t="shared" si="70"/>
        <v>335.92189522342125</v>
      </c>
      <c r="F39" s="2648">
        <f t="shared" si="70"/>
        <v>183.10139991109489</v>
      </c>
      <c r="G39" s="3457">
        <v>2010</v>
      </c>
      <c r="H39" s="2639">
        <v>2</v>
      </c>
      <c r="I39" s="2639">
        <v>4.6900000000000004</v>
      </c>
      <c r="J39" s="2639">
        <v>3.55</v>
      </c>
      <c r="K39" s="2639">
        <v>5.07</v>
      </c>
      <c r="L39" s="2650">
        <v>4.2300000000000004</v>
      </c>
      <c r="N39" s="2643">
        <f t="shared" si="57"/>
        <v>4.6900000000000004E-2</v>
      </c>
      <c r="O39" s="2644">
        <f t="shared" si="57"/>
        <v>3.5499999999999997E-2</v>
      </c>
      <c r="P39" s="2644">
        <f t="shared" si="57"/>
        <v>5.0700000000000002E-2</v>
      </c>
      <c r="Q39" s="2644">
        <f t="shared" si="57"/>
        <v>4.2300000000000004E-2</v>
      </c>
      <c r="R39" s="2645"/>
      <c r="S39" s="2643"/>
      <c r="T39" s="2644"/>
      <c r="U39" s="2644"/>
      <c r="V39" s="2644"/>
    </row>
    <row r="40" spans="1:26" ht="13.5" thickBot="1">
      <c r="A40" s="2634" t="s">
        <v>2599</v>
      </c>
      <c r="B40" s="2648">
        <f t="shared" si="69"/>
        <v>232.06990378821649</v>
      </c>
      <c r="C40" s="2648">
        <f t="shared" si="69"/>
        <v>192.74878854286936</v>
      </c>
      <c r="D40" s="2648">
        <f t="shared" si="55"/>
        <v>192.74878854286936</v>
      </c>
      <c r="E40" s="2648">
        <f t="shared" si="70"/>
        <v>319.71247284992984</v>
      </c>
      <c r="F40" s="2648">
        <f t="shared" si="70"/>
        <v>175.67053622862409</v>
      </c>
      <c r="G40" s="3458">
        <v>2010</v>
      </c>
      <c r="H40" s="2638">
        <v>1</v>
      </c>
      <c r="I40" s="2638">
        <v>5.4</v>
      </c>
      <c r="J40" s="2638">
        <v>3.2</v>
      </c>
      <c r="K40" s="2638">
        <v>6.16</v>
      </c>
      <c r="L40" s="2649">
        <v>4.51</v>
      </c>
      <c r="N40" s="2643">
        <f t="shared" si="57"/>
        <v>5.4000000000000006E-2</v>
      </c>
      <c r="O40" s="2644">
        <f t="shared" si="57"/>
        <v>3.2000000000000001E-2</v>
      </c>
      <c r="P40" s="2644">
        <f t="shared" si="57"/>
        <v>6.1600000000000002E-2</v>
      </c>
      <c r="Q40" s="2644">
        <f t="shared" si="57"/>
        <v>4.5100000000000001E-2</v>
      </c>
      <c r="R40" s="2645"/>
      <c r="S40" s="2651">
        <f>B40/B41-1</f>
        <v>5.4863199037347599E-2</v>
      </c>
      <c r="T40" s="2652">
        <f>C40/C41-1</f>
        <v>3.0742184721226584E-2</v>
      </c>
      <c r="U40" s="2652">
        <f>E40/E41-1</f>
        <v>6.2167683886810154E-2</v>
      </c>
      <c r="V40" s="2652">
        <f>F40/F41-1</f>
        <v>4.5657953741810031E-2</v>
      </c>
      <c r="X40" s="2653"/>
      <c r="Y40" s="2653"/>
      <c r="Z40" s="2653"/>
    </row>
    <row r="41" spans="1:26" ht="13.5" thickBot="1">
      <c r="A41" s="2634" t="s">
        <v>2600</v>
      </c>
      <c r="B41" s="2640">
        <v>220</v>
      </c>
      <c r="C41" s="2640">
        <v>187</v>
      </c>
      <c r="D41" s="2640">
        <f t="shared" si="55"/>
        <v>187</v>
      </c>
      <c r="E41" s="2640">
        <v>301</v>
      </c>
      <c r="F41" s="2641">
        <v>168</v>
      </c>
      <c r="G41" s="3456">
        <v>2009</v>
      </c>
      <c r="H41" s="2654">
        <v>4</v>
      </c>
      <c r="I41" s="2654">
        <v>2.2999999999999998</v>
      </c>
      <c r="J41" s="2654">
        <v>1.04</v>
      </c>
      <c r="K41" s="2654">
        <v>2.84</v>
      </c>
      <c r="L41" s="2655">
        <v>0.67</v>
      </c>
      <c r="N41" s="2656">
        <f t="shared" si="57"/>
        <v>2.3E-2</v>
      </c>
      <c r="O41" s="2657">
        <f t="shared" si="57"/>
        <v>1.04E-2</v>
      </c>
      <c r="P41" s="2657">
        <f t="shared" si="57"/>
        <v>2.8399999999999998E-2</v>
      </c>
      <c r="Q41" s="2657">
        <f t="shared" si="57"/>
        <v>6.7000000000000002E-3</v>
      </c>
      <c r="R41" s="2645"/>
      <c r="S41" s="2646"/>
      <c r="T41" s="2647"/>
      <c r="U41" s="2647"/>
      <c r="V41" s="2647"/>
      <c r="X41" s="2647"/>
      <c r="Y41" s="2647"/>
      <c r="Z41" s="2647"/>
    </row>
    <row r="42" spans="1:26">
      <c r="A42" s="2634" t="s">
        <v>2601</v>
      </c>
      <c r="B42" s="2648">
        <f t="shared" ref="B42:C44" si="71">B41/(1+N41)</f>
        <v>215.05376344086022</v>
      </c>
      <c r="C42" s="2648">
        <f t="shared" si="71"/>
        <v>185.0752177355503</v>
      </c>
      <c r="D42" s="2648">
        <f t="shared" si="55"/>
        <v>185.0752177355503</v>
      </c>
      <c r="E42" s="2648">
        <f t="shared" ref="E42:F44" si="72">E41/(1+P41)</f>
        <v>292.68767016725008</v>
      </c>
      <c r="F42" s="2648">
        <f t="shared" si="72"/>
        <v>166.88189132810174</v>
      </c>
      <c r="G42" s="3457">
        <v>2009</v>
      </c>
      <c r="H42" s="2659">
        <v>3</v>
      </c>
      <c r="I42" s="2659">
        <v>2.1</v>
      </c>
      <c r="J42" s="2659">
        <v>1.86</v>
      </c>
      <c r="K42" s="2659">
        <v>2.29</v>
      </c>
      <c r="L42" s="2660">
        <v>0.85</v>
      </c>
      <c r="N42" s="2643">
        <f t="shared" si="57"/>
        <v>2.1000000000000001E-2</v>
      </c>
      <c r="O42" s="2661">
        <f t="shared" si="57"/>
        <v>1.8600000000000002E-2</v>
      </c>
      <c r="P42" s="2661">
        <f t="shared" si="57"/>
        <v>2.29E-2</v>
      </c>
      <c r="Q42" s="2661">
        <f t="shared" si="57"/>
        <v>8.5000000000000006E-3</v>
      </c>
      <c r="R42" s="2645"/>
      <c r="S42" s="2643"/>
      <c r="T42" s="2644"/>
      <c r="U42" s="2644"/>
      <c r="V42" s="2644"/>
    </row>
    <row r="43" spans="1:26">
      <c r="A43" s="2634" t="s">
        <v>2602</v>
      </c>
      <c r="B43" s="2648">
        <f t="shared" si="71"/>
        <v>210.630522469011</v>
      </c>
      <c r="C43" s="2648">
        <f t="shared" si="71"/>
        <v>181.69567812247232</v>
      </c>
      <c r="D43" s="2648">
        <f t="shared" si="55"/>
        <v>181.69567812247232</v>
      </c>
      <c r="E43" s="2648">
        <f t="shared" si="72"/>
        <v>286.13517466736738</v>
      </c>
      <c r="F43" s="2648">
        <f t="shared" si="72"/>
        <v>165.47535084591149</v>
      </c>
      <c r="G43" s="3457">
        <v>2009</v>
      </c>
      <c r="H43" s="2639">
        <v>2</v>
      </c>
      <c r="I43" s="2639">
        <v>0.86</v>
      </c>
      <c r="J43" s="2639">
        <v>-1.1299999999999999</v>
      </c>
      <c r="K43" s="2639">
        <v>1.79</v>
      </c>
      <c r="L43" s="2650">
        <v>-2.0699999999999998</v>
      </c>
      <c r="N43" s="2643">
        <f t="shared" si="57"/>
        <v>8.6E-3</v>
      </c>
      <c r="O43" s="2661">
        <f t="shared" si="57"/>
        <v>-1.1299999999999999E-2</v>
      </c>
      <c r="P43" s="2661">
        <f t="shared" si="57"/>
        <v>1.7899999999999999E-2</v>
      </c>
      <c r="Q43" s="2661">
        <f t="shared" si="57"/>
        <v>-2.07E-2</v>
      </c>
      <c r="R43" s="2645"/>
      <c r="S43" s="2643"/>
      <c r="T43" s="2644"/>
      <c r="U43" s="2644"/>
      <c r="V43" s="2644"/>
    </row>
    <row r="44" spans="1:26">
      <c r="A44" s="2634" t="s">
        <v>2603</v>
      </c>
      <c r="B44" s="2648">
        <f t="shared" si="71"/>
        <v>208.83454537875372</v>
      </c>
      <c r="C44" s="2648">
        <f t="shared" si="71"/>
        <v>183.77230517090351</v>
      </c>
      <c r="D44" s="2648">
        <f t="shared" si="55"/>
        <v>183.77230517090351</v>
      </c>
      <c r="E44" s="2648">
        <f t="shared" si="72"/>
        <v>281.10342338870947</v>
      </c>
      <c r="F44" s="2648">
        <f t="shared" si="72"/>
        <v>168.97309388942256</v>
      </c>
      <c r="G44" s="3458">
        <v>2009</v>
      </c>
      <c r="H44" s="2638">
        <v>1</v>
      </c>
      <c r="I44" s="2638">
        <v>-2.64</v>
      </c>
      <c r="J44" s="2638">
        <v>-2.5299999999999998</v>
      </c>
      <c r="K44" s="2638">
        <v>-3.02</v>
      </c>
      <c r="L44" s="2649">
        <v>1.52</v>
      </c>
      <c r="N44" s="2651">
        <f t="shared" si="57"/>
        <v>-2.64E-2</v>
      </c>
      <c r="O44" s="2652">
        <f t="shared" si="57"/>
        <v>-2.53E-2</v>
      </c>
      <c r="P44" s="2652">
        <f t="shared" si="57"/>
        <v>-3.0200000000000001E-2</v>
      </c>
      <c r="Q44" s="2652">
        <f t="shared" si="57"/>
        <v>1.52E-2</v>
      </c>
      <c r="R44" s="2645"/>
      <c r="S44" s="2651">
        <f>B44/B45-1</f>
        <v>-2.4137638417038754E-2</v>
      </c>
      <c r="T44" s="2652">
        <f>C44/C45-1</f>
        <v>-2.248773845264096E-2</v>
      </c>
      <c r="U44" s="2652">
        <f>E44/E45-1</f>
        <v>-2.7323794502735366E-2</v>
      </c>
      <c r="V44" s="2652">
        <f>F44/F45-1</f>
        <v>1.7910204153148035E-2</v>
      </c>
      <c r="X44" s="2653"/>
      <c r="Y44" s="2653"/>
      <c r="Z44" s="2653"/>
    </row>
    <row r="45" spans="1:26" ht="13.5" thickBot="1">
      <c r="A45" s="2634" t="s">
        <v>2604</v>
      </c>
      <c r="B45" s="2678">
        <v>214</v>
      </c>
      <c r="C45" s="2678">
        <v>188</v>
      </c>
      <c r="D45" s="2678">
        <f t="shared" si="55"/>
        <v>188</v>
      </c>
      <c r="E45" s="2678">
        <v>289</v>
      </c>
      <c r="F45" s="2679">
        <v>166</v>
      </c>
      <c r="G45" s="3456">
        <v>2008</v>
      </c>
      <c r="H45" s="2654">
        <v>4</v>
      </c>
      <c r="I45" s="2654">
        <v>1.73</v>
      </c>
      <c r="J45" s="2654">
        <v>0.03</v>
      </c>
      <c r="K45" s="2654">
        <v>2.59</v>
      </c>
      <c r="L45" s="2655">
        <v>-1.66</v>
      </c>
      <c r="N45" s="2643">
        <f t="shared" si="57"/>
        <v>1.7299999999999999E-2</v>
      </c>
      <c r="O45" s="2644">
        <f t="shared" si="57"/>
        <v>2.9999999999999997E-4</v>
      </c>
      <c r="P45" s="2644">
        <f t="shared" si="57"/>
        <v>2.5899999999999999E-2</v>
      </c>
      <c r="Q45" s="2644">
        <f t="shared" si="57"/>
        <v>-1.66E-2</v>
      </c>
      <c r="R45" s="2645"/>
      <c r="S45" s="2646"/>
      <c r="T45" s="2647"/>
      <c r="U45" s="2647"/>
      <c r="V45" s="2647"/>
      <c r="X45" s="2647"/>
      <c r="Y45" s="2647"/>
      <c r="Z45" s="2647"/>
    </row>
    <row r="46" spans="1:26">
      <c r="A46" s="2634" t="s">
        <v>2605</v>
      </c>
      <c r="B46" s="2648">
        <f t="shared" ref="B46:C48" si="73">B45/(1+N45)</f>
        <v>210.36075887152265</v>
      </c>
      <c r="C46" s="2648">
        <f t="shared" si="73"/>
        <v>187.94361691492554</v>
      </c>
      <c r="D46" s="2648">
        <f t="shared" si="55"/>
        <v>187.94361691492554</v>
      </c>
      <c r="E46" s="2648">
        <f t="shared" ref="E46:F48" si="74">E45/(1+P45)</f>
        <v>281.70386977288234</v>
      </c>
      <c r="F46" s="2648">
        <f t="shared" si="74"/>
        <v>168.80211511083994</v>
      </c>
      <c r="G46" s="3457">
        <v>2008</v>
      </c>
      <c r="H46" s="2659">
        <v>3</v>
      </c>
      <c r="I46" s="2659">
        <v>1.96</v>
      </c>
      <c r="J46" s="2659">
        <v>2.36</v>
      </c>
      <c r="K46" s="2659">
        <v>1.82</v>
      </c>
      <c r="L46" s="2660">
        <v>2.2200000000000002</v>
      </c>
      <c r="N46" s="2643">
        <f t="shared" si="57"/>
        <v>1.9599999999999999E-2</v>
      </c>
      <c r="O46" s="2644">
        <f t="shared" si="57"/>
        <v>2.3599999999999999E-2</v>
      </c>
      <c r="P46" s="2644">
        <f t="shared" si="57"/>
        <v>1.8200000000000001E-2</v>
      </c>
      <c r="Q46" s="2644">
        <f t="shared" si="57"/>
        <v>2.2200000000000001E-2</v>
      </c>
      <c r="R46" s="2645"/>
      <c r="S46" s="2643"/>
      <c r="T46" s="2644"/>
      <c r="U46" s="2644"/>
      <c r="V46" s="2644"/>
    </row>
    <row r="47" spans="1:26">
      <c r="A47" s="2634" t="s">
        <v>2606</v>
      </c>
      <c r="B47" s="2648">
        <f t="shared" si="73"/>
        <v>206.31694671589116</v>
      </c>
      <c r="C47" s="2648">
        <f t="shared" si="73"/>
        <v>183.61041121036101</v>
      </c>
      <c r="D47" s="2648">
        <f t="shared" si="55"/>
        <v>183.61041121036101</v>
      </c>
      <c r="E47" s="2648">
        <f t="shared" si="74"/>
        <v>276.66850301795557</v>
      </c>
      <c r="F47" s="2648">
        <f t="shared" si="74"/>
        <v>165.1360938278614</v>
      </c>
      <c r="G47" s="3457">
        <v>2008</v>
      </c>
      <c r="H47" s="2639">
        <v>2</v>
      </c>
      <c r="I47" s="2639">
        <v>4.93</v>
      </c>
      <c r="J47" s="2639">
        <v>7.38</v>
      </c>
      <c r="K47" s="2639">
        <v>3.98</v>
      </c>
      <c r="L47" s="2650">
        <v>6.86</v>
      </c>
      <c r="N47" s="2643">
        <f t="shared" si="57"/>
        <v>4.9299999999999997E-2</v>
      </c>
      <c r="O47" s="2644">
        <f t="shared" si="57"/>
        <v>7.3800000000000004E-2</v>
      </c>
      <c r="P47" s="2644">
        <f t="shared" si="57"/>
        <v>3.9800000000000002E-2</v>
      </c>
      <c r="Q47" s="2644">
        <f t="shared" si="57"/>
        <v>6.8600000000000008E-2</v>
      </c>
      <c r="R47" s="2645"/>
      <c r="S47" s="2643"/>
      <c r="T47" s="2644"/>
      <c r="U47" s="2644"/>
      <c r="V47" s="2644"/>
    </row>
    <row r="48" spans="1:26" s="2684" customFormat="1" ht="13.5" thickBot="1">
      <c r="A48" s="2634" t="s">
        <v>2607</v>
      </c>
      <c r="B48" s="2681">
        <f t="shared" si="73"/>
        <v>196.62341248059772</v>
      </c>
      <c r="C48" s="2681">
        <f t="shared" si="73"/>
        <v>170.99125648199012</v>
      </c>
      <c r="D48" s="2681">
        <f t="shared" si="55"/>
        <v>170.99125648199012</v>
      </c>
      <c r="E48" s="2681">
        <f t="shared" si="74"/>
        <v>266.07857570490052</v>
      </c>
      <c r="F48" s="2681">
        <f t="shared" si="74"/>
        <v>154.53499328828505</v>
      </c>
      <c r="G48" s="3458">
        <v>2008</v>
      </c>
      <c r="H48" s="2682">
        <v>1</v>
      </c>
      <c r="I48" s="2682">
        <v>4.1399999999999997</v>
      </c>
      <c r="J48" s="2682">
        <v>3.45</v>
      </c>
      <c r="K48" s="2682">
        <v>4.95</v>
      </c>
      <c r="L48" s="2683">
        <v>4.82</v>
      </c>
      <c r="N48" s="2685">
        <f t="shared" si="57"/>
        <v>4.1399999999999999E-2</v>
      </c>
      <c r="O48" s="2686">
        <f t="shared" si="57"/>
        <v>3.4500000000000003E-2</v>
      </c>
      <c r="P48" s="2686">
        <f t="shared" si="57"/>
        <v>4.9500000000000002E-2</v>
      </c>
      <c r="Q48" s="2686">
        <f t="shared" si="57"/>
        <v>4.82E-2</v>
      </c>
      <c r="R48" s="2687"/>
      <c r="S48" s="2685">
        <f>B48/B49-1</f>
        <v>4.5869215322328349E-2</v>
      </c>
      <c r="T48" s="2686">
        <f>C48/C49-1</f>
        <v>3.6310645345394743E-2</v>
      </c>
      <c r="U48" s="2686">
        <f>E48/E49-1</f>
        <v>4.7553447657088688E-2</v>
      </c>
      <c r="V48" s="2686">
        <f>F48/F49-1</f>
        <v>4.4155360055980086E-2</v>
      </c>
      <c r="X48" s="2688"/>
      <c r="Y48" s="2688"/>
      <c r="Z48" s="2688"/>
    </row>
    <row r="49" spans="1:26" ht="13.5" thickBot="1">
      <c r="A49" s="2634" t="s">
        <v>2608</v>
      </c>
      <c r="B49" s="2640">
        <v>188</v>
      </c>
      <c r="C49" s="2640">
        <v>165</v>
      </c>
      <c r="D49" s="2640">
        <f t="shared" si="55"/>
        <v>165</v>
      </c>
      <c r="E49" s="2640">
        <v>254</v>
      </c>
      <c r="F49" s="2641">
        <v>148</v>
      </c>
      <c r="G49" s="3456">
        <v>2007</v>
      </c>
      <c r="H49" s="2689">
        <v>4</v>
      </c>
      <c r="I49" s="2689">
        <v>5.51</v>
      </c>
      <c r="J49" s="2689">
        <v>4.8899999999999997</v>
      </c>
      <c r="K49" s="2689">
        <v>6.43</v>
      </c>
      <c r="L49" s="2690">
        <v>5.36</v>
      </c>
      <c r="N49" s="2691">
        <f t="shared" ref="N49:O52" si="75">B49/B50-1</f>
        <v>4.1339718365245526E-2</v>
      </c>
      <c r="O49" s="2692">
        <f t="shared" si="75"/>
        <v>4.0324492593776018E-2</v>
      </c>
      <c r="P49" s="2692">
        <f t="shared" ref="P49:Q52" si="76">E49/E50-1</f>
        <v>6.1625555347990968E-2</v>
      </c>
      <c r="Q49" s="2692">
        <f t="shared" si="76"/>
        <v>4.6757569250590603E-2</v>
      </c>
      <c r="R49" s="2645"/>
      <c r="S49" s="2646"/>
      <c r="T49" s="2647"/>
      <c r="U49" s="2647"/>
      <c r="V49" s="2647"/>
      <c r="X49" s="2647"/>
      <c r="Y49" s="2647"/>
      <c r="Z49" s="2647"/>
    </row>
    <row r="50" spans="1:26">
      <c r="A50" s="2634" t="s">
        <v>2609</v>
      </c>
      <c r="B50" s="2648">
        <f t="shared" ref="B50:C52" si="77">B51+(B$49-B$53)*I50/SUM(I$49:I$52)</f>
        <v>180.5366651097618</v>
      </c>
      <c r="C50" s="2648">
        <f t="shared" si="77"/>
        <v>158.60435967302453</v>
      </c>
      <c r="D50" s="2648">
        <f t="shared" si="55"/>
        <v>158.60435967302453</v>
      </c>
      <c r="E50" s="2648">
        <f t="shared" ref="E50:F52" si="78">E51+(E$49-E$53)*K50/SUM(K$49:K$52)</f>
        <v>239.25573260785075</v>
      </c>
      <c r="F50" s="2648">
        <f t="shared" si="78"/>
        <v>141.38899430740037</v>
      </c>
      <c r="G50" s="3457">
        <v>2007</v>
      </c>
      <c r="H50" s="2659">
        <v>3</v>
      </c>
      <c r="I50" s="2659">
        <v>8.65</v>
      </c>
      <c r="J50" s="2659">
        <v>8.06</v>
      </c>
      <c r="K50" s="2659">
        <v>9.94</v>
      </c>
      <c r="L50" s="2660">
        <v>5.8</v>
      </c>
      <c r="N50" s="2691">
        <f t="shared" si="75"/>
        <v>6.940217571740015E-2</v>
      </c>
      <c r="O50" s="2692">
        <f t="shared" si="75"/>
        <v>7.1197482471153428E-2</v>
      </c>
      <c r="P50" s="2692">
        <f t="shared" si="76"/>
        <v>0.10529679922579582</v>
      </c>
      <c r="Q50" s="2692">
        <f t="shared" si="76"/>
        <v>5.3292245059512133E-2</v>
      </c>
      <c r="R50" s="2645"/>
      <c r="S50" s="2643"/>
      <c r="T50" s="2644"/>
      <c r="U50" s="2644"/>
      <c r="V50" s="2644"/>
      <c r="X50" s="2693"/>
      <c r="Y50" s="2693"/>
      <c r="Z50" s="2693"/>
    </row>
    <row r="51" spans="1:26">
      <c r="A51" s="2634" t="s">
        <v>2610</v>
      </c>
      <c r="B51" s="2648">
        <f t="shared" si="77"/>
        <v>168.82017748715555</v>
      </c>
      <c r="C51" s="2648">
        <f t="shared" si="77"/>
        <v>148.06267029972753</v>
      </c>
      <c r="D51" s="2648">
        <f t="shared" si="55"/>
        <v>148.06267029972753</v>
      </c>
      <c r="E51" s="2648">
        <f t="shared" si="78"/>
        <v>216.46288379323747</v>
      </c>
      <c r="F51" s="2648">
        <f t="shared" si="78"/>
        <v>134.23529411764704</v>
      </c>
      <c r="G51" s="3457">
        <v>2007</v>
      </c>
      <c r="H51" s="2639">
        <v>2</v>
      </c>
      <c r="I51" s="2639">
        <v>3.67</v>
      </c>
      <c r="J51" s="2639">
        <v>2.3199999999999998</v>
      </c>
      <c r="K51" s="2639">
        <v>5.0199999999999996</v>
      </c>
      <c r="L51" s="2650">
        <v>6.71</v>
      </c>
      <c r="N51" s="2691">
        <f t="shared" si="75"/>
        <v>3.0339138143848032E-2</v>
      </c>
      <c r="O51" s="2692">
        <f t="shared" si="75"/>
        <v>2.0922341588790472E-2</v>
      </c>
      <c r="P51" s="2692">
        <f t="shared" si="76"/>
        <v>5.6164796592717003E-2</v>
      </c>
      <c r="Q51" s="2692">
        <f t="shared" si="76"/>
        <v>6.5704536723887319E-2</v>
      </c>
      <c r="R51" s="2645"/>
      <c r="S51" s="2643"/>
      <c r="T51" s="2644"/>
      <c r="U51" s="2644"/>
      <c r="V51" s="2644"/>
      <c r="X51" s="2693"/>
      <c r="Y51" s="2693"/>
      <c r="Z51" s="2693"/>
    </row>
    <row r="52" spans="1:26">
      <c r="A52" s="2634" t="s">
        <v>2611</v>
      </c>
      <c r="B52" s="2648">
        <f t="shared" si="77"/>
        <v>163.84913591779542</v>
      </c>
      <c r="C52" s="2648">
        <f t="shared" si="77"/>
        <v>145.0283378746594</v>
      </c>
      <c r="D52" s="2648">
        <f t="shared" si="55"/>
        <v>145.0283378746594</v>
      </c>
      <c r="E52" s="2648">
        <f t="shared" si="78"/>
        <v>204.95180722891567</v>
      </c>
      <c r="F52" s="2648">
        <f t="shared" si="78"/>
        <v>125.95920303605313</v>
      </c>
      <c r="G52" s="3458">
        <v>2007</v>
      </c>
      <c r="H52" s="2638">
        <v>1</v>
      </c>
      <c r="I52" s="2638">
        <v>3.58</v>
      </c>
      <c r="J52" s="2638">
        <v>3.08</v>
      </c>
      <c r="K52" s="2638">
        <v>4.34</v>
      </c>
      <c r="L52" s="2649">
        <v>3.21</v>
      </c>
      <c r="N52" s="2694">
        <f t="shared" si="75"/>
        <v>3.0497710174814063E-2</v>
      </c>
      <c r="O52" s="2695">
        <f t="shared" si="75"/>
        <v>2.8569772160704998E-2</v>
      </c>
      <c r="P52" s="2695">
        <f t="shared" si="76"/>
        <v>5.1034908866234296E-2</v>
      </c>
      <c r="Q52" s="2695">
        <f t="shared" si="76"/>
        <v>3.245248390207478E-2</v>
      </c>
      <c r="R52" s="2645"/>
      <c r="S52" s="2651">
        <f>B52/B53-1</f>
        <v>3.0497710174814063E-2</v>
      </c>
      <c r="T52" s="2652">
        <f>C52/C53-1</f>
        <v>2.8569772160704998E-2</v>
      </c>
      <c r="U52" s="2652">
        <f>E52/E53-1</f>
        <v>5.1034908866234296E-2</v>
      </c>
      <c r="V52" s="2652">
        <f>F52/F53-1</f>
        <v>3.245248390207478E-2</v>
      </c>
      <c r="X52" s="2693"/>
      <c r="Y52" s="2693"/>
      <c r="Z52" s="2693"/>
    </row>
    <row r="53" spans="1:26" ht="13.5" thickBot="1">
      <c r="A53" s="2634" t="s">
        <v>2612</v>
      </c>
      <c r="B53" s="2662">
        <v>159</v>
      </c>
      <c r="C53" s="2662">
        <v>141</v>
      </c>
      <c r="D53" s="2662">
        <f t="shared" si="55"/>
        <v>141</v>
      </c>
      <c r="E53" s="2662">
        <v>195</v>
      </c>
      <c r="F53" s="2663">
        <v>122</v>
      </c>
      <c r="G53" s="3456">
        <v>2006</v>
      </c>
      <c r="H53" s="2654">
        <v>4</v>
      </c>
      <c r="I53" s="2654">
        <v>3.79</v>
      </c>
      <c r="J53" s="2654">
        <v>2.21</v>
      </c>
      <c r="K53" s="2654">
        <v>5.65</v>
      </c>
      <c r="L53" s="2655">
        <v>5.41</v>
      </c>
      <c r="N53" s="2691">
        <f t="shared" ref="N53:O56" si="79">I53/SUM(I$53:I$56)*(B$53/B$57-1)</f>
        <v>7.245466462748526E-2</v>
      </c>
      <c r="O53" s="2692">
        <f t="shared" si="79"/>
        <v>2.3237230038062766E-2</v>
      </c>
      <c r="P53" s="2692">
        <f t="shared" ref="P53:Q56" si="80">K53/SUM(K$53:K$56)*(E$53/E$57-1)</f>
        <v>0.16146893866323722</v>
      </c>
      <c r="Q53" s="2692">
        <f t="shared" si="80"/>
        <v>5.0755230321793784E-2</v>
      </c>
      <c r="R53" s="2645"/>
      <c r="S53" s="2646"/>
      <c r="T53" s="2647"/>
      <c r="U53" s="2647"/>
      <c r="V53" s="2647"/>
      <c r="X53" s="2693"/>
      <c r="Y53" s="2693"/>
      <c r="Z53" s="2693"/>
    </row>
    <row r="54" spans="1:26">
      <c r="A54" s="2634" t="s">
        <v>2613</v>
      </c>
      <c r="B54" s="2648">
        <f t="shared" ref="B54:C56" si="81">B55+(B$53-B$57)*I54/SUM(I$53:I$56)</f>
        <v>149.00125628140702</v>
      </c>
      <c r="C54" s="2648">
        <f t="shared" si="81"/>
        <v>137.95592286501378</v>
      </c>
      <c r="D54" s="2648">
        <f t="shared" si="55"/>
        <v>137.95592286501378</v>
      </c>
      <c r="E54" s="2648">
        <f t="shared" ref="E54:F56" si="82">E55+(E$53-E$57)*K54/SUM(K$53:K$56)</f>
        <v>169.97231450719823</v>
      </c>
      <c r="F54" s="2648">
        <f t="shared" si="82"/>
        <v>116.21390374331551</v>
      </c>
      <c r="G54" s="3457">
        <v>2006</v>
      </c>
      <c r="H54" s="2659">
        <v>3</v>
      </c>
      <c r="I54" s="2659">
        <v>0.92</v>
      </c>
      <c r="J54" s="2659">
        <v>1.08</v>
      </c>
      <c r="K54" s="2659">
        <v>0.73</v>
      </c>
      <c r="L54" s="2660">
        <v>1.08</v>
      </c>
      <c r="N54" s="2691">
        <f t="shared" si="79"/>
        <v>1.7587939698492462E-2</v>
      </c>
      <c r="O54" s="2692">
        <f t="shared" si="79"/>
        <v>1.1355750425840628E-2</v>
      </c>
      <c r="P54" s="2692">
        <f t="shared" si="80"/>
        <v>2.0862358446754544E-2</v>
      </c>
      <c r="Q54" s="2692">
        <f t="shared" si="80"/>
        <v>1.0132282578103011E-2</v>
      </c>
      <c r="R54" s="2645"/>
      <c r="S54" s="2643"/>
      <c r="T54" s="2644"/>
      <c r="U54" s="2644"/>
      <c r="V54" s="2644"/>
      <c r="X54" s="2693"/>
      <c r="Y54" s="2693"/>
      <c r="Z54" s="2693"/>
    </row>
    <row r="55" spans="1:26">
      <c r="A55" s="2634" t="s">
        <v>2614</v>
      </c>
      <c r="B55" s="2648">
        <f t="shared" si="81"/>
        <v>146.57412060301507</v>
      </c>
      <c r="C55" s="2648">
        <f t="shared" si="81"/>
        <v>136.46831955922866</v>
      </c>
      <c r="D55" s="2648">
        <f t="shared" si="55"/>
        <v>136.46831955922866</v>
      </c>
      <c r="E55" s="2648">
        <f t="shared" si="82"/>
        <v>166.73864894795128</v>
      </c>
      <c r="F55" s="2648">
        <f t="shared" si="82"/>
        <v>115.05882352941177</v>
      </c>
      <c r="G55" s="3457">
        <v>2006</v>
      </c>
      <c r="H55" s="2639">
        <v>2</v>
      </c>
      <c r="I55" s="2639">
        <v>0.96</v>
      </c>
      <c r="J55" s="2639">
        <v>0.25</v>
      </c>
      <c r="K55" s="2639">
        <v>1.9</v>
      </c>
      <c r="L55" s="2650">
        <v>0.95</v>
      </c>
      <c r="N55" s="2691">
        <f t="shared" si="79"/>
        <v>1.8352632728861701E-2</v>
      </c>
      <c r="O55" s="2692">
        <f t="shared" si="79"/>
        <v>2.6286459319075526E-3</v>
      </c>
      <c r="P55" s="2692">
        <f t="shared" si="80"/>
        <v>5.4299289107991269E-2</v>
      </c>
      <c r="Q55" s="2692">
        <f t="shared" si="80"/>
        <v>8.9126559714794995E-3</v>
      </c>
      <c r="R55" s="2645"/>
      <c r="S55" s="2643"/>
      <c r="T55" s="2644"/>
      <c r="U55" s="2644"/>
      <c r="V55" s="2644"/>
      <c r="X55" s="2693"/>
      <c r="Y55" s="2693"/>
      <c r="Z55" s="2693"/>
    </row>
    <row r="56" spans="1:26">
      <c r="A56" s="2634" t="s">
        <v>2615</v>
      </c>
      <c r="B56" s="2648">
        <f t="shared" si="81"/>
        <v>144.04145728643215</v>
      </c>
      <c r="C56" s="2648">
        <f t="shared" si="81"/>
        <v>136.12396694214877</v>
      </c>
      <c r="D56" s="2648">
        <f t="shared" si="55"/>
        <v>136.12396694214877</v>
      </c>
      <c r="E56" s="2648">
        <f t="shared" si="82"/>
        <v>158.32225913621264</v>
      </c>
      <c r="F56" s="2648">
        <f t="shared" si="82"/>
        <v>114.04278074866311</v>
      </c>
      <c r="G56" s="3458">
        <v>2006</v>
      </c>
      <c r="H56" s="2638">
        <v>1</v>
      </c>
      <c r="I56" s="2638">
        <v>2.29</v>
      </c>
      <c r="J56" s="2638">
        <v>3.72</v>
      </c>
      <c r="K56" s="2638">
        <v>0.75</v>
      </c>
      <c r="L56" s="2649">
        <v>0.04</v>
      </c>
      <c r="N56" s="2694">
        <f t="shared" si="79"/>
        <v>4.3778675988638847E-2</v>
      </c>
      <c r="O56" s="2695">
        <f t="shared" si="79"/>
        <v>3.9114251466784385E-2</v>
      </c>
      <c r="P56" s="2695">
        <f t="shared" si="80"/>
        <v>2.1433929911049188E-2</v>
      </c>
      <c r="Q56" s="2695">
        <f t="shared" si="80"/>
        <v>3.7526972511492629E-4</v>
      </c>
      <c r="R56" s="2645"/>
      <c r="S56" s="2651">
        <f>B56/B57-1</f>
        <v>4.3778675988638716E-2</v>
      </c>
      <c r="T56" s="2652">
        <f>C56/C57-1</f>
        <v>3.91142514667846E-2</v>
      </c>
      <c r="U56" s="2652">
        <f>E56/E57-1</f>
        <v>2.143392991104931E-2</v>
      </c>
      <c r="V56" s="2652">
        <f>F56/F57-1</f>
        <v>3.7526972511492396E-4</v>
      </c>
      <c r="X56" s="2693"/>
      <c r="Y56" s="2693"/>
      <c r="Z56" s="2693"/>
    </row>
    <row r="57" spans="1:26" ht="13.5" thickBot="1">
      <c r="A57" s="2634" t="s">
        <v>2616</v>
      </c>
      <c r="B57" s="2662">
        <v>138</v>
      </c>
      <c r="C57" s="2662">
        <v>131</v>
      </c>
      <c r="D57" s="2662">
        <f t="shared" si="55"/>
        <v>131</v>
      </c>
      <c r="E57" s="2662">
        <v>155</v>
      </c>
      <c r="F57" s="2663">
        <v>114</v>
      </c>
      <c r="G57" s="3456">
        <v>2005</v>
      </c>
      <c r="H57" s="2654">
        <v>4</v>
      </c>
      <c r="I57" s="2654">
        <v>3.29</v>
      </c>
      <c r="J57" s="2654">
        <v>1.44</v>
      </c>
      <c r="K57" s="2654">
        <v>0.66</v>
      </c>
      <c r="L57" s="2655">
        <v>7.78</v>
      </c>
      <c r="N57" s="2691">
        <f t="shared" ref="N57:O60" si="83">I57/SUM(I$57:I$60)*(B$57/B$61-1)</f>
        <v>9.9404603216919935E-2</v>
      </c>
      <c r="O57" s="2692">
        <f t="shared" si="83"/>
        <v>4.7636550760861554E-2</v>
      </c>
      <c r="P57" s="2692">
        <f t="shared" ref="P57:Q60" si="84">K57/SUM(K$57:K$60)*(E$57/E$61-1)</f>
        <v>8.3756345177664976E-2</v>
      </c>
      <c r="Q57" s="2692">
        <f t="shared" si="84"/>
        <v>5.2148766661559584E-2</v>
      </c>
      <c r="R57" s="2645"/>
      <c r="S57" s="2646"/>
      <c r="T57" s="2647"/>
      <c r="U57" s="2647"/>
      <c r="V57" s="2647"/>
      <c r="X57" s="2693"/>
      <c r="Y57" s="2693"/>
      <c r="Z57" s="2693"/>
    </row>
    <row r="58" spans="1:26">
      <c r="A58" s="2634" t="s">
        <v>2617</v>
      </c>
      <c r="B58" s="2648">
        <f t="shared" ref="B58:C60" si="85">B59+(B$57-B$61)*I58/SUM(I$57:I$60)</f>
        <v>125.9720430107527</v>
      </c>
      <c r="C58" s="2648">
        <f t="shared" si="85"/>
        <v>125.1883408071749</v>
      </c>
      <c r="D58" s="2648">
        <f t="shared" si="55"/>
        <v>125.1883408071749</v>
      </c>
      <c r="E58" s="2648">
        <f t="shared" ref="E58:F60" si="86">E59+(E$57-E$61)*K58/SUM(K$57:K$60)</f>
        <v>144.61421319796952</v>
      </c>
      <c r="F58" s="2648">
        <f t="shared" si="86"/>
        <v>108.42008196721311</v>
      </c>
      <c r="G58" s="3457">
        <v>2005</v>
      </c>
      <c r="H58" s="2659">
        <v>3</v>
      </c>
      <c r="I58" s="2659">
        <v>0.46</v>
      </c>
      <c r="J58" s="2659">
        <v>0.32</v>
      </c>
      <c r="K58" s="2659">
        <v>0.42</v>
      </c>
      <c r="L58" s="2660">
        <v>0.64</v>
      </c>
      <c r="N58" s="2691">
        <f t="shared" si="83"/>
        <v>1.3898515951301874E-2</v>
      </c>
      <c r="O58" s="2692">
        <f t="shared" si="83"/>
        <v>1.0585900169080346E-2</v>
      </c>
      <c r="P58" s="2692">
        <f t="shared" si="84"/>
        <v>5.3299492385786795E-2</v>
      </c>
      <c r="Q58" s="2692">
        <f t="shared" si="84"/>
        <v>4.2898728359123568E-3</v>
      </c>
      <c r="R58" s="2645"/>
      <c r="S58" s="2643"/>
      <c r="T58" s="2644"/>
      <c r="U58" s="2644"/>
      <c r="V58" s="2644"/>
      <c r="X58" s="2693"/>
      <c r="Y58" s="2693"/>
      <c r="Z58" s="2693"/>
    </row>
    <row r="59" spans="1:26">
      <c r="A59" s="2634" t="s">
        <v>2618</v>
      </c>
      <c r="B59" s="2648">
        <f t="shared" si="85"/>
        <v>124.29032258064517</v>
      </c>
      <c r="C59" s="2648">
        <f t="shared" si="85"/>
        <v>123.8968609865471</v>
      </c>
      <c r="D59" s="2648">
        <f t="shared" si="55"/>
        <v>123.8968609865471</v>
      </c>
      <c r="E59" s="2648">
        <f t="shared" si="86"/>
        <v>138.00507614213197</v>
      </c>
      <c r="F59" s="2648">
        <f t="shared" si="86"/>
        <v>107.96106557377048</v>
      </c>
      <c r="G59" s="3457">
        <v>2005</v>
      </c>
      <c r="H59" s="2639">
        <v>2</v>
      </c>
      <c r="I59" s="2639">
        <v>0.47</v>
      </c>
      <c r="J59" s="2639">
        <v>0.1</v>
      </c>
      <c r="K59" s="2639">
        <v>0.52</v>
      </c>
      <c r="L59" s="2650">
        <v>0.79</v>
      </c>
      <c r="N59" s="2691">
        <f t="shared" si="83"/>
        <v>1.420065760241713E-2</v>
      </c>
      <c r="O59" s="2692">
        <f t="shared" si="83"/>
        <v>3.3080938028376083E-3</v>
      </c>
      <c r="P59" s="2692">
        <f t="shared" si="84"/>
        <v>6.598984771573603E-2</v>
      </c>
      <c r="Q59" s="2692">
        <f t="shared" si="84"/>
        <v>5.2953117818293153E-3</v>
      </c>
      <c r="R59" s="2645"/>
      <c r="S59" s="2643"/>
      <c r="T59" s="2644"/>
      <c r="U59" s="2644"/>
      <c r="V59" s="2644"/>
      <c r="X59" s="2693"/>
      <c r="Y59" s="2693"/>
      <c r="Z59" s="2693"/>
    </row>
    <row r="60" spans="1:26">
      <c r="A60" s="2634" t="s">
        <v>2619</v>
      </c>
      <c r="B60" s="2648">
        <f t="shared" si="85"/>
        <v>122.57204301075269</v>
      </c>
      <c r="C60" s="2648">
        <f t="shared" si="85"/>
        <v>123.4932735426009</v>
      </c>
      <c r="D60" s="2648">
        <f t="shared" si="55"/>
        <v>123.4932735426009</v>
      </c>
      <c r="E60" s="2648">
        <f t="shared" si="86"/>
        <v>129.82233502538071</v>
      </c>
      <c r="F60" s="2648">
        <f t="shared" si="86"/>
        <v>107.39446721311475</v>
      </c>
      <c r="G60" s="3458">
        <v>2005</v>
      </c>
      <c r="H60" s="2638">
        <v>1</v>
      </c>
      <c r="I60" s="2638">
        <v>0.43</v>
      </c>
      <c r="J60" s="2638">
        <v>0.37</v>
      </c>
      <c r="K60" s="2638">
        <v>0.37</v>
      </c>
      <c r="L60" s="2649">
        <v>0.55000000000000004</v>
      </c>
      <c r="N60" s="2694">
        <f t="shared" si="83"/>
        <v>1.2992090997956099E-2</v>
      </c>
      <c r="O60" s="2695">
        <f t="shared" si="83"/>
        <v>1.2239947070499151E-2</v>
      </c>
      <c r="P60" s="2695">
        <f t="shared" si="84"/>
        <v>4.6954314720812178E-2</v>
      </c>
      <c r="Q60" s="2695">
        <f t="shared" si="84"/>
        <v>3.6866094683621815E-3</v>
      </c>
      <c r="R60" s="2645"/>
      <c r="S60" s="2651">
        <f>B60/B61-1</f>
        <v>1.2992090997956174E-2</v>
      </c>
      <c r="T60" s="2652">
        <f>C60/C61-1</f>
        <v>1.2239947070499246E-2</v>
      </c>
      <c r="U60" s="2652">
        <f>E60/E61-1</f>
        <v>4.695431472081224E-2</v>
      </c>
      <c r="V60" s="2652">
        <f>F60/F61-1</f>
        <v>3.6866094683620787E-3</v>
      </c>
      <c r="X60" s="2693"/>
      <c r="Y60" s="2693"/>
      <c r="Z60" s="2693"/>
    </row>
    <row r="61" spans="1:26" ht="13.5" thickBot="1">
      <c r="A61" s="2634" t="s">
        <v>2620</v>
      </c>
      <c r="B61" s="2678">
        <v>121</v>
      </c>
      <c r="C61" s="2678">
        <v>122</v>
      </c>
      <c r="D61" s="2678">
        <f t="shared" si="55"/>
        <v>122</v>
      </c>
      <c r="E61" s="2678">
        <v>124</v>
      </c>
      <c r="F61" s="2679">
        <v>107</v>
      </c>
      <c r="G61" s="3456">
        <v>2004</v>
      </c>
      <c r="H61" s="2654">
        <v>4</v>
      </c>
      <c r="I61" s="2654">
        <v>0.33</v>
      </c>
      <c r="J61" s="2654">
        <v>0.5</v>
      </c>
      <c r="K61" s="2654">
        <v>0.5</v>
      </c>
      <c r="L61" s="2655">
        <v>0</v>
      </c>
      <c r="N61" s="2691">
        <f t="shared" ref="N61:O64" si="87">I61/SUM(I$61:I$64)*(B$61/B$65-1)</f>
        <v>1.3391770148526898E-2</v>
      </c>
      <c r="O61" s="2692">
        <f t="shared" si="87"/>
        <v>1.063264221158958E-2</v>
      </c>
      <c r="P61" s="2692">
        <f t="shared" ref="P61:Q64" si="88">K61/SUM(K$61:K$64)*(E$61/E$65-1)</f>
        <v>2.2244466688911134E-2</v>
      </c>
      <c r="Q61" s="2692">
        <f t="shared" si="88"/>
        <v>0</v>
      </c>
      <c r="R61" s="2645"/>
      <c r="S61" s="2646"/>
      <c r="T61" s="2647"/>
      <c r="U61" s="2647"/>
      <c r="V61" s="2647"/>
      <c r="X61" s="2693"/>
      <c r="Y61" s="2693"/>
      <c r="Z61" s="2693"/>
    </row>
    <row r="62" spans="1:26">
      <c r="A62" s="2634" t="s">
        <v>2621</v>
      </c>
      <c r="B62" s="2648">
        <f t="shared" ref="B62:C64" si="89">B63+(B$61-B$65)*I62/SUM(I$61:I$64)</f>
        <v>119.51351351351352</v>
      </c>
      <c r="C62" s="2648">
        <f t="shared" si="89"/>
        <v>120.7878787878788</v>
      </c>
      <c r="D62" s="2648">
        <f t="shared" si="55"/>
        <v>120.7878787878788</v>
      </c>
      <c r="E62" s="2648">
        <f t="shared" ref="E62:F64" si="90">E63+(E$61-E$65)*K62/SUM(K$61:K$64)</f>
        <v>121.5975975975976</v>
      </c>
      <c r="F62" s="2648">
        <f t="shared" si="90"/>
        <v>107</v>
      </c>
      <c r="G62" s="3457">
        <v>2004</v>
      </c>
      <c r="H62" s="2659">
        <v>3</v>
      </c>
      <c r="I62" s="2659">
        <v>0.56000000000000005</v>
      </c>
      <c r="J62" s="2659">
        <v>0.8</v>
      </c>
      <c r="K62" s="2659">
        <v>0.83</v>
      </c>
      <c r="L62" s="2660">
        <v>0.06</v>
      </c>
      <c r="N62" s="2691">
        <f t="shared" si="87"/>
        <v>2.2725428130833527E-2</v>
      </c>
      <c r="O62" s="2692">
        <f t="shared" si="87"/>
        <v>1.7012227538543329E-2</v>
      </c>
      <c r="P62" s="2692">
        <f t="shared" si="88"/>
        <v>3.6925814703592477E-2</v>
      </c>
      <c r="Q62" s="2692">
        <f t="shared" si="88"/>
        <v>2.8846153846153744E-2</v>
      </c>
      <c r="R62" s="2645"/>
      <c r="S62" s="2643"/>
      <c r="T62" s="2644"/>
      <c r="U62" s="2644"/>
      <c r="V62" s="2644"/>
      <c r="X62" s="2693"/>
      <c r="Y62" s="2693"/>
      <c r="Z62" s="2693"/>
    </row>
    <row r="63" spans="1:26">
      <c r="A63" s="2634" t="s">
        <v>2622</v>
      </c>
      <c r="B63" s="2648">
        <f t="shared" si="89"/>
        <v>116.99099099099099</v>
      </c>
      <c r="C63" s="2648">
        <f t="shared" si="89"/>
        <v>118.84848484848486</v>
      </c>
      <c r="D63" s="2648">
        <f t="shared" si="55"/>
        <v>118.84848484848486</v>
      </c>
      <c r="E63" s="2648">
        <f t="shared" si="90"/>
        <v>117.60960960960961</v>
      </c>
      <c r="F63" s="2648">
        <f t="shared" si="90"/>
        <v>104</v>
      </c>
      <c r="G63" s="3457">
        <v>2004</v>
      </c>
      <c r="H63" s="2639">
        <v>2</v>
      </c>
      <c r="I63" s="2639">
        <v>1</v>
      </c>
      <c r="J63" s="2639">
        <v>1.5</v>
      </c>
      <c r="K63" s="2639">
        <v>1.5</v>
      </c>
      <c r="L63" s="2650">
        <v>0</v>
      </c>
      <c r="N63" s="2691">
        <f t="shared" si="87"/>
        <v>4.0581121662202721E-2</v>
      </c>
      <c r="O63" s="2692">
        <f t="shared" si="87"/>
        <v>3.1897926634768738E-2</v>
      </c>
      <c r="P63" s="2692">
        <f t="shared" si="88"/>
        <v>6.6733400066733395E-2</v>
      </c>
      <c r="Q63" s="2692">
        <f t="shared" si="88"/>
        <v>0</v>
      </c>
      <c r="R63" s="2645"/>
      <c r="S63" s="2643"/>
      <c r="T63" s="2644"/>
      <c r="U63" s="2644"/>
      <c r="V63" s="2644"/>
      <c r="X63" s="2693"/>
      <c r="Y63" s="2693"/>
      <c r="Z63" s="2693"/>
    </row>
    <row r="64" spans="1:26" s="2684" customFormat="1" ht="13.5" thickBot="1">
      <c r="A64" s="2634" t="s">
        <v>2623</v>
      </c>
      <c r="B64" s="2681">
        <f t="shared" si="89"/>
        <v>112.48648648648648</v>
      </c>
      <c r="C64" s="2681">
        <f t="shared" si="89"/>
        <v>115.21212121212122</v>
      </c>
      <c r="D64" s="2681">
        <f t="shared" si="55"/>
        <v>115.21212121212122</v>
      </c>
      <c r="E64" s="2681">
        <f t="shared" si="90"/>
        <v>110.4024024024024</v>
      </c>
      <c r="F64" s="2681">
        <f t="shared" si="90"/>
        <v>104</v>
      </c>
      <c r="G64" s="3458">
        <v>2004</v>
      </c>
      <c r="H64" s="2682">
        <v>1</v>
      </c>
      <c r="I64" s="2682">
        <v>0.33</v>
      </c>
      <c r="J64" s="2682">
        <v>0.5</v>
      </c>
      <c r="K64" s="2682">
        <v>0.5</v>
      </c>
      <c r="L64" s="2683">
        <v>0</v>
      </c>
      <c r="N64" s="2696">
        <f t="shared" si="87"/>
        <v>1.3391770148526898E-2</v>
      </c>
      <c r="O64" s="2697">
        <f t="shared" si="87"/>
        <v>1.063264221158958E-2</v>
      </c>
      <c r="P64" s="2697">
        <f t="shared" si="88"/>
        <v>2.2244466688911134E-2</v>
      </c>
      <c r="Q64" s="2697">
        <f t="shared" si="88"/>
        <v>0</v>
      </c>
      <c r="R64" s="2687"/>
      <c r="S64" s="2685">
        <f>B64/B65-1</f>
        <v>1.3391770148526883E-2</v>
      </c>
      <c r="T64" s="2686">
        <f>C64/C65-1</f>
        <v>1.063264221158966E-2</v>
      </c>
      <c r="U64" s="2686">
        <f>E64/E65-1</f>
        <v>2.2244466688911224E-2</v>
      </c>
      <c r="V64" s="2686">
        <f>F64/F65-1</f>
        <v>0</v>
      </c>
      <c r="X64" s="2698"/>
      <c r="Y64" s="2698"/>
      <c r="Z64" s="2698"/>
    </row>
    <row r="65" spans="1:26" ht="13.5" thickBot="1">
      <c r="A65" s="2634" t="s">
        <v>2624</v>
      </c>
      <c r="B65" s="2699">
        <v>111</v>
      </c>
      <c r="C65" s="2699">
        <v>114</v>
      </c>
      <c r="D65" s="2699">
        <f t="shared" si="55"/>
        <v>114</v>
      </c>
      <c r="E65" s="2699">
        <v>108</v>
      </c>
      <c r="F65" s="2700">
        <v>104</v>
      </c>
      <c r="G65" s="3456">
        <v>2003</v>
      </c>
      <c r="H65" s="2689">
        <v>4</v>
      </c>
      <c r="I65" s="2701"/>
      <c r="J65" s="2701"/>
      <c r="K65" s="2701"/>
      <c r="L65" s="2701"/>
      <c r="N65" s="2702"/>
      <c r="O65" s="2701"/>
      <c r="P65" s="2701"/>
      <c r="Q65" s="2701"/>
      <c r="S65" s="2702"/>
      <c r="T65" s="2701"/>
      <c r="U65" s="2701"/>
      <c r="V65" s="2701"/>
      <c r="X65" s="2693"/>
      <c r="Y65" s="2693"/>
      <c r="Z65" s="2693"/>
    </row>
    <row r="66" spans="1:26">
      <c r="A66" s="2634" t="s">
        <v>2625</v>
      </c>
      <c r="B66" s="2703">
        <f t="shared" ref="B66:C68" si="91">B67+(B$65-B$69)/4</f>
        <v>109.75</v>
      </c>
      <c r="C66" s="2703">
        <f t="shared" si="91"/>
        <v>112.25</v>
      </c>
      <c r="D66" s="2703">
        <f t="shared" si="55"/>
        <v>112.25</v>
      </c>
      <c r="E66" s="2703">
        <f t="shared" ref="E66:F68" si="92">E67+(E$65-E$69)/4</f>
        <v>107.25</v>
      </c>
      <c r="F66" s="2703">
        <f t="shared" si="92"/>
        <v>103.5</v>
      </c>
      <c r="G66" s="3457">
        <v>2003</v>
      </c>
      <c r="H66" s="2659">
        <v>3</v>
      </c>
      <c r="I66" s="2701"/>
      <c r="J66" s="2701"/>
      <c r="K66" s="2701"/>
      <c r="L66" s="2701"/>
      <c r="X66" s="2693"/>
      <c r="Y66" s="2693"/>
      <c r="Z66" s="2693"/>
    </row>
    <row r="67" spans="1:26">
      <c r="A67" s="2634" t="s">
        <v>2626</v>
      </c>
      <c r="B67" s="2703">
        <f t="shared" si="91"/>
        <v>108.5</v>
      </c>
      <c r="C67" s="2703">
        <f t="shared" si="91"/>
        <v>110.5</v>
      </c>
      <c r="D67" s="2703">
        <f t="shared" si="55"/>
        <v>110.5</v>
      </c>
      <c r="E67" s="2703">
        <f t="shared" si="92"/>
        <v>106.5</v>
      </c>
      <c r="F67" s="2703">
        <f t="shared" si="92"/>
        <v>103</v>
      </c>
      <c r="G67" s="3457">
        <v>2003</v>
      </c>
      <c r="H67" s="2639">
        <v>2</v>
      </c>
      <c r="I67" s="2701"/>
      <c r="J67" s="2701"/>
      <c r="K67" s="2701"/>
      <c r="L67" s="2701"/>
      <c r="X67" s="2693"/>
      <c r="Y67" s="2693"/>
      <c r="Z67" s="2693"/>
    </row>
    <row r="68" spans="1:26" ht="13.5" thickBot="1">
      <c r="A68" s="2634" t="s">
        <v>2627</v>
      </c>
      <c r="B68" s="2703">
        <f t="shared" si="91"/>
        <v>107.25</v>
      </c>
      <c r="C68" s="2703">
        <f t="shared" si="91"/>
        <v>108.75</v>
      </c>
      <c r="D68" s="2703">
        <f t="shared" si="55"/>
        <v>108.75</v>
      </c>
      <c r="E68" s="2703">
        <f t="shared" si="92"/>
        <v>105.75</v>
      </c>
      <c r="F68" s="2703">
        <f t="shared" si="92"/>
        <v>102.5</v>
      </c>
      <c r="G68" s="3458">
        <v>2003</v>
      </c>
      <c r="H68" s="2704">
        <v>1</v>
      </c>
      <c r="I68" s="2701"/>
      <c r="J68" s="2701"/>
      <c r="K68" s="2701"/>
      <c r="L68" s="2701"/>
      <c r="S68" s="2643"/>
      <c r="T68" s="2644"/>
      <c r="U68" s="2644"/>
      <c r="X68" s="2693"/>
      <c r="Y68" s="2693"/>
      <c r="Z68" s="2693"/>
    </row>
    <row r="69" spans="1:26" ht="13.5" thickBot="1">
      <c r="A69" s="2634" t="s">
        <v>2628</v>
      </c>
      <c r="B69" s="2705">
        <v>106</v>
      </c>
      <c r="C69" s="2705">
        <v>107</v>
      </c>
      <c r="D69" s="2705">
        <f t="shared" si="55"/>
        <v>107</v>
      </c>
      <c r="E69" s="2705">
        <v>105</v>
      </c>
      <c r="F69" s="2706">
        <v>102</v>
      </c>
      <c r="G69" s="3456">
        <v>2002</v>
      </c>
      <c r="H69" s="2654">
        <v>4</v>
      </c>
      <c r="I69" s="2701"/>
      <c r="J69" s="2701"/>
      <c r="K69" s="2701"/>
      <c r="L69" s="2701"/>
      <c r="N69" s="2702"/>
      <c r="O69" s="2701"/>
      <c r="P69" s="2701"/>
      <c r="Q69" s="2701"/>
      <c r="S69" s="2702"/>
      <c r="T69" s="2701"/>
      <c r="U69" s="2701"/>
      <c r="V69" s="2701"/>
      <c r="X69" s="2693"/>
      <c r="Y69" s="2693"/>
      <c r="Z69" s="2693"/>
    </row>
    <row r="70" spans="1:26">
      <c r="A70" s="2634" t="s">
        <v>2629</v>
      </c>
      <c r="B70" s="2703">
        <f t="shared" ref="B70:C72" si="93">B71+(B$69-B$73)/4</f>
        <v>105</v>
      </c>
      <c r="C70" s="2703">
        <f t="shared" si="93"/>
        <v>106</v>
      </c>
      <c r="D70" s="2703">
        <f t="shared" si="55"/>
        <v>106</v>
      </c>
      <c r="E70" s="2703">
        <f t="shared" ref="E70:F72" si="94">E71+(E$69-E$73)/4</f>
        <v>104.5</v>
      </c>
      <c r="F70" s="2703">
        <f t="shared" si="94"/>
        <v>101.5</v>
      </c>
      <c r="G70" s="3457">
        <v>2002</v>
      </c>
      <c r="H70" s="2659">
        <v>3</v>
      </c>
      <c r="I70" s="2701"/>
      <c r="J70" s="2701"/>
      <c r="K70" s="2701"/>
      <c r="L70" s="2701"/>
      <c r="X70" s="2693"/>
      <c r="Y70" s="2693"/>
      <c r="Z70" s="2693"/>
    </row>
    <row r="71" spans="1:26">
      <c r="A71" s="2634" t="s">
        <v>2630</v>
      </c>
      <c r="B71" s="2703">
        <f t="shared" si="93"/>
        <v>104</v>
      </c>
      <c r="C71" s="2703">
        <f t="shared" si="93"/>
        <v>105</v>
      </c>
      <c r="D71" s="2703">
        <f t="shared" si="55"/>
        <v>105</v>
      </c>
      <c r="E71" s="2703">
        <f t="shared" si="94"/>
        <v>104</v>
      </c>
      <c r="F71" s="2703">
        <f t="shared" si="94"/>
        <v>101</v>
      </c>
      <c r="G71" s="3457">
        <v>2002</v>
      </c>
      <c r="H71" s="2639">
        <v>2</v>
      </c>
      <c r="I71" s="2701"/>
      <c r="J71" s="2701"/>
      <c r="K71" s="2701"/>
      <c r="L71" s="2701"/>
      <c r="X71" s="2693"/>
      <c r="Y71" s="2693"/>
      <c r="Z71" s="2693"/>
    </row>
    <row r="72" spans="1:26" s="2670" customFormat="1" ht="13.5" thickBot="1">
      <c r="A72" s="2666" t="s">
        <v>2631</v>
      </c>
      <c r="B72" s="2707">
        <f t="shared" si="93"/>
        <v>103</v>
      </c>
      <c r="C72" s="2707">
        <f t="shared" si="93"/>
        <v>104</v>
      </c>
      <c r="D72" s="2707">
        <f t="shared" si="55"/>
        <v>104</v>
      </c>
      <c r="E72" s="2707">
        <f t="shared" si="94"/>
        <v>103.5</v>
      </c>
      <c r="F72" s="2707">
        <f t="shared" si="94"/>
        <v>100.5</v>
      </c>
      <c r="G72" s="3458">
        <v>2002</v>
      </c>
      <c r="H72" s="2708">
        <v>1</v>
      </c>
      <c r="I72" s="2709"/>
      <c r="J72" s="2709"/>
      <c r="K72" s="2709"/>
      <c r="L72" s="2709"/>
      <c r="N72" s="2710"/>
      <c r="S72" s="2710"/>
      <c r="X72" s="2711"/>
      <c r="Y72" s="2711"/>
      <c r="Z72" s="2711"/>
    </row>
    <row r="73" spans="1:26" ht="13.5" thickBot="1">
      <c r="B73" s="2712">
        <v>102</v>
      </c>
      <c r="C73" s="2713">
        <v>103</v>
      </c>
      <c r="D73" s="2713">
        <f t="shared" si="55"/>
        <v>103</v>
      </c>
      <c r="E73" s="2713">
        <v>103</v>
      </c>
      <c r="F73" s="2714">
        <v>100</v>
      </c>
      <c r="I73" s="2701"/>
      <c r="J73" s="2701"/>
      <c r="K73" s="2701"/>
      <c r="L73" s="2701"/>
      <c r="N73" s="2702"/>
      <c r="O73" s="2701"/>
      <c r="P73" s="2701"/>
      <c r="Q73" s="2701"/>
      <c r="S73" s="2702"/>
      <c r="T73" s="2701"/>
      <c r="U73" s="2701"/>
      <c r="V73" s="2701"/>
      <c r="X73" s="2647"/>
      <c r="Y73" s="2647"/>
      <c r="Z73" s="2647"/>
    </row>
    <row r="75" spans="1:26" s="2716" customFormat="1">
      <c r="A75" s="2715" t="s">
        <v>2632</v>
      </c>
      <c r="G75" s="2717"/>
      <c r="N75" s="2717"/>
      <c r="S75" s="2717"/>
    </row>
    <row r="76" spans="1:26" s="2716" customFormat="1">
      <c r="A76" s="2716" t="s">
        <v>2633</v>
      </c>
      <c r="G76" s="2717"/>
      <c r="N76" s="2717"/>
      <c r="S76" s="2717"/>
    </row>
    <row r="77" spans="1:26" s="2716" customFormat="1">
      <c r="A77" s="2716" t="s">
        <v>2634</v>
      </c>
      <c r="G77" s="2717"/>
      <c r="I77" s="2718"/>
      <c r="J77" s="2718"/>
      <c r="K77" s="2718"/>
      <c r="L77" s="2718"/>
      <c r="N77" s="2719"/>
      <c r="O77" s="2718"/>
      <c r="P77" s="2718"/>
      <c r="Q77" s="2718"/>
      <c r="S77" s="2719"/>
      <c r="T77" s="2718"/>
      <c r="U77" s="2718"/>
      <c r="V77" s="2718"/>
    </row>
    <row r="78" spans="1:26" s="2716" customFormat="1">
      <c r="A78" s="2716" t="s">
        <v>2635</v>
      </c>
      <c r="G78" s="2717"/>
      <c r="N78" s="2717"/>
      <c r="S78" s="2717"/>
    </row>
    <row r="85" spans="7:22" ht="13.5" thickBot="1"/>
    <row r="86" spans="7:22">
      <c r="G86" s="2642"/>
      <c r="S86" s="2720" t="s">
        <v>2636</v>
      </c>
      <c r="T86" s="2721" t="s">
        <v>2637</v>
      </c>
      <c r="U86" s="2721" t="s">
        <v>2638</v>
      </c>
      <c r="V86" s="2721" t="s">
        <v>2639</v>
      </c>
    </row>
    <row r="87" spans="7:22">
      <c r="G87" s="2642"/>
      <c r="N87" s="2646"/>
      <c r="O87" s="2647"/>
      <c r="P87" s="2647"/>
      <c r="Q87" s="2647"/>
      <c r="S87" s="2722">
        <v>2006</v>
      </c>
      <c r="T87" s="2723">
        <v>15.1</v>
      </c>
      <c r="U87" s="2723">
        <v>7.43</v>
      </c>
      <c r="V87" s="2723">
        <v>26.26</v>
      </c>
    </row>
    <row r="88" spans="7:22">
      <c r="G88" s="2642"/>
      <c r="N88" s="2646"/>
      <c r="O88" s="2647"/>
      <c r="P88" s="2647"/>
      <c r="Q88" s="2647"/>
      <c r="S88" s="2725">
        <v>2005</v>
      </c>
      <c r="T88" s="2724">
        <v>13.9</v>
      </c>
      <c r="U88" s="2724">
        <v>7.49</v>
      </c>
      <c r="V88" s="2724">
        <v>24.92</v>
      </c>
    </row>
    <row r="89" spans="7:22">
      <c r="G89" s="2642"/>
      <c r="N89" s="2646"/>
      <c r="O89" s="2647"/>
      <c r="P89" s="2647"/>
      <c r="Q89" s="2647"/>
      <c r="S89" s="2722">
        <v>2004</v>
      </c>
      <c r="T89" s="2723">
        <v>9.48</v>
      </c>
      <c r="U89" s="2723">
        <v>7.2</v>
      </c>
      <c r="V89" s="2723">
        <v>14.68</v>
      </c>
    </row>
    <row r="90" spans="7:22">
      <c r="G90" s="2642"/>
      <c r="N90" s="2646"/>
      <c r="O90" s="2647"/>
      <c r="P90" s="2647"/>
      <c r="Q90" s="2647"/>
      <c r="S90" s="2725">
        <v>2003</v>
      </c>
      <c r="T90" s="2724">
        <v>4.5</v>
      </c>
      <c r="U90" s="2724">
        <v>6.12</v>
      </c>
      <c r="V90" s="2724">
        <v>2.34</v>
      </c>
    </row>
    <row r="91" spans="7:22" ht="13.5" thickBot="1">
      <c r="G91" s="2642"/>
      <c r="N91" s="2646"/>
      <c r="O91" s="2647"/>
      <c r="P91" s="2647"/>
      <c r="Q91" s="2647"/>
      <c r="S91" s="2726">
        <v>2002</v>
      </c>
      <c r="T91" s="2727">
        <v>3.59</v>
      </c>
      <c r="U91" s="2727">
        <v>4.54</v>
      </c>
      <c r="V91" s="2727">
        <v>2.5499999999999998</v>
      </c>
    </row>
    <row r="92" spans="7:22">
      <c r="G92" s="2642"/>
      <c r="N92" s="2646"/>
      <c r="O92" s="2647"/>
      <c r="P92" s="2647"/>
      <c r="Q92" s="2647"/>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c r="S102" s="2642"/>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受贵公司委托，我公司对广东省潮州市潮州市东山旅游度假区A6、B7出让国有建设用地使用权抵押价格进行了预评估。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潮州市景德房地产有限公司使用的、位于广东省潮州市潮州市东山旅游度假区A6、B7出让国有建设用地使用权。根据《国有土地使用证》[]，估价对象（分摊）出让国有建设用地使用权面积为46806.26平方米。根据《建设工程规划许可证》[]、《出让合同》[]，估价对象规划建筑面积为245520.35平方米。</v>
      </c>
    </row>
    <row r="7" spans="1:4" ht="56.25">
      <c r="A7" s="1795" t="s">
        <v>2748</v>
      </c>
    </row>
    <row r="8" spans="1:4" ht="18.75">
      <c r="A8" s="1794" t="s">
        <v>1907</v>
      </c>
    </row>
    <row r="9" spans="1:4" ht="75">
      <c r="A9" s="1796" t="str">
        <f>IF(项目基本情况!B8="抵押",IF(项目基本情况!B5=项目基本情况!B6,定义!C51,定义!B51),定义!D51)</f>
        <v>拟使用广东省潮州市潮州市东山旅游度假区A6、B7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2018年12月4日（评估专业人员勘察现场之日）</v>
      </c>
    </row>
    <row r="12" spans="1:4" ht="18.75">
      <c r="A12" s="1797" t="s">
        <v>2026</v>
      </c>
    </row>
    <row r="13" spans="1:4" ht="18.75">
      <c r="A13" s="1791" t="s">
        <v>2943</v>
      </c>
    </row>
    <row r="14" spans="1:4" ht="37.5">
      <c r="A14" s="1791" t="str">
        <f>"根据"&amp;项目基本情况!F12&amp;"，本次评估估价对象证载（地类）用途为"&amp;项目基本情况!B12&amp;"。"</f>
        <v>根据《国有土地使用证》[粤（2018）潮州市不动产权第0004594号]，本次评估估价对象证载（地类）用途为城镇住宅用地。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根据《国有土地使用证》[]，估价对象（分摊）出让国有建设用地使用权面积为46806.26平方米。根据《建设工程规划许可证》[]、《出让合同》[]，估价对象规划建筑面积为245520.35平方米。</v>
      </c>
    </row>
    <row r="21" spans="1:1" ht="18.75">
      <c r="A21" s="1791" t="s">
        <v>2075</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粤（2018）潮州市不动产权第0004594号]证载土地终止日期为住宅2075年2月5日、商业2045年2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29" sqref="B2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2994</v>
      </c>
      <c r="D1" s="3101" t="s">
        <v>952</v>
      </c>
      <c r="E1" s="2366" t="s">
        <v>2375</v>
      </c>
      <c r="F1" s="2367">
        <f ca="1">J53</f>
        <v>26.19</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4704</v>
      </c>
      <c r="C2" s="2057"/>
      <c r="D2" s="2055"/>
      <c r="E2" s="2056"/>
      <c r="F2" s="2056"/>
      <c r="G2" s="1590"/>
      <c r="H2" s="2057"/>
      <c r="I2" s="2057"/>
      <c r="J2" s="2057"/>
      <c r="K2" s="2058"/>
      <c r="L2" s="2057"/>
      <c r="M2" s="2057"/>
    </row>
    <row r="3" spans="1:33" ht="18" customHeight="1" thickBot="1">
      <c r="A3" s="833" t="s">
        <v>1728</v>
      </c>
      <c r="B3" s="834">
        <f ca="1">IF(ISERROR(B2*10000/F43),0,ROUND(B2*10000/F43,0))</f>
        <v>17160</v>
      </c>
      <c r="C3" s="2057"/>
      <c r="D3" s="2055"/>
      <c r="E3" s="2056"/>
      <c r="F3" s="2056"/>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333</v>
      </c>
      <c r="D5" s="2475" t="s">
        <v>2462</v>
      </c>
      <c r="E5" s="2469"/>
      <c r="F5" s="2470"/>
      <c r="G5" s="1592"/>
      <c r="H5" s="781">
        <v>1</v>
      </c>
      <c r="I5" s="782" t="s">
        <v>2459</v>
      </c>
      <c r="J5" s="55">
        <f ca="1">J6+J10+J12</f>
        <v>0</v>
      </c>
      <c r="K5" s="2475" t="s">
        <v>2462</v>
      </c>
      <c r="L5" s="2469"/>
      <c r="M5" s="2470"/>
    </row>
    <row r="6" spans="1:33" ht="18" customHeight="1">
      <c r="A6" s="1830" t="s">
        <v>1825</v>
      </c>
      <c r="B6" s="3450" t="s">
        <v>2464</v>
      </c>
      <c r="C6" s="783">
        <f ca="1">ROUND(F6*F8*F7*(1-F9)/10000,0)</f>
        <v>333</v>
      </c>
      <c r="D6" s="2476" t="s">
        <v>2463</v>
      </c>
      <c r="E6" s="784" t="s">
        <v>1739</v>
      </c>
      <c r="F6" s="785">
        <f ca="1">INDIRECT("'数据-取费表'!u"&amp;$G$1)</f>
        <v>3.5</v>
      </c>
      <c r="G6" s="1592"/>
      <c r="H6" s="2483" t="s">
        <v>2469</v>
      </c>
      <c r="I6" s="3450" t="s">
        <v>2464</v>
      </c>
      <c r="J6" s="783">
        <f ca="1">ROUND(M6*M8*M7*(1-M9)/10000,0)</f>
        <v>0</v>
      </c>
      <c r="K6" s="341" t="s">
        <v>1738</v>
      </c>
      <c r="L6" s="784" t="s">
        <v>1739</v>
      </c>
      <c r="M6" s="785">
        <f ca="1">INDIRECT("'数据-取费表'!z"&amp;$G$1)</f>
        <v>0</v>
      </c>
    </row>
    <row r="7" spans="1:33" ht="18" customHeight="1">
      <c r="A7" s="2479"/>
      <c r="B7" s="3451"/>
      <c r="C7" s="788"/>
      <c r="D7" s="789"/>
      <c r="E7" s="784" t="s">
        <v>1740</v>
      </c>
      <c r="F7" s="785">
        <f ca="1">IF(INDIRECT("'数据-取费表'!ah"&amp;$G$1)="",INDIRECT("'数据-取费表'!k"&amp;$G$1),INDIRECT("'数据-取费表'!ah"&amp;$G$1))</f>
        <v>2741.22</v>
      </c>
      <c r="G7" s="1592"/>
      <c r="H7" s="2468"/>
      <c r="I7" s="3451"/>
      <c r="J7" s="788"/>
      <c r="K7" s="789"/>
      <c r="L7" s="784" t="s">
        <v>1740</v>
      </c>
      <c r="M7" s="785">
        <f ca="1">F7</f>
        <v>2741.22</v>
      </c>
    </row>
    <row r="8" spans="1:33" ht="18" customHeight="1">
      <c r="A8" s="2472"/>
      <c r="B8" s="3452"/>
      <c r="C8" s="788"/>
      <c r="D8" s="789"/>
      <c r="E8" s="784" t="s">
        <v>1741</v>
      </c>
      <c r="F8" s="785">
        <f ca="1">INDIRECT("'数据-取费表'!ai"&amp;$G$1)</f>
        <v>365</v>
      </c>
      <c r="G8" s="1592"/>
      <c r="H8" s="2468"/>
      <c r="I8" s="3452"/>
      <c r="J8" s="788"/>
      <c r="K8" s="789"/>
      <c r="L8" s="784" t="s">
        <v>1741</v>
      </c>
      <c r="M8" s="785">
        <f ca="1">INDIRECT("'数据-取费表'!ai"&amp;$G$1)</f>
        <v>365</v>
      </c>
    </row>
    <row r="9" spans="1:33" ht="18" customHeight="1">
      <c r="A9" s="786"/>
      <c r="B9" s="3453"/>
      <c r="C9" s="788"/>
      <c r="D9" s="789"/>
      <c r="E9" s="784" t="s">
        <v>1742</v>
      </c>
      <c r="F9" s="794">
        <f ca="1">INDIRECT("'数据-取费表'!w"&amp;$G$1)</f>
        <v>0.05</v>
      </c>
      <c r="G9" s="1592"/>
      <c r="H9" s="2484"/>
      <c r="I9" s="3452"/>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2976</v>
      </c>
      <c r="E10" s="2477" t="s">
        <v>2465</v>
      </c>
      <c r="F10" s="2600" t="s">
        <v>3014</v>
      </c>
      <c r="G10" s="1592"/>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2">
        <f ca="1">ROUND(C29*F13,0)</f>
        <v>1135</v>
      </c>
      <c r="D13" s="1834" t="s">
        <v>2298</v>
      </c>
      <c r="E13" s="1834" t="s">
        <v>1745</v>
      </c>
      <c r="F13" s="2515">
        <f ca="1">INDIRECT("'数据-取费表'!y"&amp;$G$1)</f>
        <v>1</v>
      </c>
      <c r="G13" s="1592"/>
      <c r="H13" s="1829">
        <v>2</v>
      </c>
      <c r="I13" s="1827" t="s">
        <v>1743</v>
      </c>
      <c r="J13" s="1819">
        <f ca="1">ROUND(J14*J15,0)</f>
        <v>0</v>
      </c>
      <c r="K13" s="1821" t="s">
        <v>1744</v>
      </c>
      <c r="L13" s="2531"/>
      <c r="M13" s="2532"/>
    </row>
    <row r="14" spans="1:33" ht="18" customHeight="1">
      <c r="A14" s="1648" t="s">
        <v>1885</v>
      </c>
      <c r="B14" s="784" t="s">
        <v>645</v>
      </c>
      <c r="C14" s="804">
        <f ca="1">INDIRECT("'数据-取费表'!m"&amp;$G$1)+INDIRECT("'数据-取费表'!t"&amp;$G$1)</f>
        <v>720</v>
      </c>
      <c r="D14" s="1979" t="s">
        <v>1746</v>
      </c>
      <c r="E14" s="1980"/>
      <c r="F14" s="805"/>
      <c r="G14" s="1592"/>
      <c r="H14" s="1649" t="s">
        <v>1831</v>
      </c>
      <c r="I14" s="2231" t="s">
        <v>2827</v>
      </c>
      <c r="J14" s="53">
        <f ca="1">C29</f>
        <v>1135</v>
      </c>
      <c r="K14" s="26"/>
      <c r="L14" s="801"/>
      <c r="M14" s="802"/>
    </row>
    <row r="15" spans="1:33" s="2064" customFormat="1" ht="18" customHeight="1" thickBot="1">
      <c r="A15" s="1648" t="s">
        <v>1886</v>
      </c>
      <c r="B15" s="784" t="s">
        <v>647</v>
      </c>
      <c r="C15" s="53">
        <f ca="1">ROUND(C14*F15,0)</f>
        <v>22</v>
      </c>
      <c r="D15" s="806" t="s">
        <v>1747</v>
      </c>
      <c r="E15" s="806" t="s">
        <v>1748</v>
      </c>
      <c r="F15" s="807">
        <f>'数据-取费表'!B33</f>
        <v>0.03</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113</v>
      </c>
      <c r="K16" s="1821" t="s">
        <v>1751</v>
      </c>
      <c r="L16" s="2465"/>
      <c r="M16" s="2470"/>
    </row>
    <row r="17" spans="1:33" s="2064" customFormat="1" ht="18" customHeight="1">
      <c r="A17" s="1648" t="s">
        <v>1888</v>
      </c>
      <c r="B17" s="784" t="s">
        <v>653</v>
      </c>
      <c r="C17" s="53">
        <f ca="1">ROUND(F17*(F43+INDIRECT("'数据-取费表'!S"&amp;$G$1))/10000,0)</f>
        <v>72</v>
      </c>
      <c r="D17" s="784" t="s">
        <v>1752</v>
      </c>
      <c r="E17" s="784" t="s">
        <v>1753</v>
      </c>
      <c r="F17" s="56">
        <f>'数据-取费表'!B35</f>
        <v>200</v>
      </c>
      <c r="G17" s="1593"/>
      <c r="H17" s="1649" t="s">
        <v>1831</v>
      </c>
      <c r="I17" s="784" t="s">
        <v>656</v>
      </c>
      <c r="J17" s="53">
        <f ca="1">ROUND(IF(项目基本情况!B11="自然人",J5*M17,J18+J19+J20),0)</f>
        <v>96</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11</v>
      </c>
      <c r="D18" s="784" t="s">
        <v>1747</v>
      </c>
      <c r="E18" s="784" t="s">
        <v>1748</v>
      </c>
      <c r="F18" s="809">
        <f>'数据-取费表'!B36</f>
        <v>1.4999999999999999E-2</v>
      </c>
      <c r="G18" s="1593"/>
      <c r="H18" s="1648"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825</v>
      </c>
      <c r="D19" s="261" t="s">
        <v>1758</v>
      </c>
      <c r="E19" s="1982"/>
      <c r="F19" s="56"/>
      <c r="G19" s="1592"/>
      <c r="H19" s="1648" t="s">
        <v>1886</v>
      </c>
      <c r="I19" s="784" t="s">
        <v>1759</v>
      </c>
      <c r="J19" s="53">
        <f ca="1">IF(K19="按租金收入计税",ROUND(J5*M19,1),ROUND(C29*F33*0.7,1))</f>
        <v>95.3</v>
      </c>
      <c r="K19" s="811" t="s">
        <v>665</v>
      </c>
      <c r="L19" s="784" t="s">
        <v>1748</v>
      </c>
      <c r="M19" s="809">
        <f>IF(K19="按租金收入计税",'数据-取费表'!B51,'数据-取费表'!B50)</f>
        <v>1.2E-2</v>
      </c>
    </row>
    <row r="20" spans="1:33" s="2064" customFormat="1" ht="18" customHeight="1">
      <c r="A20" s="1649" t="s">
        <v>1890</v>
      </c>
      <c r="B20" s="784" t="s">
        <v>666</v>
      </c>
      <c r="C20" s="53">
        <f ca="1">ROUND(C19*F20,0)</f>
        <v>8</v>
      </c>
      <c r="D20" s="812" t="s">
        <v>1760</v>
      </c>
      <c r="E20" s="784" t="s">
        <v>1748</v>
      </c>
      <c r="F20" s="809">
        <f>'数据-取费表'!B37</f>
        <v>0.01</v>
      </c>
      <c r="G20" s="1593"/>
      <c r="H20" s="1651" t="s">
        <v>1881</v>
      </c>
      <c r="I20" s="341" t="s">
        <v>1761</v>
      </c>
      <c r="J20" s="54">
        <f ca="1">ROUND(M20*M21/10000,0)</f>
        <v>1</v>
      </c>
      <c r="K20" s="814" t="s">
        <v>1762</v>
      </c>
      <c r="L20" s="784" t="s">
        <v>1763</v>
      </c>
      <c r="M20" s="640">
        <f>'数据-取费表'!B52</f>
        <v>9</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0.01</v>
      </c>
      <c r="G21" s="1593"/>
      <c r="H21" s="2485"/>
      <c r="I21" s="793"/>
      <c r="J21" s="69"/>
      <c r="K21" s="816"/>
      <c r="L21" s="784" t="s">
        <v>1767</v>
      </c>
      <c r="M21" s="785">
        <f ca="1">INDIRECT("'数据-取费表'!r"&amp;$G$1)</f>
        <v>686.61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1"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17</v>
      </c>
      <c r="K22" s="2463" t="s">
        <v>1770</v>
      </c>
      <c r="L22" s="784" t="s">
        <v>1748</v>
      </c>
      <c r="M22" s="817">
        <f ca="1">INDIRECT("'数据-取费表'!Ak"&amp;$G$1)</f>
        <v>1.4999999999999999E-2</v>
      </c>
    </row>
    <row r="23" spans="1:33" s="2064" customFormat="1" ht="18" customHeight="1">
      <c r="A23" s="1648" t="s">
        <v>1832</v>
      </c>
      <c r="B23" s="784" t="s">
        <v>2536</v>
      </c>
      <c r="C23" s="53">
        <f ca="1">ROUND(IF('数据-取费表'!B22&lt;=1,(C19+C20)*F24*F23/2,(C19+C20)*(POWER((1+F24),F23/2)-1)),0)</f>
        <v>60</v>
      </c>
      <c r="D23" s="2550" t="str">
        <f>IF(F23&lt;=1,"(建造成本+管理费用)×利率×(建设周期÷2)","(建造成本+管理费用)×((1+利率)^(建设周期÷2)-1)")</f>
        <v>(建造成本+管理费用)×((1+利率)^(建设周期÷2)-1)</v>
      </c>
      <c r="E23" s="784" t="s">
        <v>1771</v>
      </c>
      <c r="F23" s="640">
        <f>'数据-取费表'!B20</f>
        <v>3</v>
      </c>
      <c r="G23" s="1593"/>
      <c r="H23" s="1649" t="s">
        <v>1891</v>
      </c>
      <c r="I23" s="784" t="s">
        <v>679</v>
      </c>
      <c r="J23" s="53">
        <f ca="1">ROUND(J13*M23,0)</f>
        <v>0</v>
      </c>
      <c r="K23" s="2463" t="s">
        <v>1772</v>
      </c>
      <c r="L23" s="784" t="s">
        <v>1748</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6.9999999999999999E-4</v>
      </c>
      <c r="D24" s="2550" t="str">
        <f>IF(F23&lt;=1,"销售费用×利率×(建设周期÷2)","销售费用×((1+利率)^(建设周期÷2)-1)")</f>
        <v>销售费用×((1+利率)^(建设周期÷2)-1)</v>
      </c>
      <c r="E24" s="784" t="s">
        <v>1774</v>
      </c>
      <c r="F24" s="819">
        <f ca="1">'数据-取费表'!B40</f>
        <v>4.7500000000000001E-2</v>
      </c>
      <c r="G24" s="1593"/>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6" t="s">
        <v>2823</v>
      </c>
      <c r="J25" s="792">
        <f ca="1">J5-J16</f>
        <v>-113</v>
      </c>
      <c r="K25" s="2527" t="s">
        <v>1778</v>
      </c>
      <c r="L25" s="2528"/>
      <c r="M25" s="2529"/>
    </row>
    <row r="26" spans="1:33" ht="18" customHeight="1">
      <c r="A26" s="1648" t="s">
        <v>1832</v>
      </c>
      <c r="B26" s="784" t="s">
        <v>2439</v>
      </c>
      <c r="C26" s="53">
        <f ca="1">ROUND((C19+C20)*F26,0)</f>
        <v>167</v>
      </c>
      <c r="D26" s="812" t="s">
        <v>1779</v>
      </c>
      <c r="E26" s="795" t="s">
        <v>1780</v>
      </c>
      <c r="F26" s="794">
        <f ca="1">INDIRECT("'数据-取费表'!q"&amp;$G$1)</f>
        <v>0.2</v>
      </c>
      <c r="G26" s="1592"/>
      <c r="H26" s="2481" t="s">
        <v>1781</v>
      </c>
      <c r="I26" s="2232" t="s">
        <v>2828</v>
      </c>
      <c r="J26" s="783">
        <f ca="1">IF(J5&lt;&gt;0,ROUND(J25*(1-((1+M28)/(1+M26))^M27)/(M26-M28),0),0)</f>
        <v>0</v>
      </c>
      <c r="K26" s="814" t="s">
        <v>1782</v>
      </c>
      <c r="L26" s="784" t="s">
        <v>2420</v>
      </c>
      <c r="M26" s="794">
        <f ca="1">INDIRECT("'数据-取费表'!I"&amp;$G$1)</f>
        <v>0.06</v>
      </c>
    </row>
    <row r="27" spans="1:33" ht="18" customHeight="1">
      <c r="A27" s="1648" t="s">
        <v>1833</v>
      </c>
      <c r="B27" s="784" t="s">
        <v>686</v>
      </c>
      <c r="C27" s="53">
        <f ca="1">ROUND(F21*F26,4)</f>
        <v>2E-3</v>
      </c>
      <c r="D27" s="812" t="s">
        <v>1783</v>
      </c>
      <c r="E27" s="806"/>
      <c r="F27" s="807"/>
      <c r="G27" s="1592"/>
      <c r="H27" s="2482"/>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5.33E-2</v>
      </c>
      <c r="D28" s="812" t="s">
        <v>2300</v>
      </c>
      <c r="E28" s="784" t="s">
        <v>1786</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1135</v>
      </c>
      <c r="D29" s="2524"/>
      <c r="E29" s="2525"/>
      <c r="F29" s="2526"/>
      <c r="G29" s="1593"/>
      <c r="H29" s="823" t="s">
        <v>1788</v>
      </c>
      <c r="I29" s="824" t="s">
        <v>1789</v>
      </c>
      <c r="J29" s="825">
        <f ca="1">ROUND(J26/(1+F40)^F41,0)</f>
        <v>0</v>
      </c>
      <c r="K29" s="826" t="s">
        <v>1790</v>
      </c>
      <c r="L29" s="827"/>
      <c r="M29" s="828">
        <f ca="1">INDIRECT("'数据-取费表'!k"&amp;$G$1)</f>
        <v>2741.22</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80</v>
      </c>
      <c r="D30" s="1821" t="s">
        <v>1792</v>
      </c>
      <c r="E30" s="2465"/>
      <c r="F30" s="2470"/>
      <c r="G30" s="2062"/>
      <c r="H30" s="2065"/>
      <c r="I30" s="2066"/>
      <c r="J30" s="2067"/>
      <c r="K30" s="2068"/>
      <c r="L30" s="2069"/>
      <c r="M30" s="2070"/>
    </row>
    <row r="31" spans="1:33" ht="18" customHeight="1">
      <c r="A31" s="1649" t="s">
        <v>1831</v>
      </c>
      <c r="B31" s="784" t="s">
        <v>656</v>
      </c>
      <c r="C31" s="53">
        <f ca="1">ROUND(IF(项目基本情况!B11="自然人",C5*F31,C32+C33+C34),1)</f>
        <v>58.4</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17.8</v>
      </c>
      <c r="D32" s="1977" t="s">
        <v>1796</v>
      </c>
      <c r="E32" s="784" t="s">
        <v>1797</v>
      </c>
      <c r="F32" s="809">
        <f>'数据-取费表'!B41</f>
        <v>5.6000000000000001E-2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40</v>
      </c>
      <c r="D33" s="811" t="s">
        <v>3015</v>
      </c>
      <c r="E33" s="784" t="s">
        <v>1797</v>
      </c>
      <c r="F33" s="809">
        <f>IF(D33="按租金收入计税",'数据-取费表'!B51,'数据-取费表'!B50)</f>
        <v>0.12</v>
      </c>
      <c r="G33" s="2062"/>
      <c r="H33" s="2077"/>
      <c r="I33" s="2077"/>
      <c r="J33" s="2077"/>
      <c r="K33" s="2078"/>
      <c r="L33" s="2077"/>
      <c r="M33" s="2077"/>
    </row>
    <row r="34" spans="1:18" ht="18" customHeight="1">
      <c r="A34" s="1651" t="s">
        <v>1834</v>
      </c>
      <c r="B34" s="341" t="s">
        <v>1799</v>
      </c>
      <c r="C34" s="54">
        <f ca="1">ROUND(F34*F35/10000,1)</f>
        <v>0.6</v>
      </c>
      <c r="D34" s="814" t="s">
        <v>1800</v>
      </c>
      <c r="E34" s="784" t="s">
        <v>1801</v>
      </c>
      <c r="F34" s="640">
        <f>'数据-取费表'!B52</f>
        <v>9</v>
      </c>
      <c r="G34" s="2062"/>
      <c r="H34" s="2065"/>
      <c r="I34" s="835" t="s">
        <v>1814</v>
      </c>
      <c r="J34" s="836"/>
      <c r="K34" s="2080"/>
      <c r="L34" s="2079"/>
      <c r="M34" s="2079"/>
    </row>
    <row r="35" spans="1:18" ht="18" customHeight="1">
      <c r="A35" s="815"/>
      <c r="B35" s="793"/>
      <c r="C35" s="69"/>
      <c r="D35" s="816"/>
      <c r="E35" s="784" t="s">
        <v>1802</v>
      </c>
      <c r="F35" s="785">
        <f ca="1">INDIRECT("'数据-取费表'!r"&amp;$G$1)</f>
        <v>686.61</v>
      </c>
      <c r="G35" s="2062"/>
      <c r="H35" s="2065"/>
      <c r="I35" s="837" t="s">
        <v>1815</v>
      </c>
      <c r="J35" s="838">
        <f ca="1">ROUND(C13*J36,0)</f>
        <v>96</v>
      </c>
      <c r="K35" s="2078"/>
      <c r="L35" s="2077"/>
      <c r="M35" s="2077"/>
    </row>
    <row r="36" spans="1:18" ht="18" customHeight="1">
      <c r="A36" s="1649" t="s">
        <v>1890</v>
      </c>
      <c r="B36" s="784" t="s">
        <v>1803</v>
      </c>
      <c r="C36" s="53">
        <f ca="1">ROUND(C29*F36,1)</f>
        <v>17</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1.7</v>
      </c>
      <c r="D37" s="1977" t="s">
        <v>1805</v>
      </c>
      <c r="E37" s="784" t="s">
        <v>1797</v>
      </c>
      <c r="F37" s="818">
        <f ca="1">INDIRECT("'数据-取费表'!Al"&amp;$G$1)</f>
        <v>1.5E-3</v>
      </c>
      <c r="G37" s="2062"/>
      <c r="H37" s="2077"/>
      <c r="I37" s="841" t="s">
        <v>1817</v>
      </c>
      <c r="J37" s="842"/>
      <c r="K37" s="2082"/>
      <c r="L37" s="2077"/>
      <c r="M37" s="2077"/>
    </row>
    <row r="38" spans="1:18" ht="18" customHeight="1" thickBot="1">
      <c r="A38" s="2530" t="s">
        <v>1892</v>
      </c>
      <c r="B38" s="2525" t="s">
        <v>666</v>
      </c>
      <c r="C38" s="2523">
        <f ca="1">ROUND(C5*F38,1)</f>
        <v>3.3</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6" t="s">
        <v>2823</v>
      </c>
      <c r="C39" s="792">
        <f ca="1">C5-C30</f>
        <v>253</v>
      </c>
      <c r="D39" s="2527" t="s">
        <v>1807</v>
      </c>
      <c r="E39" s="2528"/>
      <c r="F39" s="2529"/>
      <c r="G39" s="2062"/>
      <c r="H39" s="2077"/>
      <c r="I39" s="837" t="s">
        <v>1819</v>
      </c>
      <c r="J39" s="845">
        <f ca="1">ROUND(J35/C39,3)</f>
        <v>0.379</v>
      </c>
      <c r="K39" s="2083"/>
      <c r="L39" s="2077"/>
      <c r="M39" s="2077"/>
    </row>
    <row r="40" spans="1:18" ht="18" customHeight="1">
      <c r="A40" s="781" t="s">
        <v>1896</v>
      </c>
      <c r="B40" s="2232" t="s">
        <v>2302</v>
      </c>
      <c r="C40" s="783">
        <f ca="1">ROUND(C39*(1-((1+F42)/(1+F40))^F41)/(F40-F42),0)</f>
        <v>4704</v>
      </c>
      <c r="D40" s="814" t="s">
        <v>1808</v>
      </c>
      <c r="E40" s="784" t="s">
        <v>2420</v>
      </c>
      <c r="F40" s="794">
        <f ca="1">INDIRECT("'数据-取费表'!I"&amp;$G$1)</f>
        <v>0.06</v>
      </c>
      <c r="G40" s="2062"/>
      <c r="H40" s="2062"/>
      <c r="I40" s="837" t="s">
        <v>1820</v>
      </c>
      <c r="J40" s="845">
        <f ca="1">1-J39</f>
        <v>0.621</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26.19</v>
      </c>
      <c r="G41" s="2062"/>
      <c r="H41" s="1988"/>
      <c r="I41" s="843" t="s">
        <v>1821</v>
      </c>
      <c r="J41" s="846"/>
      <c r="K41" s="2082"/>
      <c r="L41" s="1988"/>
      <c r="M41" s="1988"/>
    </row>
    <row r="42" spans="1:18" ht="18" customHeight="1">
      <c r="A42" s="790"/>
      <c r="B42" s="791"/>
      <c r="C42" s="792"/>
      <c r="D42" s="816"/>
      <c r="E42" s="784" t="s">
        <v>1810</v>
      </c>
      <c r="F42" s="794">
        <f ca="1">INDIRECT("'数据-取费表'!v"&amp;$G$1)</f>
        <v>3.5000000000000003E-2</v>
      </c>
      <c r="G42" s="2062"/>
      <c r="H42" s="1988"/>
      <c r="I42" s="847" t="s">
        <v>1822</v>
      </c>
      <c r="J42" s="845">
        <f ca="1">ROUND(C13/C40,3)</f>
        <v>0.24099999999999999</v>
      </c>
      <c r="K42" s="2082"/>
      <c r="L42" s="1988"/>
      <c r="M42" s="1988"/>
    </row>
    <row r="43" spans="1:18" ht="18" customHeight="1" thickBot="1">
      <c r="A43" s="823" t="s">
        <v>1788</v>
      </c>
      <c r="B43" s="824" t="s">
        <v>1811</v>
      </c>
      <c r="C43" s="825">
        <f ca="1">ROUND(C40*10000/F43,0)</f>
        <v>17160</v>
      </c>
      <c r="D43" s="826" t="s">
        <v>1812</v>
      </c>
      <c r="E43" s="827" t="s">
        <v>1813</v>
      </c>
      <c r="F43" s="828">
        <f ca="1">INDIRECT("'数据-取费表'!k"&amp;$G$1)</f>
        <v>2741.22</v>
      </c>
      <c r="G43" s="2062"/>
      <c r="H43" s="1988"/>
      <c r="I43" s="847" t="s">
        <v>1823</v>
      </c>
      <c r="J43" s="848">
        <f ca="1">1-J42</f>
        <v>0.75900000000000001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-4952</v>
      </c>
      <c r="D46" s="2085"/>
      <c r="E46" s="2085"/>
      <c r="F46" s="2085"/>
      <c r="I46" s="2357" t="s">
        <v>2344</v>
      </c>
      <c r="J46" s="2358"/>
      <c r="K46" s="2359"/>
      <c r="L46" s="3136" t="str">
        <f ca="1">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6" t="s">
        <v>2345</v>
      </c>
      <c r="J47" s="2360" t="s">
        <v>3016</v>
      </c>
      <c r="K47" s="3133" t="s">
        <v>2350</v>
      </c>
      <c r="L47" s="3137">
        <f ca="1">INDIRECT("'数据-取费表'!d"&amp;$G$1)</f>
        <v>40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2" t="s">
        <v>2346</v>
      </c>
      <c r="J48" s="2361" t="s">
        <v>2351</v>
      </c>
      <c r="K48" s="3134" t="s">
        <v>2352</v>
      </c>
      <c r="L48" s="1908">
        <f ca="1">INDIRECT("'数据-取费表'!f"&amp;$G$1)</f>
        <v>26.19</v>
      </c>
      <c r="O48" s="2377" t="s">
        <v>2380</v>
      </c>
      <c r="P48" s="2378" t="s">
        <v>2406</v>
      </c>
      <c r="Q48" s="2379">
        <f ca="1">C40+J29</f>
        <v>4704</v>
      </c>
      <c r="R48" s="2378" t="s">
        <v>2381</v>
      </c>
    </row>
    <row r="49" spans="1:18" s="2059" customFormat="1" ht="18" customHeight="1" thickBot="1">
      <c r="A49" s="786"/>
      <c r="B49" s="787"/>
      <c r="C49" s="788"/>
      <c r="D49" s="789"/>
      <c r="E49" s="784" t="s">
        <v>1740</v>
      </c>
      <c r="F49" s="785">
        <f ca="1">F7</f>
        <v>2741.22</v>
      </c>
      <c r="G49" s="2090"/>
      <c r="H49" s="2093"/>
      <c r="I49" s="3102" t="s">
        <v>2347</v>
      </c>
      <c r="J49" s="2362">
        <v>2021</v>
      </c>
      <c r="K49" s="3135"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2" t="s">
        <v>2348</v>
      </c>
      <c r="J50" s="3130">
        <f>SUMPRODUCT((I63:I65=J47)*(J62:L62=J48)*(J63:L65))</f>
        <v>60</v>
      </c>
      <c r="K50" s="3135" t="s">
        <v>2354</v>
      </c>
      <c r="L50" s="2363"/>
      <c r="O50" s="2380" t="s">
        <v>2384</v>
      </c>
      <c r="P50" s="2378" t="s">
        <v>2408</v>
      </c>
      <c r="Q50" s="2379">
        <f ca="1">C29</f>
        <v>1135</v>
      </c>
      <c r="R50" s="2378" t="s">
        <v>2381</v>
      </c>
    </row>
    <row r="51" spans="1:18" s="2059" customFormat="1" ht="18" customHeight="1" thickBot="1">
      <c r="A51" s="786"/>
      <c r="B51" s="787"/>
      <c r="C51" s="788"/>
      <c r="D51" s="789"/>
      <c r="E51" s="784" t="s">
        <v>640</v>
      </c>
      <c r="F51" s="2350"/>
      <c r="H51" s="2093"/>
      <c r="I51" s="3127" t="s">
        <v>2349</v>
      </c>
      <c r="J51" s="3131">
        <f>IF(J49="",J50,J49+J50-YEAR('数据-取费表'!B2))</f>
        <v>63</v>
      </c>
      <c r="K51" s="3102" t="s">
        <v>2355</v>
      </c>
      <c r="L51" s="3138">
        <f ca="1">ROUND(-PV(INDIRECT("'数据-取费表'!h"&amp;$G$1),L48,(C39-C13*J36),0),0)</f>
        <v>2146</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8" t="s">
        <v>2422</v>
      </c>
      <c r="J52" s="2364"/>
      <c r="K52" s="3128"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9" t="s">
        <v>2980</v>
      </c>
      <c r="J53" s="3132">
        <f ca="1">IF(M47="住宅",IF(D1="——",MAX(J51,L48),MAX(J51,L48-'数据-取费表'!B20)),IF(D1="——",MIN(J51,L48),MIN(J51,L48-'数据-取费表'!B20)))</f>
        <v>26.19</v>
      </c>
      <c r="K53" s="3466" t="s">
        <v>2968</v>
      </c>
      <c r="L53" s="3467"/>
      <c r="O53" s="2380" t="s">
        <v>2389</v>
      </c>
      <c r="P53" s="2378" t="s">
        <v>2390</v>
      </c>
      <c r="Q53" s="2379">
        <f ca="1">J53</f>
        <v>26.19</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4704</v>
      </c>
      <c r="R54" s="2382" t="s">
        <v>2393</v>
      </c>
    </row>
    <row r="55" spans="1:18" s="2059" customFormat="1" ht="18" customHeight="1" thickTop="1" thickBot="1">
      <c r="A55" s="797">
        <v>2</v>
      </c>
      <c r="B55" s="798" t="s">
        <v>644</v>
      </c>
      <c r="C55" s="799">
        <f ca="1">C13</f>
        <v>1135</v>
      </c>
      <c r="D55" s="795"/>
      <c r="E55" s="795"/>
      <c r="F55" s="800"/>
      <c r="I55" s="3141" t="s">
        <v>2356</v>
      </c>
      <c r="J55" s="3077" t="e">
        <f ca="1">ROUND(IF(J47="钢混",J57/J50,1-(1-2%)*(J50-J57)/J50),3)</f>
        <v>#VALUE!</v>
      </c>
      <c r="K55" s="3142" t="s">
        <v>2357</v>
      </c>
      <c r="L55" s="2365"/>
      <c r="O55" s="2383" t="s">
        <v>2412</v>
      </c>
      <c r="P55" s="1592"/>
      <c r="Q55" s="1604"/>
      <c r="R55" s="1592"/>
    </row>
    <row r="56" spans="1:18" s="2059" customFormat="1" ht="42.75" customHeight="1" thickBot="1">
      <c r="A56" s="1650"/>
      <c r="B56" s="2231" t="s">
        <v>2303</v>
      </c>
      <c r="C56" s="53">
        <f ca="1">C29</f>
        <v>1135</v>
      </c>
      <c r="D56" s="2618"/>
      <c r="E56" s="784"/>
      <c r="F56" s="809"/>
      <c r="I56" s="3143" t="s">
        <v>2358</v>
      </c>
      <c r="J56" s="3153" t="s">
        <v>1679</v>
      </c>
      <c r="K56" s="3102"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19</v>
      </c>
      <c r="D57" s="26" t="s">
        <v>1751</v>
      </c>
      <c r="E57" s="2619"/>
      <c r="F57" s="56"/>
      <c r="I57" s="3144" t="s">
        <v>2359</v>
      </c>
      <c r="J57" s="3145" t="str">
        <f ca="1">IF(OR(M47="住宅",J51&lt;L48,J56="是"),"——",J51-L48)</f>
        <v>——</v>
      </c>
      <c r="K57" s="3102" t="s">
        <v>2364</v>
      </c>
      <c r="L57" s="1908" t="str">
        <f ca="1">IF(L48&lt;J51,"——",IF(L55="比较法",L49,IF(L55="基准地价",L50,L51)))</f>
        <v>——</v>
      </c>
      <c r="O57" s="2377" t="s">
        <v>2380</v>
      </c>
      <c r="P57" s="2378" t="s">
        <v>2410</v>
      </c>
      <c r="Q57" s="2379">
        <f ca="1">C40+J29</f>
        <v>4704</v>
      </c>
      <c r="R57" s="2378" t="s">
        <v>2381</v>
      </c>
    </row>
    <row r="58" spans="1:18" s="2059" customFormat="1" ht="28.5" customHeight="1" thickBot="1">
      <c r="A58" s="1649" t="s">
        <v>1825</v>
      </c>
      <c r="B58" s="784" t="s">
        <v>656</v>
      </c>
      <c r="C58" s="53">
        <f ca="1">ROUND(IF(项目基本情况!B11="自然人",C47*F58,C59+C60+C61),1)</f>
        <v>0.6</v>
      </c>
      <c r="D58" s="2617" t="s">
        <v>657</v>
      </c>
      <c r="E58" s="2618" t="s">
        <v>690</v>
      </c>
      <c r="F58" s="810" t="str">
        <f ca="1">IF(项目基本情况!B11="企业","",IF(INDIRECT("'数据-取费表'!c"&amp;$G$1)="住宅",5%,IF(F48*F49*F50/12/(1+'数据-取费表'!C42)&gt;20000,12%,7%)))</f>
        <v/>
      </c>
      <c r="I58" s="3144" t="s">
        <v>2360</v>
      </c>
      <c r="J58" s="3078" t="e">
        <f ca="1">IF(J55&lt;0.4,0.4,J55)</f>
        <v>#VALUE!</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4" t="s">
        <v>660</v>
      </c>
      <c r="C59" s="53">
        <f ca="1">ROUND(C47*F59/1.05,1)</f>
        <v>0</v>
      </c>
      <c r="D59" s="2618" t="s">
        <v>1757</v>
      </c>
      <c r="E59" s="784" t="s">
        <v>1748</v>
      </c>
      <c r="F59" s="809">
        <f t="shared" ref="F59:F65" si="0">F32</f>
        <v>5.6000000000000001E-2</v>
      </c>
      <c r="I59" s="3144" t="s">
        <v>2361</v>
      </c>
      <c r="J59" s="3145" t="str">
        <f ca="1">IF(OR(M47="住宅",J51&lt;L48,J56="是"),"——",ROUND(C29*J58,0))</f>
        <v>——</v>
      </c>
      <c r="K59" s="3102"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6" t="s">
        <v>2362</v>
      </c>
      <c r="J60" s="3147" t="str">
        <f ca="1">IF(OR(M47="住宅",J51&lt;L48,J56="是"),"0",ROUND(J59/(1+J52)^J53,0))</f>
        <v>0</v>
      </c>
      <c r="K60" s="3148" t="s">
        <v>2367</v>
      </c>
      <c r="L60" s="3147">
        <f ca="1">IF(OR(M47="住宅",L48&lt;J51),0,ROUND(L57*(L58/L59-1),0))</f>
        <v>0</v>
      </c>
      <c r="O60" s="2380" t="s">
        <v>2385</v>
      </c>
      <c r="P60" s="2378" t="s">
        <v>2394</v>
      </c>
      <c r="Q60" s="2381">
        <f>L52</f>
        <v>0</v>
      </c>
      <c r="R60" s="2382"/>
    </row>
    <row r="61" spans="1:18" s="2059" customFormat="1" ht="18" customHeight="1" thickBot="1">
      <c r="A61" s="1651" t="s">
        <v>1834</v>
      </c>
      <c r="B61" s="341" t="s">
        <v>668</v>
      </c>
      <c r="C61" s="54">
        <f ca="1">ROUND(F61*F62/10000,1)</f>
        <v>0.6</v>
      </c>
      <c r="D61" s="814" t="s">
        <v>669</v>
      </c>
      <c r="E61" s="784" t="s">
        <v>670</v>
      </c>
      <c r="F61" s="640">
        <f t="shared" si="0"/>
        <v>9</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686.61</v>
      </c>
      <c r="I62" s="3149" t="s">
        <v>2368</v>
      </c>
      <c r="J62" s="3150" t="s">
        <v>2369</v>
      </c>
      <c r="K62" s="3150" t="s">
        <v>2370</v>
      </c>
      <c r="L62" s="3150" t="s">
        <v>2351</v>
      </c>
      <c r="M62" s="3151" t="s">
        <v>2944</v>
      </c>
      <c r="O62" s="2380" t="s">
        <v>2389</v>
      </c>
      <c r="P62" s="2378" t="str">
        <f>K59</f>
        <v>建筑物剩余耐用年限下的土地年期修正系数Kn</v>
      </c>
      <c r="Q62" s="2379" t="e">
        <f ca="1">L59</f>
        <v>#DIV/0!</v>
      </c>
      <c r="R62" s="2382" t="s">
        <v>2398</v>
      </c>
    </row>
    <row r="63" spans="1:18" s="2059" customFormat="1" ht="15.75" thickBot="1">
      <c r="A63" s="1649" t="s">
        <v>1890</v>
      </c>
      <c r="B63" s="784" t="s">
        <v>676</v>
      </c>
      <c r="C63" s="53">
        <f ca="1">ROUND(C56*F63,1)</f>
        <v>17</v>
      </c>
      <c r="D63" s="2618" t="s">
        <v>1804</v>
      </c>
      <c r="E63" s="784" t="s">
        <v>1748</v>
      </c>
      <c r="F63" s="817">
        <f t="shared" ca="1" si="0"/>
        <v>1.4999999999999999E-2</v>
      </c>
      <c r="I63" s="3149" t="s">
        <v>2371</v>
      </c>
      <c r="J63" s="3150">
        <v>70</v>
      </c>
      <c r="K63" s="3150">
        <v>50</v>
      </c>
      <c r="L63" s="3150">
        <v>80</v>
      </c>
      <c r="M63" s="3152">
        <v>0.02</v>
      </c>
      <c r="O63" s="2377" t="s">
        <v>2392</v>
      </c>
      <c r="P63" s="2378" t="s">
        <v>2409</v>
      </c>
      <c r="Q63" s="2379">
        <f ca="1">Q57+Q58</f>
        <v>4704</v>
      </c>
      <c r="R63" s="2382" t="s">
        <v>2393</v>
      </c>
    </row>
    <row r="64" spans="1:18" s="2059" customFormat="1" ht="16.5" thickBot="1">
      <c r="A64" s="1649" t="s">
        <v>1891</v>
      </c>
      <c r="B64" s="784" t="s">
        <v>679</v>
      </c>
      <c r="C64" s="53">
        <f ca="1">ROUND(C55*F64,1)</f>
        <v>1.7</v>
      </c>
      <c r="D64" s="2618" t="s">
        <v>680</v>
      </c>
      <c r="E64" s="784" t="s">
        <v>1748</v>
      </c>
      <c r="F64" s="818">
        <f t="shared" ca="1" si="0"/>
        <v>1.5E-3</v>
      </c>
      <c r="I64" s="3149" t="s">
        <v>2372</v>
      </c>
      <c r="J64" s="3150">
        <v>50</v>
      </c>
      <c r="K64" s="3150">
        <v>35</v>
      </c>
      <c r="L64" s="3150">
        <v>60</v>
      </c>
      <c r="M64" s="846">
        <v>0</v>
      </c>
      <c r="O64" s="2383" t="s">
        <v>2416</v>
      </c>
      <c r="P64" s="1592"/>
      <c r="Q64" s="1604"/>
      <c r="R64" s="1592"/>
    </row>
    <row r="65" spans="1:18" s="2059" customFormat="1" ht="15.75" thickBot="1">
      <c r="A65" s="1649" t="s">
        <v>1892</v>
      </c>
      <c r="B65" s="784" t="s">
        <v>666</v>
      </c>
      <c r="C65" s="53">
        <f ca="1">ROUND(C47*F65,1)</f>
        <v>0</v>
      </c>
      <c r="D65" s="2618" t="s">
        <v>683</v>
      </c>
      <c r="E65" s="784" t="s">
        <v>1748</v>
      </c>
      <c r="F65" s="794">
        <f t="shared" ca="1" si="0"/>
        <v>0.01</v>
      </c>
      <c r="I65" s="3149" t="s">
        <v>2373</v>
      </c>
      <c r="J65" s="3150">
        <v>40</v>
      </c>
      <c r="K65" s="3150">
        <v>30</v>
      </c>
      <c r="L65" s="3150">
        <v>50</v>
      </c>
      <c r="M65" s="3152">
        <v>0.02</v>
      </c>
      <c r="O65" s="2374" t="s">
        <v>2376</v>
      </c>
      <c r="P65" s="2375" t="s">
        <v>2377</v>
      </c>
      <c r="Q65" s="2376" t="s">
        <v>2378</v>
      </c>
      <c r="R65" s="2375" t="s">
        <v>2379</v>
      </c>
    </row>
    <row r="66" spans="1:18" s="2059" customFormat="1" ht="24.75" thickBot="1">
      <c r="A66" s="797" t="s">
        <v>1777</v>
      </c>
      <c r="B66" s="2987" t="s">
        <v>2823</v>
      </c>
      <c r="C66" s="799">
        <f ca="1">C47-C57</f>
        <v>-19</v>
      </c>
      <c r="D66" s="2617" t="s">
        <v>700</v>
      </c>
      <c r="E66" s="2616"/>
      <c r="F66" s="820"/>
      <c r="K66" s="2086"/>
      <c r="O66" s="2377" t="s">
        <v>2380</v>
      </c>
      <c r="P66" s="2378" t="s">
        <v>2410</v>
      </c>
      <c r="Q66" s="2379">
        <f ca="1">C40+J29</f>
        <v>4704</v>
      </c>
      <c r="R66" s="2378" t="s">
        <v>2381</v>
      </c>
    </row>
    <row r="67" spans="1:18" s="2059" customFormat="1" ht="20.25" thickBot="1">
      <c r="A67" s="781" t="s">
        <v>1781</v>
      </c>
      <c r="B67" s="2232" t="s">
        <v>2302</v>
      </c>
      <c r="C67" s="783">
        <f ca="1">ROUND(C66*(1-((1+F69)/(1+F67))^F68)/(F67-F69),0)</f>
        <v>-248</v>
      </c>
      <c r="D67" s="814" t="s">
        <v>704</v>
      </c>
      <c r="E67" s="784" t="s">
        <v>705</v>
      </c>
      <c r="F67" s="794">
        <f ca="1">F40</f>
        <v>0.06</v>
      </c>
      <c r="K67" s="2086"/>
      <c r="O67" s="2377" t="s">
        <v>2382</v>
      </c>
      <c r="P67" s="2378" t="s">
        <v>2413</v>
      </c>
      <c r="Q67" s="2379">
        <f ca="1">L60</f>
        <v>0</v>
      </c>
      <c r="R67" s="2382" t="s">
        <v>2415</v>
      </c>
    </row>
    <row r="68" spans="1:18" ht="21.75" thickBot="1">
      <c r="A68" s="786"/>
      <c r="B68" s="787"/>
      <c r="C68" s="788"/>
      <c r="D68" s="821" t="s">
        <v>1809</v>
      </c>
      <c r="E68" s="784" t="s">
        <v>1785</v>
      </c>
      <c r="F68" s="822">
        <f ca="1">F41</f>
        <v>26.19</v>
      </c>
      <c r="O68" s="2380" t="s">
        <v>2384</v>
      </c>
      <c r="P68" s="2378" t="s">
        <v>2414</v>
      </c>
      <c r="Q68" s="2384">
        <f ca="1">L51</f>
        <v>2146</v>
      </c>
      <c r="R68" s="2385" t="s">
        <v>2417</v>
      </c>
    </row>
    <row r="69" spans="1:18" ht="20.25" thickBot="1">
      <c r="A69" s="790"/>
      <c r="B69" s="791"/>
      <c r="C69" s="792"/>
      <c r="D69" s="816"/>
      <c r="E69" s="784" t="s">
        <v>710</v>
      </c>
      <c r="F69" s="2350"/>
      <c r="O69" s="2380" t="s">
        <v>2385</v>
      </c>
      <c r="P69" s="2386" t="s">
        <v>2399</v>
      </c>
      <c r="Q69" s="2379">
        <f ca="1">ROUND(Q70-Q71*Q72,0)</f>
        <v>157</v>
      </c>
      <c r="R69" s="2382"/>
    </row>
    <row r="70" spans="1:18" ht="15.75" thickBot="1">
      <c r="A70" s="823" t="s">
        <v>1788</v>
      </c>
      <c r="B70" s="824" t="s">
        <v>1811</v>
      </c>
      <c r="C70" s="825">
        <f ca="1">ROUND(C67*10000/F70,0)</f>
        <v>-905</v>
      </c>
      <c r="D70" s="826" t="s">
        <v>1812</v>
      </c>
      <c r="E70" s="827" t="s">
        <v>1813</v>
      </c>
      <c r="F70" s="828">
        <f ca="1">F43</f>
        <v>2741.22</v>
      </c>
      <c r="O70" s="2380" t="s">
        <v>2400</v>
      </c>
      <c r="P70" s="2386" t="s">
        <v>2401</v>
      </c>
      <c r="Q70" s="2379">
        <f ca="1">C39</f>
        <v>253</v>
      </c>
      <c r="R70" s="2378" t="s">
        <v>2381</v>
      </c>
    </row>
    <row r="71" spans="1:18" ht="15.75" thickBot="1">
      <c r="O71" s="2380" t="s">
        <v>2402</v>
      </c>
      <c r="P71" s="2386" t="s">
        <v>2403</v>
      </c>
      <c r="Q71" s="2379">
        <f ca="1">C13</f>
        <v>1135</v>
      </c>
      <c r="R71" s="2378" t="s">
        <v>2381</v>
      </c>
    </row>
    <row r="72" spans="1:18" ht="15.75" thickBot="1">
      <c r="O72" s="2380" t="s">
        <v>2404</v>
      </c>
      <c r="P72" s="2386" t="s">
        <v>2405</v>
      </c>
      <c r="Q72" s="2381">
        <f ca="1">J36</f>
        <v>8.5000000000000006E-2</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f ca="1">Q66+Q67</f>
        <v>4704</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468" t="s">
        <v>2472</v>
      </c>
      <c r="B1" s="3469"/>
      <c r="C1" s="3470"/>
      <c r="D1" s="3471">
        <f>SUM(I10,I15,I20,I21,I23)</f>
        <v>0</v>
      </c>
      <c r="E1" s="3471"/>
      <c r="F1" s="3471"/>
      <c r="G1" s="3471"/>
      <c r="H1" s="3471"/>
      <c r="I1" s="3472"/>
    </row>
    <row r="2" spans="1:9">
      <c r="A2" s="3473" t="s">
        <v>2473</v>
      </c>
      <c r="B2" s="3474" t="s">
        <v>2474</v>
      </c>
      <c r="C2" s="3474"/>
      <c r="D2" s="2486" t="s">
        <v>2475</v>
      </c>
      <c r="E2" s="2486" t="s">
        <v>2476</v>
      </c>
      <c r="F2" s="2486" t="s">
        <v>2477</v>
      </c>
      <c r="G2" s="2486" t="s">
        <v>2478</v>
      </c>
      <c r="H2" s="2486" t="s">
        <v>2479</v>
      </c>
      <c r="I2" s="2487" t="s">
        <v>2480</v>
      </c>
    </row>
    <row r="3" spans="1:9">
      <c r="A3" s="3473"/>
      <c r="B3" s="3474" t="s">
        <v>2481</v>
      </c>
      <c r="C3" s="3474"/>
      <c r="D3" s="2488"/>
      <c r="E3" s="2486"/>
      <c r="F3" s="2489"/>
      <c r="G3" s="2489"/>
      <c r="H3" s="2490"/>
      <c r="I3" s="2491">
        <f>ROUND(D3*E3*F3*G3*H3/10000,0)</f>
        <v>0</v>
      </c>
    </row>
    <row r="4" spans="1:9">
      <c r="A4" s="3473"/>
      <c r="B4" s="3474" t="s">
        <v>2482</v>
      </c>
      <c r="C4" s="3474"/>
      <c r="D4" s="2488"/>
      <c r="E4" s="2486"/>
      <c r="F4" s="2489"/>
      <c r="G4" s="2489"/>
      <c r="H4" s="2490"/>
      <c r="I4" s="2491">
        <f t="shared" ref="I4:I9" si="0">ROUND(D4*E4*F4*G4*H4/10000,0)</f>
        <v>0</v>
      </c>
    </row>
    <row r="5" spans="1:9">
      <c r="A5" s="3473"/>
      <c r="B5" s="3474" t="s">
        <v>2483</v>
      </c>
      <c r="C5" s="3474"/>
      <c r="D5" s="2488"/>
      <c r="E5" s="2486"/>
      <c r="F5" s="2489"/>
      <c r="G5" s="2489"/>
      <c r="H5" s="2490"/>
      <c r="I5" s="2491">
        <f t="shared" si="0"/>
        <v>0</v>
      </c>
    </row>
    <row r="6" spans="1:9">
      <c r="A6" s="3473"/>
      <c r="B6" s="3474" t="s">
        <v>2484</v>
      </c>
      <c r="C6" s="3474"/>
      <c r="D6" s="2488"/>
      <c r="E6" s="2486"/>
      <c r="F6" s="2489"/>
      <c r="G6" s="2489"/>
      <c r="H6" s="2490"/>
      <c r="I6" s="2491">
        <f t="shared" si="0"/>
        <v>0</v>
      </c>
    </row>
    <row r="7" spans="1:9">
      <c r="A7" s="3473"/>
      <c r="B7" s="3474" t="s">
        <v>2485</v>
      </c>
      <c r="C7" s="3474"/>
      <c r="D7" s="2488"/>
      <c r="E7" s="2486"/>
      <c r="F7" s="2489"/>
      <c r="G7" s="2489"/>
      <c r="H7" s="2490"/>
      <c r="I7" s="2491">
        <f t="shared" si="0"/>
        <v>0</v>
      </c>
    </row>
    <row r="8" spans="1:9">
      <c r="A8" s="3473"/>
      <c r="B8" s="3474" t="s">
        <v>2486</v>
      </c>
      <c r="C8" s="3474"/>
      <c r="D8" s="2488"/>
      <c r="E8" s="2486"/>
      <c r="F8" s="2489"/>
      <c r="G8" s="2489"/>
      <c r="H8" s="2490"/>
      <c r="I8" s="2491">
        <f t="shared" si="0"/>
        <v>0</v>
      </c>
    </row>
    <row r="9" spans="1:9">
      <c r="A9" s="3473"/>
      <c r="B9" s="3474" t="s">
        <v>2487</v>
      </c>
      <c r="C9" s="3474"/>
      <c r="D9" s="2488"/>
      <c r="E9" s="2486"/>
      <c r="F9" s="2489"/>
      <c r="G9" s="2489"/>
      <c r="H9" s="2490"/>
      <c r="I9" s="2491">
        <f t="shared" si="0"/>
        <v>0</v>
      </c>
    </row>
    <row r="10" spans="1:9">
      <c r="A10" s="3473"/>
      <c r="B10" s="3475" t="s">
        <v>2488</v>
      </c>
      <c r="C10" s="3475"/>
      <c r="D10" s="2492">
        <v>527</v>
      </c>
      <c r="E10" s="2492" t="e">
        <f>ROUND(D1*10000/D10/H9,0)</f>
        <v>#DIV/0!</v>
      </c>
      <c r="F10" s="2493"/>
      <c r="G10" s="2493"/>
      <c r="H10" s="2494"/>
      <c r="I10" s="2495">
        <f>SUM(I3:I9)</f>
        <v>0</v>
      </c>
    </row>
    <row r="11" spans="1:9" ht="14.25">
      <c r="A11" s="3473" t="s">
        <v>2489</v>
      </c>
      <c r="B11" s="3474" t="s">
        <v>2490</v>
      </c>
      <c r="C11" s="3474"/>
      <c r="D11" s="2488" t="s">
        <v>2491</v>
      </c>
      <c r="E11" s="2488" t="s">
        <v>2492</v>
      </c>
      <c r="F11" s="2489" t="s">
        <v>2493</v>
      </c>
      <c r="G11" s="2489" t="s">
        <v>2494</v>
      </c>
      <c r="H11" s="2496" t="s">
        <v>2495</v>
      </c>
      <c r="I11" s="2487" t="s">
        <v>2496</v>
      </c>
    </row>
    <row r="12" spans="1:9">
      <c r="A12" s="3473"/>
      <c r="B12" s="3474" t="s">
        <v>2497</v>
      </c>
      <c r="C12" s="3474"/>
      <c r="D12" s="2488"/>
      <c r="E12" s="2488"/>
      <c r="F12" s="2489"/>
      <c r="G12" s="2490"/>
      <c r="H12" s="2497"/>
      <c r="I12" s="2487">
        <f>ROUND(D12*E12*F12*G12/10000,0)</f>
        <v>0</v>
      </c>
    </row>
    <row r="13" spans="1:9">
      <c r="A13" s="3473"/>
      <c r="B13" s="3474" t="s">
        <v>2498</v>
      </c>
      <c r="C13" s="3474"/>
      <c r="D13" s="2488"/>
      <c r="E13" s="2488"/>
      <c r="F13" s="2489"/>
      <c r="G13" s="2490"/>
      <c r="H13" s="2497"/>
      <c r="I13" s="2487">
        <f>ROUND(D13*E13*F13*G13/10000,0)</f>
        <v>0</v>
      </c>
    </row>
    <row r="14" spans="1:9">
      <c r="A14" s="3473"/>
      <c r="B14" s="3474" t="s">
        <v>2499</v>
      </c>
      <c r="C14" s="3474"/>
      <c r="D14" s="2488"/>
      <c r="E14" s="2488"/>
      <c r="F14" s="2489"/>
      <c r="G14" s="2490"/>
      <c r="H14" s="2497"/>
      <c r="I14" s="2487">
        <f>ROUND(D14*E14*F14*G14/10000,0)</f>
        <v>0</v>
      </c>
    </row>
    <row r="15" spans="1:9">
      <c r="A15" s="3473"/>
      <c r="B15" s="3475" t="s">
        <v>2488</v>
      </c>
      <c r="C15" s="3475"/>
      <c r="D15" s="2492"/>
      <c r="E15" s="2492">
        <f>SUM(E12:E14)</f>
        <v>0</v>
      </c>
      <c r="F15" s="2493"/>
      <c r="G15" s="2490"/>
      <c r="H15" s="2497"/>
      <c r="I15" s="2498">
        <f>SUM(I12:I14)</f>
        <v>0</v>
      </c>
    </row>
    <row r="16" spans="1:9" ht="24">
      <c r="A16" s="3473" t="s">
        <v>2500</v>
      </c>
      <c r="B16" s="3474" t="s">
        <v>2501</v>
      </c>
      <c r="C16" s="3474"/>
      <c r="D16" s="2488" t="s">
        <v>2502</v>
      </c>
      <c r="E16" s="2499" t="s">
        <v>2503</v>
      </c>
      <c r="F16" s="2489" t="s">
        <v>2504</v>
      </c>
      <c r="G16" s="2490" t="s">
        <v>2494</v>
      </c>
      <c r="H16" s="2496" t="s">
        <v>2495</v>
      </c>
      <c r="I16" s="2487" t="s">
        <v>2496</v>
      </c>
    </row>
    <row r="17" spans="1:9" ht="14.25">
      <c r="A17" s="3473"/>
      <c r="B17" s="3474" t="s">
        <v>2505</v>
      </c>
      <c r="C17" s="3474"/>
      <c r="D17" s="2488"/>
      <c r="E17" s="2488"/>
      <c r="F17" s="2489"/>
      <c r="G17" s="2490"/>
      <c r="H17" s="2500"/>
      <c r="I17" s="2501">
        <f>ROUND(D17*E17*F17*G17/10000,0)</f>
        <v>0</v>
      </c>
    </row>
    <row r="18" spans="1:9" ht="14.25">
      <c r="A18" s="3473"/>
      <c r="B18" s="3474" t="s">
        <v>2506</v>
      </c>
      <c r="C18" s="3474"/>
      <c r="D18" s="2488"/>
      <c r="E18" s="2488"/>
      <c r="F18" s="2489"/>
      <c r="G18" s="2490"/>
      <c r="H18" s="2500"/>
      <c r="I18" s="2501">
        <f>ROUND(D18*E18*F18*G18/10000,0)</f>
        <v>0</v>
      </c>
    </row>
    <row r="19" spans="1:9" ht="14.25">
      <c r="A19" s="3473"/>
      <c r="B19" s="3474" t="s">
        <v>2507</v>
      </c>
      <c r="C19" s="3474"/>
      <c r="D19" s="2488"/>
      <c r="E19" s="2488"/>
      <c r="F19" s="2489"/>
      <c r="G19" s="2490"/>
      <c r="H19" s="2500"/>
      <c r="I19" s="2501">
        <f>ROUND(D19*E19*F19*G19/10000,0)</f>
        <v>0</v>
      </c>
    </row>
    <row r="20" spans="1:9">
      <c r="A20" s="3473"/>
      <c r="B20" s="3475" t="s">
        <v>2488</v>
      </c>
      <c r="C20" s="3475"/>
      <c r="D20" s="2492">
        <f>SUM(D17:D19)</f>
        <v>0</v>
      </c>
      <c r="E20" s="2492"/>
      <c r="F20" s="2493"/>
      <c r="G20" s="2490"/>
      <c r="H20" s="2497"/>
      <c r="I20" s="2498">
        <f>SUM(I17:I19)</f>
        <v>0</v>
      </c>
    </row>
    <row r="21" spans="1:9">
      <c r="A21" s="3473" t="s">
        <v>2508</v>
      </c>
      <c r="B21" s="3477"/>
      <c r="C21" s="3477"/>
      <c r="D21" s="3477"/>
      <c r="E21" s="3477"/>
      <c r="F21" s="3477"/>
      <c r="G21" s="3477"/>
      <c r="H21" s="2502">
        <v>0.1</v>
      </c>
      <c r="I21" s="2495">
        <f>ROUND(I10*H21,0)</f>
        <v>0</v>
      </c>
    </row>
    <row r="22" spans="1:9" ht="14.25">
      <c r="A22" s="3478" t="s">
        <v>2509</v>
      </c>
      <c r="B22" s="3479"/>
      <c r="C22" s="3480"/>
      <c r="D22" s="2503" t="s">
        <v>2510</v>
      </c>
      <c r="E22" s="2503" t="s">
        <v>2511</v>
      </c>
      <c r="F22" s="2504" t="s">
        <v>2512</v>
      </c>
      <c r="G22" s="2504" t="s">
        <v>2513</v>
      </c>
      <c r="H22" s="2496" t="s">
        <v>2514</v>
      </c>
      <c r="I22" s="2487" t="s">
        <v>2515</v>
      </c>
    </row>
    <row r="23" spans="1:9" ht="14.25" thickBot="1">
      <c r="A23" s="3481"/>
      <c r="B23" s="3482"/>
      <c r="C23" s="3483"/>
      <c r="D23" s="2505"/>
      <c r="E23" s="2505"/>
      <c r="F23" s="2505"/>
      <c r="G23" s="2506"/>
      <c r="H23" s="2507"/>
      <c r="I23" s="2508">
        <f>ROUND(E23*D23*F23*(1-G23)/10000,0)</f>
        <v>0</v>
      </c>
    </row>
    <row r="26" spans="1:9">
      <c r="A26" s="2509" t="s">
        <v>2516</v>
      </c>
      <c r="B26" s="2509"/>
      <c r="C26" s="2509"/>
      <c r="D26" s="2509"/>
      <c r="E26" s="3484">
        <f>C27-C30-C31-C32</f>
        <v>0</v>
      </c>
      <c r="F26" s="3484"/>
      <c r="G26" s="3484"/>
      <c r="H26" s="3020" t="s">
        <v>2844</v>
      </c>
    </row>
    <row r="27" spans="1:9">
      <c r="A27" s="2510">
        <v>1</v>
      </c>
      <c r="B27" s="2511" t="s">
        <v>2517</v>
      </c>
      <c r="C27" s="2511"/>
      <c r="D27" s="2511"/>
      <c r="E27" s="3485"/>
      <c r="F27" s="3485"/>
      <c r="G27" s="3485"/>
    </row>
    <row r="28" spans="1:9">
      <c r="A28" s="2512" t="s">
        <v>2518</v>
      </c>
      <c r="B28" s="2511" t="s">
        <v>2519</v>
      </c>
      <c r="C28" s="2511"/>
      <c r="D28" s="2511"/>
      <c r="E28" s="3485"/>
      <c r="F28" s="3485"/>
      <c r="G28" s="3485"/>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476"/>
      <c r="F32" s="3476"/>
      <c r="G32" s="3476"/>
    </row>
    <row r="33" spans="1:7" hidden="1">
      <c r="A33" s="3486" t="s">
        <v>2527</v>
      </c>
      <c r="B33" s="3487"/>
      <c r="C33" s="3487"/>
      <c r="D33" s="3488"/>
      <c r="E33" s="3484"/>
      <c r="F33" s="3484"/>
      <c r="G33" s="3484"/>
    </row>
    <row r="34" spans="1:7" hidden="1">
      <c r="A34" s="2514">
        <v>1</v>
      </c>
      <c r="B34" s="2511" t="s">
        <v>2528</v>
      </c>
      <c r="C34" s="2511"/>
      <c r="D34" s="2511"/>
      <c r="E34" s="3485"/>
      <c r="F34" s="3485"/>
      <c r="G34" s="3485"/>
    </row>
    <row r="35" spans="1:7" hidden="1">
      <c r="A35" s="2514">
        <v>2</v>
      </c>
      <c r="B35" s="2511" t="s">
        <v>2529</v>
      </c>
      <c r="C35" s="2511"/>
      <c r="D35" s="2511"/>
      <c r="E35" s="3485"/>
      <c r="F35" s="3485"/>
      <c r="G35" s="3485"/>
    </row>
    <row r="36" spans="1:7" hidden="1">
      <c r="A36" s="2514">
        <v>3</v>
      </c>
      <c r="B36" s="2511" t="s">
        <v>2530</v>
      </c>
      <c r="C36" s="2511"/>
      <c r="D36" s="2511"/>
      <c r="E36" s="3485"/>
      <c r="F36" s="3485"/>
      <c r="G36" s="3485"/>
    </row>
    <row r="37" spans="1:7" hidden="1">
      <c r="A37" s="2514">
        <v>4</v>
      </c>
      <c r="B37" s="2511" t="s">
        <v>2531</v>
      </c>
      <c r="C37" s="2511"/>
      <c r="D37" s="2511"/>
      <c r="E37" s="3485"/>
      <c r="F37" s="3485"/>
      <c r="G37" s="3485"/>
    </row>
    <row r="38" spans="1:7" hidden="1">
      <c r="A38" s="3486" t="s">
        <v>2532</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245520.35</v>
      </c>
      <c r="E10" s="749">
        <f>'数据-取费表'!B31</f>
        <v>200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2562</v>
      </c>
      <c r="D12" s="758">
        <f>'数据-汇总表'!E5</f>
        <v>182994.76</v>
      </c>
      <c r="E12" s="757">
        <f>'数据-取费表'!B27</f>
        <v>140</v>
      </c>
      <c r="F12" s="755"/>
      <c r="G12" s="759"/>
    </row>
    <row r="13" spans="1:25" s="2183" customFormat="1" ht="13.5" customHeight="1">
      <c r="A13" s="2455" t="s">
        <v>2448</v>
      </c>
      <c r="B13" s="756" t="s">
        <v>612</v>
      </c>
      <c r="C13" s="757">
        <f>ROUND(D13*E13/10000,0)</f>
        <v>875</v>
      </c>
      <c r="D13" s="758">
        <f>'数据-汇总表'!E6</f>
        <v>62525.59</v>
      </c>
      <c r="E13" s="757">
        <f>'数据-取费表'!B28</f>
        <v>140</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0.91400000000000003</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K42" sqref="K4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2" t="s">
        <v>719</v>
      </c>
      <c r="C1" s="2603" t="s">
        <v>720</v>
      </c>
      <c r="D1" s="2604" t="s">
        <v>2995</v>
      </c>
      <c r="E1" s="2605"/>
      <c r="F1" s="2786" t="s">
        <v>3039</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1">
        <f>ROUND(B3*D3/10000,0)</f>
        <v>142333</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7778</v>
      </c>
      <c r="C3" s="852" t="s">
        <v>722</v>
      </c>
      <c r="D3" s="851">
        <f>SUMIF('数据-汇总表'!$C19:$C33,D1,'数据-汇总表'!$E19:$E33)</f>
        <v>182994.76</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80" t="s">
        <v>522</v>
      </c>
      <c r="D4" s="3381"/>
      <c r="E4" s="3417" t="s">
        <v>523</v>
      </c>
      <c r="F4" s="3418"/>
      <c r="G4" s="3380" t="s">
        <v>524</v>
      </c>
      <c r="H4" s="3381"/>
      <c r="I4" s="3380" t="s">
        <v>525</v>
      </c>
      <c r="J4" s="3381"/>
      <c r="K4" s="853" t="s">
        <v>526</v>
      </c>
      <c r="L4" s="2133"/>
      <c r="M4" s="2134"/>
      <c r="N4" s="2134"/>
      <c r="O4" s="2134"/>
      <c r="P4" s="3382" t="s">
        <v>527</v>
      </c>
      <c r="Q4" s="3383"/>
      <c r="R4" s="3388" t="s">
        <v>523</v>
      </c>
      <c r="S4" s="3389"/>
      <c r="T4" s="3388" t="s">
        <v>524</v>
      </c>
      <c r="U4" s="3389"/>
      <c r="V4" s="3375" t="s">
        <v>525</v>
      </c>
      <c r="W4" s="3375"/>
      <c r="X4" s="1567"/>
      <c r="Y4" s="3388" t="s">
        <v>527</v>
      </c>
      <c r="Z4" s="3389"/>
      <c r="AA4" s="3377" t="s">
        <v>523</v>
      </c>
      <c r="AB4" s="3377" t="s">
        <v>524</v>
      </c>
      <c r="AC4" s="3377" t="s">
        <v>525</v>
      </c>
    </row>
    <row r="5" spans="1:29" ht="15">
      <c r="A5" s="515"/>
      <c r="B5" s="516"/>
      <c r="C5" s="3396" t="s">
        <v>3017</v>
      </c>
      <c r="D5" s="3397"/>
      <c r="E5" s="3494" t="s">
        <v>3027</v>
      </c>
      <c r="F5" s="3420"/>
      <c r="G5" s="3396" t="s">
        <v>3018</v>
      </c>
      <c r="H5" s="3397"/>
      <c r="I5" s="3396" t="s">
        <v>3019</v>
      </c>
      <c r="J5" s="3397"/>
      <c r="K5" s="854"/>
      <c r="L5" s="2133"/>
      <c r="M5" s="2134"/>
      <c r="N5" s="2134"/>
      <c r="O5" s="2134"/>
      <c r="P5" s="3384"/>
      <c r="Q5" s="3385"/>
      <c r="R5" s="3390"/>
      <c r="S5" s="3391"/>
      <c r="T5" s="3390"/>
      <c r="U5" s="3391"/>
      <c r="V5" s="3375"/>
      <c r="W5" s="3375"/>
      <c r="X5" s="1567"/>
      <c r="Y5" s="3390"/>
      <c r="Z5" s="3391"/>
      <c r="AA5" s="3378"/>
      <c r="AB5" s="3378"/>
      <c r="AC5" s="3378"/>
    </row>
    <row r="6" spans="1:29" ht="15.75" thickBot="1">
      <c r="A6" s="517"/>
      <c r="B6" s="518"/>
      <c r="C6" s="3492" t="s">
        <v>3021</v>
      </c>
      <c r="D6" s="3395"/>
      <c r="E6" s="3493" t="s">
        <v>3021</v>
      </c>
      <c r="F6" s="3416"/>
      <c r="G6" s="3492" t="s">
        <v>3020</v>
      </c>
      <c r="H6" s="3395"/>
      <c r="I6" s="3492" t="s">
        <v>3022</v>
      </c>
      <c r="J6" s="3395"/>
      <c r="K6" s="854" t="s">
        <v>528</v>
      </c>
      <c r="L6" s="2133"/>
      <c r="M6" s="2134"/>
      <c r="N6" s="2134"/>
      <c r="O6" s="2134"/>
      <c r="P6" s="3386"/>
      <c r="Q6" s="3387"/>
      <c r="R6" s="3390"/>
      <c r="S6" s="3391"/>
      <c r="T6" s="3392"/>
      <c r="U6" s="3393"/>
      <c r="V6" s="3375"/>
      <c r="W6" s="3375"/>
      <c r="X6" s="1567"/>
      <c r="Y6" s="3392"/>
      <c r="Z6" s="3393"/>
      <c r="AA6" s="3379"/>
      <c r="AB6" s="3379"/>
      <c r="AC6" s="3379"/>
    </row>
    <row r="7" spans="1:29" s="1219" customFormat="1" ht="15.75" thickBot="1">
      <c r="A7" s="2891"/>
      <c r="B7" s="2898" t="s">
        <v>529</v>
      </c>
      <c r="C7" s="519">
        <f>'数据-取费表'!B2</f>
        <v>43438</v>
      </c>
      <c r="D7" s="520">
        <v>100</v>
      </c>
      <c r="E7" s="521">
        <f>C7</f>
        <v>43438</v>
      </c>
      <c r="F7" s="522">
        <f>SUMIF(58:58,YEAR(E7)&amp;"-"&amp;MONTH(E7),59:59)</f>
        <v>100</v>
      </c>
      <c r="G7" s="523">
        <f>E7</f>
        <v>43438</v>
      </c>
      <c r="H7" s="520">
        <f>SUMIF(58:58,YEAR(G7)&amp;"-"&amp;MONTH(G7),59:59)</f>
        <v>100</v>
      </c>
      <c r="I7" s="523">
        <f>G7</f>
        <v>43438</v>
      </c>
      <c r="J7" s="520">
        <f>SUMIF(58:58,YEAR(I7)&amp;"-"&amp;MONTH(I7),59:59)</f>
        <v>100</v>
      </c>
      <c r="K7" s="855"/>
      <c r="L7" s="2135"/>
      <c r="M7" s="2136"/>
      <c r="N7" s="2136"/>
      <c r="O7" s="2136"/>
      <c r="P7" s="3407" t="s">
        <v>530</v>
      </c>
      <c r="Q7" s="3409"/>
      <c r="R7" s="1568" t="s">
        <v>13</v>
      </c>
      <c r="S7" s="1569">
        <f t="shared" ref="S7:S15" si="0">F7</f>
        <v>100</v>
      </c>
      <c r="T7" s="1568" t="s">
        <v>13</v>
      </c>
      <c r="U7" s="1569">
        <f t="shared" ref="U7:U15" si="1">H7</f>
        <v>100</v>
      </c>
      <c r="V7" s="1568" t="s">
        <v>13</v>
      </c>
      <c r="W7" s="1569">
        <f t="shared" ref="W7:W15" si="2">J7</f>
        <v>100</v>
      </c>
      <c r="X7" s="1570"/>
      <c r="Y7" s="3407" t="s">
        <v>530</v>
      </c>
      <c r="Z7" s="3408"/>
      <c r="AA7" s="1571">
        <f>D7/F7</f>
        <v>1</v>
      </c>
      <c r="AB7" s="1571">
        <f>D7/H7</f>
        <v>1</v>
      </c>
      <c r="AC7" s="1571">
        <f>D7/J7</f>
        <v>1</v>
      </c>
    </row>
    <row r="8" spans="1:29" s="1219" customFormat="1" ht="15.75" thickBot="1">
      <c r="A8" s="2892"/>
      <c r="B8" s="2899" t="s">
        <v>531</v>
      </c>
      <c r="C8" s="525" t="s">
        <v>576</v>
      </c>
      <c r="D8" s="520">
        <v>100</v>
      </c>
      <c r="E8" s="856" t="s">
        <v>3023</v>
      </c>
      <c r="F8" s="522">
        <f>SUMIF(61:61,E8,62:62)-SUMIF(61:61,C8,62:62)+100</f>
        <v>100</v>
      </c>
      <c r="G8" s="525" t="s">
        <v>3023</v>
      </c>
      <c r="H8" s="520">
        <f>SUMIF(61:61,G8,62:62)-SUMIF(61:61,C8,62:62)+100</f>
        <v>100</v>
      </c>
      <c r="I8" s="856" t="s">
        <v>3023</v>
      </c>
      <c r="J8" s="520">
        <f>SUMIF(61:61,I8,62:62)-SUMIF(61:61,C8,62:62)+100</f>
        <v>100</v>
      </c>
      <c r="K8" s="855"/>
      <c r="L8" s="2135"/>
      <c r="M8" s="2136"/>
      <c r="N8" s="2136"/>
      <c r="O8" s="2136"/>
      <c r="P8" s="3407" t="s">
        <v>533</v>
      </c>
      <c r="Q8" s="3408"/>
      <c r="R8" s="1568" t="s">
        <v>13</v>
      </c>
      <c r="S8" s="1569">
        <f t="shared" si="0"/>
        <v>100</v>
      </c>
      <c r="T8" s="1568" t="s">
        <v>13</v>
      </c>
      <c r="U8" s="1569">
        <f t="shared" si="1"/>
        <v>100</v>
      </c>
      <c r="V8" s="1568" t="s">
        <v>13</v>
      </c>
      <c r="W8" s="1569">
        <f t="shared" si="2"/>
        <v>100</v>
      </c>
      <c r="X8" s="1570"/>
      <c r="Y8" s="3407" t="s">
        <v>533</v>
      </c>
      <c r="Z8" s="3408"/>
      <c r="AA8" s="1571">
        <f t="shared" ref="AA8:AA46" si="3">D8/F8</f>
        <v>1</v>
      </c>
      <c r="AB8" s="1571">
        <f t="shared" ref="AB8:AB46" si="4">D8/H8</f>
        <v>1</v>
      </c>
      <c r="AC8" s="1571">
        <f t="shared" ref="AC8:AC46" si="5">D8/J8</f>
        <v>1</v>
      </c>
    </row>
    <row r="9" spans="1:29" s="1219" customFormat="1" ht="15">
      <c r="A9" s="2893"/>
      <c r="B9" s="2900" t="s">
        <v>2757</v>
      </c>
      <c r="C9" s="3177" t="s">
        <v>3024</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374" t="s">
        <v>535</v>
      </c>
      <c r="Q9" s="1150" t="str">
        <f t="shared" ref="Q9:Q15" si="6">B9</f>
        <v>用途</v>
      </c>
      <c r="R9" s="1568" t="s">
        <v>8</v>
      </c>
      <c r="S9" s="1569">
        <f t="shared" si="0"/>
        <v>100</v>
      </c>
      <c r="T9" s="1568" t="s">
        <v>8</v>
      </c>
      <c r="U9" s="1569">
        <f t="shared" si="1"/>
        <v>100</v>
      </c>
      <c r="V9" s="1568" t="s">
        <v>8</v>
      </c>
      <c r="W9" s="1569">
        <f t="shared" si="2"/>
        <v>100</v>
      </c>
      <c r="X9" s="1570"/>
      <c r="Y9" s="3320" t="s">
        <v>536</v>
      </c>
      <c r="Z9" s="1149" t="str">
        <f t="shared" ref="Z9:Z15" si="7">Q9</f>
        <v>用途</v>
      </c>
      <c r="AA9" s="1571">
        <f t="shared" si="3"/>
        <v>1</v>
      </c>
      <c r="AB9" s="1571">
        <f t="shared" si="4"/>
        <v>1</v>
      </c>
      <c r="AC9" s="1571">
        <f t="shared" si="5"/>
        <v>1</v>
      </c>
    </row>
    <row r="10" spans="1:29" s="1337" customFormat="1" ht="27">
      <c r="A10" s="2894"/>
      <c r="B10" s="2899" t="s">
        <v>2758</v>
      </c>
      <c r="C10" s="861" t="s">
        <v>3026</v>
      </c>
      <c r="D10" s="255">
        <v>100</v>
      </c>
      <c r="E10" s="862" t="s">
        <v>3025</v>
      </c>
      <c r="F10" s="863">
        <f>SUMIF(65:65,E10,66:66)-SUMIF(65:65,C10,66:66)+100</f>
        <v>100.5</v>
      </c>
      <c r="G10" s="861" t="s">
        <v>3025</v>
      </c>
      <c r="H10" s="255">
        <f>SUMIF(65:65,G10,66:66)-SUMIF(65:65,C10,66:66)+100</f>
        <v>100.5</v>
      </c>
      <c r="I10" s="861" t="s">
        <v>3025</v>
      </c>
      <c r="J10" s="255">
        <f>SUMIF(65:65,I10,66:66)-SUMIF(65:65,C10,66:66)+100</f>
        <v>100.5</v>
      </c>
      <c r="K10" s="864">
        <v>0.5</v>
      </c>
      <c r="L10" s="2138"/>
      <c r="M10" s="2178"/>
      <c r="N10" s="2178"/>
      <c r="O10" s="2139"/>
      <c r="P10" s="3374"/>
      <c r="Q10" s="1150" t="str">
        <f t="shared" si="6"/>
        <v>土地使用年限（年）</v>
      </c>
      <c r="R10" s="1568" t="s">
        <v>8</v>
      </c>
      <c r="S10" s="1569">
        <f t="shared" si="0"/>
        <v>100.5</v>
      </c>
      <c r="T10" s="1568" t="s">
        <v>8</v>
      </c>
      <c r="U10" s="1569">
        <f t="shared" si="1"/>
        <v>100.5</v>
      </c>
      <c r="V10" s="1568" t="s">
        <v>8</v>
      </c>
      <c r="W10" s="1569">
        <f t="shared" si="2"/>
        <v>100.5</v>
      </c>
      <c r="X10" s="1570"/>
      <c r="Y10" s="3320"/>
      <c r="Z10" s="1149" t="str">
        <f t="shared" si="7"/>
        <v>土地使用年限（年）</v>
      </c>
      <c r="AA10" s="1571">
        <f t="shared" si="3"/>
        <v>0.99502487562189057</v>
      </c>
      <c r="AB10" s="1571">
        <f t="shared" si="4"/>
        <v>0.99502487562189057</v>
      </c>
      <c r="AC10" s="1571">
        <f t="shared" si="5"/>
        <v>0.99502487562189057</v>
      </c>
    </row>
    <row r="11" spans="1:29" ht="15">
      <c r="A11" s="2895"/>
      <c r="B11" s="2899" t="s">
        <v>2759</v>
      </c>
      <c r="C11" s="533">
        <v>4</v>
      </c>
      <c r="D11" s="255">
        <v>100</v>
      </c>
      <c r="E11" s="534">
        <v>4</v>
      </c>
      <c r="F11" s="863">
        <f>LOOKUP(E11,68:68,69:69)-LOOKUP(C11,68:68,69:69)+100</f>
        <v>100</v>
      </c>
      <c r="G11" s="533">
        <v>3.5</v>
      </c>
      <c r="H11" s="255">
        <f>LOOKUP(G11,68:68,69:69)-LOOKUP(C11,68:68,69:69)+100</f>
        <v>100.5</v>
      </c>
      <c r="I11" s="533">
        <v>4</v>
      </c>
      <c r="J11" s="255">
        <f>LOOKUP(I11,68:68,69:69)-LOOKUP(C11,68:68,69:69)+100</f>
        <v>100</v>
      </c>
      <c r="K11" s="864">
        <v>0.5</v>
      </c>
      <c r="L11" s="2140"/>
      <c r="M11" s="2134"/>
      <c r="N11" s="2134"/>
      <c r="O11" s="2141"/>
      <c r="P11" s="3374"/>
      <c r="Q11" s="1150" t="str">
        <f t="shared" si="6"/>
        <v>容积率</v>
      </c>
      <c r="R11" s="1568" t="s">
        <v>11</v>
      </c>
      <c r="S11" s="1569">
        <f t="shared" si="0"/>
        <v>100</v>
      </c>
      <c r="T11" s="1568" t="s">
        <v>11</v>
      </c>
      <c r="U11" s="1569">
        <f t="shared" si="1"/>
        <v>100.5</v>
      </c>
      <c r="V11" s="1568" t="s">
        <v>11</v>
      </c>
      <c r="W11" s="1569">
        <f t="shared" si="2"/>
        <v>100</v>
      </c>
      <c r="X11" s="1570"/>
      <c r="Y11" s="3320"/>
      <c r="Z11" s="1149" t="str">
        <f t="shared" si="7"/>
        <v>容积率</v>
      </c>
      <c r="AA11" s="1571">
        <f t="shared" si="3"/>
        <v>1</v>
      </c>
      <c r="AB11" s="1571">
        <f t="shared" si="4"/>
        <v>0.99502487562189057</v>
      </c>
      <c r="AC11" s="1571">
        <f t="shared" si="5"/>
        <v>1</v>
      </c>
    </row>
    <row r="12" spans="1:29" s="1219"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4"/>
      <c r="Q12" s="1150">
        <f t="shared" si="6"/>
        <v>111</v>
      </c>
      <c r="R12" s="1568" t="s">
        <v>11</v>
      </c>
      <c r="S12" s="1569">
        <f t="shared" si="0"/>
        <v>100</v>
      </c>
      <c r="T12" s="1568" t="s">
        <v>11</v>
      </c>
      <c r="U12" s="1569">
        <f t="shared" si="1"/>
        <v>100</v>
      </c>
      <c r="V12" s="1568" t="s">
        <v>11</v>
      </c>
      <c r="W12" s="1569">
        <f t="shared" si="2"/>
        <v>100</v>
      </c>
      <c r="X12" s="1570"/>
      <c r="Y12" s="3320"/>
      <c r="Z12" s="1149">
        <f t="shared" si="7"/>
        <v>111</v>
      </c>
      <c r="AA12" s="1571">
        <f>D12/F12</f>
        <v>1</v>
      </c>
      <c r="AB12" s="1571">
        <f>D12/H12</f>
        <v>1</v>
      </c>
      <c r="AC12" s="1571">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4"/>
      <c r="Q13" s="1150">
        <f t="shared" si="6"/>
        <v>111</v>
      </c>
      <c r="R13" s="1568" t="s">
        <v>11</v>
      </c>
      <c r="S13" s="1569">
        <f t="shared" si="0"/>
        <v>100</v>
      </c>
      <c r="T13" s="1568" t="s">
        <v>11</v>
      </c>
      <c r="U13" s="1569">
        <f t="shared" si="1"/>
        <v>100</v>
      </c>
      <c r="V13" s="1568" t="s">
        <v>11</v>
      </c>
      <c r="W13" s="1569">
        <f t="shared" si="2"/>
        <v>100</v>
      </c>
      <c r="X13" s="1570"/>
      <c r="Y13" s="3320"/>
      <c r="Z13" s="1149">
        <f t="shared" si="7"/>
        <v>111</v>
      </c>
      <c r="AA13" s="1571">
        <f t="shared" si="3"/>
        <v>1</v>
      </c>
      <c r="AB13" s="1571">
        <f t="shared" si="4"/>
        <v>1</v>
      </c>
      <c r="AC13" s="1571">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4"/>
      <c r="Q14" s="1150">
        <f t="shared" si="6"/>
        <v>111</v>
      </c>
      <c r="R14" s="1568" t="s">
        <v>11</v>
      </c>
      <c r="S14" s="1569">
        <f t="shared" si="0"/>
        <v>100</v>
      </c>
      <c r="T14" s="1568" t="s">
        <v>11</v>
      </c>
      <c r="U14" s="1569">
        <f t="shared" si="1"/>
        <v>100</v>
      </c>
      <c r="V14" s="1568" t="s">
        <v>11</v>
      </c>
      <c r="W14" s="1569">
        <f t="shared" si="2"/>
        <v>100</v>
      </c>
      <c r="X14" s="1570"/>
      <c r="Y14" s="3320"/>
      <c r="Z14" s="1149">
        <f t="shared" si="7"/>
        <v>111</v>
      </c>
      <c r="AA14" s="1571">
        <f t="shared" si="3"/>
        <v>1</v>
      </c>
      <c r="AB14" s="1571">
        <f t="shared" si="4"/>
        <v>1</v>
      </c>
      <c r="AC14" s="1571">
        <f t="shared" si="5"/>
        <v>1</v>
      </c>
    </row>
    <row r="15" spans="1:29" ht="114">
      <c r="A15" s="2889" t="s">
        <v>2755</v>
      </c>
      <c r="B15" s="166" t="s">
        <v>295</v>
      </c>
      <c r="C15" s="867" t="str">
        <f>估价对象房地状况!C3</f>
        <v>估价对象周边居住用地比例较多、周边有腾瑞四季园、恒大等小区，社区发展完善程度较完善，综合评价居住社区成熟度较好</v>
      </c>
      <c r="D15" s="549">
        <v>100</v>
      </c>
      <c r="E15" s="3198" t="s">
        <v>3242</v>
      </c>
      <c r="F15" s="551">
        <f>SUMIF(76:76,E16,77:77)-SUMIF(76:76,C16,77:77)+100</f>
        <v>100</v>
      </c>
      <c r="G15" s="3198" t="s">
        <v>3242</v>
      </c>
      <c r="H15" s="549">
        <f>SUMIF(76:76,G16,77:77)-SUMIF(76:76,C16,77:77)+100</f>
        <v>100</v>
      </c>
      <c r="I15" s="3198" t="s">
        <v>3242</v>
      </c>
      <c r="J15" s="549">
        <f>SUMIF(76:76,I16,77:77)-SUMIF(76:76,C16,77:77)+100</f>
        <v>100</v>
      </c>
      <c r="K15" s="868">
        <v>1</v>
      </c>
      <c r="L15" s="2142"/>
      <c r="M15" s="2134"/>
      <c r="N15" s="2134"/>
      <c r="O15" s="2141"/>
      <c r="P15" s="3410" t="s">
        <v>540</v>
      </c>
      <c r="Q15" s="1572" t="str">
        <f t="shared" si="6"/>
        <v>居住社区成熟度</v>
      </c>
      <c r="R15" s="1573" t="s">
        <v>11</v>
      </c>
      <c r="S15" s="1574">
        <f t="shared" si="0"/>
        <v>100</v>
      </c>
      <c r="T15" s="1573" t="s">
        <v>11</v>
      </c>
      <c r="U15" s="1574">
        <f t="shared" si="1"/>
        <v>100</v>
      </c>
      <c r="V15" s="1573" t="s">
        <v>11</v>
      </c>
      <c r="W15" s="1574">
        <f t="shared" si="2"/>
        <v>100</v>
      </c>
      <c r="X15" s="1567"/>
      <c r="Y15" s="3410" t="s">
        <v>540</v>
      </c>
      <c r="Z15" s="1575" t="str">
        <f t="shared" si="7"/>
        <v>居住社区成熟度</v>
      </c>
      <c r="AA15" s="1576">
        <f t="shared" si="3"/>
        <v>1</v>
      </c>
      <c r="AB15" s="1576">
        <f t="shared" si="4"/>
        <v>1</v>
      </c>
      <c r="AC15" s="1576">
        <f t="shared" si="5"/>
        <v>1</v>
      </c>
    </row>
    <row r="16" spans="1:29" ht="15">
      <c r="A16" s="532"/>
      <c r="B16" s="869"/>
      <c r="C16" s="576" t="s">
        <v>3002</v>
      </c>
      <c r="D16" s="555"/>
      <c r="E16" s="556" t="s">
        <v>3002</v>
      </c>
      <c r="F16" s="557"/>
      <c r="G16" s="558" t="s">
        <v>3002</v>
      </c>
      <c r="H16" s="559"/>
      <c r="I16" s="556" t="s">
        <v>3002</v>
      </c>
      <c r="J16" s="555"/>
      <c r="K16" s="870"/>
      <c r="L16" s="2142"/>
      <c r="M16" s="2134"/>
      <c r="N16" s="2134"/>
      <c r="O16" s="2141"/>
      <c r="P16" s="3411"/>
      <c r="Q16" s="1572"/>
      <c r="R16" s="1573"/>
      <c r="S16" s="1574"/>
      <c r="T16" s="1573"/>
      <c r="U16" s="1574"/>
      <c r="V16" s="1573"/>
      <c r="W16" s="1574"/>
      <c r="X16" s="1567"/>
      <c r="Y16" s="3411"/>
      <c r="Z16" s="1575"/>
      <c r="AA16" s="1576">
        <v>1</v>
      </c>
      <c r="AB16" s="1576">
        <v>1</v>
      </c>
      <c r="AC16" s="1576">
        <v>1</v>
      </c>
    </row>
    <row r="17" spans="1:29" ht="114">
      <c r="A17" s="532"/>
      <c r="B17" s="871" t="s">
        <v>296</v>
      </c>
      <c r="C17" s="872" t="str">
        <f>估价对象房地状况!C6</f>
        <v>估价对象有主干道东山路和次干道金马大道、有12、13、108等公交车经停、停车便捷程度较好，综合评价交通便捷度较好</v>
      </c>
      <c r="D17" s="559">
        <v>100</v>
      </c>
      <c r="E17" s="3199" t="s">
        <v>3240</v>
      </c>
      <c r="F17" s="563">
        <f>SUMIF(78:78,E18,79:79)-SUMIF(78:78,C18,79:79)+100</f>
        <v>100</v>
      </c>
      <c r="G17" s="3199" t="s">
        <v>3240</v>
      </c>
      <c r="H17" s="565">
        <f>SUMIF(78:78,G18,79:79)-SUMIF(78:78,C18,79:79)+100</f>
        <v>100</v>
      </c>
      <c r="I17" s="3199" t="s">
        <v>3240</v>
      </c>
      <c r="J17" s="565">
        <f>SUMIF(78:78,I18,79:79)-SUMIF(78:78,C18,79:79)+100</f>
        <v>100</v>
      </c>
      <c r="K17" s="868">
        <v>1</v>
      </c>
      <c r="L17" s="2142"/>
      <c r="M17" s="2134"/>
      <c r="N17" s="2134"/>
      <c r="O17" s="2141"/>
      <c r="P17" s="3411"/>
      <c r="Q17" s="1572" t="str">
        <f>B17</f>
        <v>交通便捷度</v>
      </c>
      <c r="R17" s="1573" t="s">
        <v>11</v>
      </c>
      <c r="S17" s="1574">
        <f>F17</f>
        <v>100</v>
      </c>
      <c r="T17" s="1573" t="s">
        <v>11</v>
      </c>
      <c r="U17" s="1574">
        <f>H17</f>
        <v>100</v>
      </c>
      <c r="V17" s="1573" t="s">
        <v>11</v>
      </c>
      <c r="W17" s="1574">
        <f>J17</f>
        <v>100</v>
      </c>
      <c r="X17" s="1567"/>
      <c r="Y17" s="3411"/>
      <c r="Z17" s="1575" t="str">
        <f>Q17</f>
        <v>交通便捷度</v>
      </c>
      <c r="AA17" s="1576">
        <f t="shared" si="3"/>
        <v>1</v>
      </c>
      <c r="AB17" s="1576">
        <f t="shared" si="4"/>
        <v>1</v>
      </c>
      <c r="AC17" s="1576">
        <f t="shared" si="5"/>
        <v>1</v>
      </c>
    </row>
    <row r="18" spans="1:29" ht="15">
      <c r="A18" s="532"/>
      <c r="B18" s="595"/>
      <c r="C18" s="873" t="s">
        <v>3002</v>
      </c>
      <c r="D18" s="559"/>
      <c r="E18" s="568" t="s">
        <v>3002</v>
      </c>
      <c r="F18" s="563"/>
      <c r="G18" s="569" t="s">
        <v>3002</v>
      </c>
      <c r="H18" s="555"/>
      <c r="I18" s="568" t="s">
        <v>3002</v>
      </c>
      <c r="J18" s="555"/>
      <c r="K18" s="870"/>
      <c r="L18" s="2142"/>
      <c r="M18" s="2134"/>
      <c r="N18" s="2134"/>
      <c r="O18" s="2141"/>
      <c r="P18" s="3411"/>
      <c r="Q18" s="1572"/>
      <c r="R18" s="1573"/>
      <c r="S18" s="1574"/>
      <c r="T18" s="1573"/>
      <c r="U18" s="1574"/>
      <c r="V18" s="1573"/>
      <c r="W18" s="1574"/>
      <c r="X18" s="1567"/>
      <c r="Y18" s="3411"/>
      <c r="Z18" s="1575"/>
      <c r="AA18" s="1576">
        <v>1</v>
      </c>
      <c r="AB18" s="1576">
        <v>1</v>
      </c>
      <c r="AC18" s="1576">
        <v>1</v>
      </c>
    </row>
    <row r="19" spans="1:29" ht="85.5">
      <c r="A19" s="532"/>
      <c r="B19" s="2579" t="s">
        <v>2547</v>
      </c>
      <c r="C19" s="872" t="str">
        <f>估价对象房地状况!C7</f>
        <v>估价对象所在区域公共配套设施齐备较齐全（有金山中学、中国银行、韩溪眼科医院）</v>
      </c>
      <c r="D19" s="565">
        <v>100</v>
      </c>
      <c r="E19" s="570" t="s">
        <v>3252</v>
      </c>
      <c r="F19" s="571">
        <f>SUMIF(80:80,E20,81:81)-SUMIF(80:80,C20,81:81)+100</f>
        <v>100</v>
      </c>
      <c r="G19" s="572" t="s">
        <v>3252</v>
      </c>
      <c r="H19" s="559">
        <f>SUMIF(80:80,G20,81:81)-SUMIF(80:80,C20,81:81)+100</f>
        <v>100</v>
      </c>
      <c r="I19" s="570" t="s">
        <v>3252</v>
      </c>
      <c r="J19" s="559">
        <f>SUMIF(80:80,I20,81:81)-SUMIF(80:80,C20,81:81)+100</f>
        <v>100</v>
      </c>
      <c r="K19" s="868">
        <v>1</v>
      </c>
      <c r="L19" s="2142"/>
      <c r="M19" s="2134"/>
      <c r="N19" s="2134"/>
      <c r="O19" s="2141"/>
      <c r="P19" s="3411"/>
      <c r="Q19" s="1572" t="str">
        <f>B19</f>
        <v>公共配套设施</v>
      </c>
      <c r="R19" s="1573" t="s">
        <v>11</v>
      </c>
      <c r="S19" s="1574">
        <f>F19</f>
        <v>100</v>
      </c>
      <c r="T19" s="1573" t="s">
        <v>11</v>
      </c>
      <c r="U19" s="1574">
        <f>H19</f>
        <v>100</v>
      </c>
      <c r="V19" s="1573" t="s">
        <v>11</v>
      </c>
      <c r="W19" s="1574">
        <f>J19</f>
        <v>100</v>
      </c>
      <c r="X19" s="1567"/>
      <c r="Y19" s="3411"/>
      <c r="Z19" s="1575" t="str">
        <f>Q19</f>
        <v>公共配套设施</v>
      </c>
      <c r="AA19" s="1576">
        <f t="shared" si="3"/>
        <v>1</v>
      </c>
      <c r="AB19" s="1576">
        <f t="shared" si="4"/>
        <v>1</v>
      </c>
      <c r="AC19" s="1576">
        <f t="shared" si="5"/>
        <v>1</v>
      </c>
    </row>
    <row r="20" spans="1:29" ht="15">
      <c r="A20" s="532"/>
      <c r="B20" s="595"/>
      <c r="C20" s="576" t="s">
        <v>3002</v>
      </c>
      <c r="D20" s="555"/>
      <c r="E20" s="556" t="s">
        <v>3002</v>
      </c>
      <c r="F20" s="557"/>
      <c r="G20" s="558" t="s">
        <v>3002</v>
      </c>
      <c r="H20" s="555"/>
      <c r="I20" s="556" t="s">
        <v>3002</v>
      </c>
      <c r="J20" s="555"/>
      <c r="K20" s="870"/>
      <c r="L20" s="2142"/>
      <c r="M20" s="2134"/>
      <c r="N20" s="2134"/>
      <c r="O20" s="2141"/>
      <c r="P20" s="3411"/>
      <c r="Q20" s="1572"/>
      <c r="R20" s="1573"/>
      <c r="S20" s="1574"/>
      <c r="T20" s="1573"/>
      <c r="U20" s="1574"/>
      <c r="V20" s="1573"/>
      <c r="W20" s="1574"/>
      <c r="X20" s="1567"/>
      <c r="Y20" s="3411"/>
      <c r="Z20" s="1575"/>
      <c r="AA20" s="1576">
        <v>1</v>
      </c>
      <c r="AB20" s="1576">
        <v>1</v>
      </c>
      <c r="AC20" s="1576">
        <v>1</v>
      </c>
    </row>
    <row r="21" spans="1:29" ht="42.75">
      <c r="A21" s="532"/>
      <c r="B21" s="2572" t="s">
        <v>2559</v>
      </c>
      <c r="C21" s="872" t="str">
        <f>估价对象房地状况!C8</f>
        <v>估价对象所在区域基础设施水平较高</v>
      </c>
      <c r="D21" s="565">
        <v>100</v>
      </c>
      <c r="E21" s="572" t="s">
        <v>3250</v>
      </c>
      <c r="F21" s="571">
        <f>SUMIF(82:82,E22,83:83)-SUMIF(82:82,C22,83:83)+100</f>
        <v>100</v>
      </c>
      <c r="G21" s="572" t="s">
        <v>3250</v>
      </c>
      <c r="H21" s="565">
        <f>SUMIF(82:82,G22,83:83)-SUMIF(82:82,C22,83:83)+100</f>
        <v>100</v>
      </c>
      <c r="I21" s="570" t="s">
        <v>3250</v>
      </c>
      <c r="J21" s="565">
        <f>SUMIF(82:82,I22,83:83)-SUMIF(82:82,C22,83:83)+100</f>
        <v>100</v>
      </c>
      <c r="K21" s="868">
        <v>1</v>
      </c>
      <c r="L21" s="2142"/>
      <c r="M21" s="2134"/>
      <c r="N21" s="2134"/>
      <c r="O21" s="2141"/>
      <c r="P21" s="3411"/>
      <c r="Q21" s="2558" t="str">
        <f>B21</f>
        <v>基础设施水平</v>
      </c>
      <c r="R21" s="1573" t="s">
        <v>11</v>
      </c>
      <c r="S21" s="1574">
        <f>F21</f>
        <v>100</v>
      </c>
      <c r="T21" s="1573" t="s">
        <v>11</v>
      </c>
      <c r="U21" s="1574">
        <f>H21</f>
        <v>100</v>
      </c>
      <c r="V21" s="1573" t="s">
        <v>11</v>
      </c>
      <c r="W21" s="1574">
        <f>J21</f>
        <v>100</v>
      </c>
      <c r="X21" s="2560"/>
      <c r="Y21" s="3411"/>
      <c r="Z21" s="2559" t="str">
        <f>Q21</f>
        <v>基础设施水平</v>
      </c>
      <c r="AA21" s="1576">
        <f t="shared" ref="AA21" si="8">D21/F21</f>
        <v>1</v>
      </c>
      <c r="AB21" s="1576">
        <f t="shared" ref="AB21" si="9">D21/H21</f>
        <v>1</v>
      </c>
      <c r="AC21" s="1576">
        <f t="shared" ref="AC21" si="10">D21/J21</f>
        <v>1</v>
      </c>
    </row>
    <row r="22" spans="1:29" ht="15">
      <c r="A22" s="532"/>
      <c r="B22" s="921"/>
      <c r="C22" s="873" t="s">
        <v>3001</v>
      </c>
      <c r="D22" s="555"/>
      <c r="E22" s="576" t="s">
        <v>3001</v>
      </c>
      <c r="F22" s="557"/>
      <c r="G22" s="576" t="s">
        <v>3001</v>
      </c>
      <c r="H22" s="555"/>
      <c r="I22" s="576" t="s">
        <v>3001</v>
      </c>
      <c r="J22" s="555"/>
      <c r="K22" s="2578"/>
      <c r="L22" s="2142"/>
      <c r="M22" s="2134"/>
      <c r="N22" s="2134"/>
      <c r="O22" s="2141"/>
      <c r="P22" s="3411"/>
      <c r="Q22" s="2558"/>
      <c r="R22" s="1573"/>
      <c r="S22" s="1574"/>
      <c r="T22" s="1573"/>
      <c r="U22" s="1574"/>
      <c r="V22" s="1573"/>
      <c r="W22" s="1574"/>
      <c r="X22" s="2560"/>
      <c r="Y22" s="3411"/>
      <c r="Z22" s="2559"/>
      <c r="AA22" s="1576">
        <v>1</v>
      </c>
      <c r="AB22" s="1576">
        <v>1</v>
      </c>
      <c r="AC22" s="1576">
        <v>1</v>
      </c>
    </row>
    <row r="23" spans="1:29" ht="85.5">
      <c r="A23" s="532"/>
      <c r="B23" s="871" t="s">
        <v>297</v>
      </c>
      <c r="C23" s="872" t="str">
        <f>估价对象房地状况!C9</f>
        <v>区域自然环境：；人文环境（潮州市行政学院、慧如公园）；综合评价环境状况较好</v>
      </c>
      <c r="D23" s="559">
        <v>100</v>
      </c>
      <c r="E23" s="562" t="s">
        <v>3254</v>
      </c>
      <c r="F23" s="563">
        <f>SUMIF(84:84,E24,85:85)-SUMIF(84:84,C24,85:85)+100</f>
        <v>100</v>
      </c>
      <c r="G23" s="564" t="s">
        <v>3254</v>
      </c>
      <c r="H23" s="559">
        <f>SUMIF(84:84,G24,85:85)-SUMIF(84:84,C24,85:85)+100</f>
        <v>100</v>
      </c>
      <c r="I23" s="562" t="s">
        <v>3254</v>
      </c>
      <c r="J23" s="559">
        <f>SUMIF(84:84,I24,85:85)-SUMIF(84:84,C24,85:85)+100</f>
        <v>100</v>
      </c>
      <c r="K23" s="868">
        <v>1</v>
      </c>
      <c r="L23" s="2142"/>
      <c r="M23" s="2134"/>
      <c r="N23" s="2134"/>
      <c r="O23" s="2141"/>
      <c r="P23" s="3411"/>
      <c r="Q23" s="1572" t="str">
        <f>B23</f>
        <v>自然及人文环境</v>
      </c>
      <c r="R23" s="1573" t="s">
        <v>11</v>
      </c>
      <c r="S23" s="1574">
        <f>F23</f>
        <v>100</v>
      </c>
      <c r="T23" s="1573" t="s">
        <v>11</v>
      </c>
      <c r="U23" s="1574">
        <f>H23</f>
        <v>100</v>
      </c>
      <c r="V23" s="1573" t="s">
        <v>11</v>
      </c>
      <c r="W23" s="1574">
        <f>J23</f>
        <v>100</v>
      </c>
      <c r="X23" s="1567"/>
      <c r="Y23" s="3411"/>
      <c r="Z23" s="1575" t="str">
        <f>Q23</f>
        <v>自然及人文环境</v>
      </c>
      <c r="AA23" s="1576">
        <f t="shared" si="3"/>
        <v>1</v>
      </c>
      <c r="AB23" s="1576">
        <f t="shared" si="4"/>
        <v>1</v>
      </c>
      <c r="AC23" s="1576">
        <f t="shared" si="5"/>
        <v>1</v>
      </c>
    </row>
    <row r="24" spans="1:29" ht="15">
      <c r="A24" s="532"/>
      <c r="B24" s="595"/>
      <c r="C24" s="576" t="s">
        <v>3002</v>
      </c>
      <c r="D24" s="555"/>
      <c r="E24" s="556" t="s">
        <v>3002</v>
      </c>
      <c r="F24" s="557"/>
      <c r="G24" s="558" t="s">
        <v>3002</v>
      </c>
      <c r="H24" s="555"/>
      <c r="I24" s="556" t="s">
        <v>3002</v>
      </c>
      <c r="J24" s="555"/>
      <c r="K24" s="870"/>
      <c r="L24" s="2142"/>
      <c r="M24" s="2134"/>
      <c r="N24" s="2134"/>
      <c r="O24" s="2141"/>
      <c r="P24" s="3411"/>
      <c r="Q24" s="1572"/>
      <c r="R24" s="1573"/>
      <c r="S24" s="1574"/>
      <c r="T24" s="1573"/>
      <c r="U24" s="1574"/>
      <c r="V24" s="1573"/>
      <c r="W24" s="1574"/>
      <c r="X24" s="1567"/>
      <c r="Y24" s="3411"/>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1"/>
      <c r="Q25" s="1572" t="str">
        <f t="shared" ref="Q25:Q46" si="11">B25</f>
        <v>楼层-1</v>
      </c>
      <c r="R25" s="1573" t="s">
        <v>11</v>
      </c>
      <c r="S25" s="1574">
        <f>F25</f>
        <v>100</v>
      </c>
      <c r="T25" s="1573" t="s">
        <v>11</v>
      </c>
      <c r="U25" s="1574">
        <f>H25</f>
        <v>100</v>
      </c>
      <c r="V25" s="1573" t="s">
        <v>11</v>
      </c>
      <c r="W25" s="1574">
        <f>J25</f>
        <v>100</v>
      </c>
      <c r="X25" s="1567"/>
      <c r="Y25" s="3411"/>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1"/>
      <c r="Q26" s="1572" t="str">
        <f t="shared" si="11"/>
        <v>朝向</v>
      </c>
      <c r="R26" s="1573" t="s">
        <v>11</v>
      </c>
      <c r="S26" s="1574">
        <f>F26</f>
        <v>100</v>
      </c>
      <c r="T26" s="1573" t="s">
        <v>11</v>
      </c>
      <c r="U26" s="1574">
        <f>H26</f>
        <v>100</v>
      </c>
      <c r="V26" s="1573" t="s">
        <v>11</v>
      </c>
      <c r="W26" s="1574">
        <f>J26</f>
        <v>100</v>
      </c>
      <c r="X26" s="1567"/>
      <c r="Y26" s="3411"/>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1"/>
      <c r="Q27" s="1150" t="str">
        <f t="shared" si="11"/>
        <v>道路级别</v>
      </c>
      <c r="R27" s="1568" t="s">
        <v>11</v>
      </c>
      <c r="S27" s="1569">
        <f>F27</f>
        <v>100</v>
      </c>
      <c r="T27" s="1568" t="s">
        <v>11</v>
      </c>
      <c r="U27" s="1569">
        <f>H27</f>
        <v>100</v>
      </c>
      <c r="V27" s="1568" t="s">
        <v>11</v>
      </c>
      <c r="W27" s="1569">
        <f>J27</f>
        <v>100</v>
      </c>
      <c r="X27" s="1570"/>
      <c r="Y27" s="3411"/>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1"/>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1"/>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1"/>
      <c r="Q29" s="1572">
        <f t="shared" si="11"/>
        <v>111</v>
      </c>
      <c r="R29" s="1573" t="s">
        <v>11</v>
      </c>
      <c r="S29" s="1574">
        <f t="shared" si="12"/>
        <v>100</v>
      </c>
      <c r="T29" s="1573" t="s">
        <v>11</v>
      </c>
      <c r="U29" s="1574">
        <f t="shared" si="13"/>
        <v>100</v>
      </c>
      <c r="V29" s="1573" t="s">
        <v>11</v>
      </c>
      <c r="W29" s="1574">
        <f t="shared" si="14"/>
        <v>100</v>
      </c>
      <c r="X29" s="1567"/>
      <c r="Y29" s="341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1"/>
      <c r="Q30" s="1572">
        <f t="shared" si="11"/>
        <v>111</v>
      </c>
      <c r="R30" s="1573" t="s">
        <v>11</v>
      </c>
      <c r="S30" s="1574">
        <f t="shared" si="12"/>
        <v>100</v>
      </c>
      <c r="T30" s="1573" t="s">
        <v>11</v>
      </c>
      <c r="U30" s="1574">
        <f t="shared" si="13"/>
        <v>100</v>
      </c>
      <c r="V30" s="1573" t="s">
        <v>11</v>
      </c>
      <c r="W30" s="1574">
        <f t="shared" si="14"/>
        <v>100</v>
      </c>
      <c r="X30" s="1567"/>
      <c r="Y30" s="3411"/>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1"/>
      <c r="Q31" s="1572">
        <f t="shared" si="11"/>
        <v>111</v>
      </c>
      <c r="R31" s="1573" t="s">
        <v>11</v>
      </c>
      <c r="S31" s="1574">
        <f t="shared" si="12"/>
        <v>100</v>
      </c>
      <c r="T31" s="1573" t="s">
        <v>11</v>
      </c>
      <c r="U31" s="1574">
        <f t="shared" si="13"/>
        <v>100</v>
      </c>
      <c r="V31" s="1573" t="s">
        <v>11</v>
      </c>
      <c r="W31" s="1574">
        <f t="shared" si="14"/>
        <v>100</v>
      </c>
      <c r="X31" s="1567"/>
      <c r="Y31" s="3411"/>
      <c r="Z31" s="1575">
        <f t="shared" si="15"/>
        <v>111</v>
      </c>
      <c r="AA31" s="1576">
        <f t="shared" si="3"/>
        <v>1</v>
      </c>
      <c r="AB31" s="1576">
        <f t="shared" si="4"/>
        <v>1</v>
      </c>
      <c r="AC31" s="1576">
        <f t="shared" si="5"/>
        <v>1</v>
      </c>
    </row>
    <row r="32" spans="1:29" ht="15">
      <c r="A32" s="2886" t="s">
        <v>2756</v>
      </c>
      <c r="B32" s="172" t="s">
        <v>725</v>
      </c>
      <c r="C32" s="878" t="s">
        <v>3028</v>
      </c>
      <c r="D32" s="597">
        <v>100</v>
      </c>
      <c r="E32" s="878" t="s">
        <v>3028</v>
      </c>
      <c r="F32" s="575">
        <f>SUMIF(100:100,E32,101:101)-SUMIF(100:100,C32,101:101)+100</f>
        <v>100</v>
      </c>
      <c r="G32" s="878" t="s">
        <v>3028</v>
      </c>
      <c r="H32" s="597">
        <f>SUMIF(100:100,G32,101:101)-SUMIF(100:100,C32,101:101)+100</f>
        <v>100</v>
      </c>
      <c r="I32" s="878" t="s">
        <v>3028</v>
      </c>
      <c r="J32" s="540">
        <f>SUMIF(100:100,I32,101:101)-SUMIF(100:100,C32,101:101)+100</f>
        <v>100</v>
      </c>
      <c r="K32" s="864">
        <v>1</v>
      </c>
      <c r="L32" s="2142"/>
      <c r="M32" s="2134"/>
      <c r="N32" s="2134"/>
      <c r="O32" s="2141"/>
      <c r="P32" s="3412" t="s">
        <v>550</v>
      </c>
      <c r="Q32" s="1572" t="str">
        <f t="shared" si="11"/>
        <v>建筑类型</v>
      </c>
      <c r="R32" s="1573" t="s">
        <v>11</v>
      </c>
      <c r="S32" s="1574">
        <f t="shared" si="12"/>
        <v>100</v>
      </c>
      <c r="T32" s="1573" t="s">
        <v>11</v>
      </c>
      <c r="U32" s="1574">
        <f t="shared" si="13"/>
        <v>100</v>
      </c>
      <c r="V32" s="1573" t="s">
        <v>11</v>
      </c>
      <c r="W32" s="1574">
        <f t="shared" si="14"/>
        <v>100</v>
      </c>
      <c r="X32" s="1567"/>
      <c r="Y32" s="3413" t="s">
        <v>550</v>
      </c>
      <c r="Z32" s="1575" t="str">
        <f t="shared" si="15"/>
        <v>建筑类型</v>
      </c>
      <c r="AA32" s="1576">
        <f t="shared" si="3"/>
        <v>1</v>
      </c>
      <c r="AB32" s="1576">
        <f t="shared" si="4"/>
        <v>1</v>
      </c>
      <c r="AC32" s="1576">
        <f t="shared" si="5"/>
        <v>1</v>
      </c>
    </row>
    <row r="33" spans="1:29" s="1338" customFormat="1" ht="15">
      <c r="A33" s="603"/>
      <c r="B33" s="527" t="s">
        <v>726</v>
      </c>
      <c r="C33" s="3201">
        <f>'数据-汇总表'!E3</f>
        <v>245520.35</v>
      </c>
      <c r="D33" s="3202">
        <v>100</v>
      </c>
      <c r="E33" s="3203">
        <v>88758</v>
      </c>
      <c r="F33" s="3204">
        <f>LOOKUP(E33,103:103,104:104)-LOOKUP(C33,103:103,104:104)+100</f>
        <v>101</v>
      </c>
      <c r="G33" s="3205">
        <v>1660000</v>
      </c>
      <c r="H33" s="3202">
        <f>LOOKUP(G33,103:103,104:104)-LOOKUP(C33,103:103,104:104)+100</f>
        <v>100</v>
      </c>
      <c r="I33" s="3203">
        <v>115000</v>
      </c>
      <c r="J33" s="3202">
        <f>LOOKUP(I33,103:103,104:104)-LOOKUP(C33,103:103,104:104)+100</f>
        <v>100.5</v>
      </c>
      <c r="K33" s="865"/>
      <c r="L33" s="2140"/>
      <c r="M33" s="2171"/>
      <c r="N33" s="2171"/>
      <c r="O33" s="2143"/>
      <c r="P33" s="3413"/>
      <c r="Q33" s="1605" t="str">
        <f t="shared" si="11"/>
        <v>项目建筑规模</v>
      </c>
      <c r="R33" s="1577" t="s">
        <v>11</v>
      </c>
      <c r="S33" s="1578">
        <f t="shared" si="12"/>
        <v>101</v>
      </c>
      <c r="T33" s="1577" t="s">
        <v>11</v>
      </c>
      <c r="U33" s="1578">
        <f t="shared" si="13"/>
        <v>100</v>
      </c>
      <c r="V33" s="1577" t="s">
        <v>11</v>
      </c>
      <c r="W33" s="1578">
        <f t="shared" si="14"/>
        <v>100.5</v>
      </c>
      <c r="X33" s="1579"/>
      <c r="Y33" s="3413"/>
      <c r="Z33" s="1580" t="str">
        <f t="shared" si="15"/>
        <v>项目建筑规模</v>
      </c>
      <c r="AA33" s="1576">
        <f t="shared" si="3"/>
        <v>0.99009900990099009</v>
      </c>
      <c r="AB33" s="1576">
        <f t="shared" si="4"/>
        <v>1</v>
      </c>
      <c r="AC33" s="1576">
        <f t="shared" si="5"/>
        <v>0.99502487562189057</v>
      </c>
    </row>
    <row r="34" spans="1:29" ht="15">
      <c r="A34" s="594"/>
      <c r="B34" s="527" t="s">
        <v>727</v>
      </c>
      <c r="C34" s="880" t="s">
        <v>3016</v>
      </c>
      <c r="D34" s="540">
        <v>100</v>
      </c>
      <c r="E34" s="880" t="s">
        <v>3016</v>
      </c>
      <c r="F34" s="575">
        <f>SUMIF(105:105,E34,106:106)-SUMIF(105:105,C34,106:106)+100</f>
        <v>100</v>
      </c>
      <c r="G34" s="880" t="s">
        <v>3016</v>
      </c>
      <c r="H34" s="540">
        <f>SUMIF(105:105,G34,106:106)-SUMIF(105:105,C34,106:106)+100</f>
        <v>100</v>
      </c>
      <c r="I34" s="880" t="s">
        <v>3016</v>
      </c>
      <c r="J34" s="540">
        <f>SUMIF(105:105,I34,106:106)-SUMIF(105:105,C34,106:106)+100</f>
        <v>100</v>
      </c>
      <c r="K34" s="864">
        <v>1</v>
      </c>
      <c r="L34" s="2142"/>
      <c r="M34" s="2134"/>
      <c r="N34" s="2134"/>
      <c r="O34" s="2141"/>
      <c r="P34" s="3413"/>
      <c r="Q34" s="1572" t="str">
        <f t="shared" si="11"/>
        <v>建筑结构</v>
      </c>
      <c r="R34" s="1573" t="s">
        <v>11</v>
      </c>
      <c r="S34" s="1574">
        <f t="shared" si="12"/>
        <v>100</v>
      </c>
      <c r="T34" s="1573" t="s">
        <v>11</v>
      </c>
      <c r="U34" s="1574">
        <f t="shared" si="13"/>
        <v>100</v>
      </c>
      <c r="V34" s="1573" t="s">
        <v>11</v>
      </c>
      <c r="W34" s="1574">
        <f t="shared" si="14"/>
        <v>100</v>
      </c>
      <c r="X34" s="1567"/>
      <c r="Y34" s="3413"/>
      <c r="Z34" s="1575" t="str">
        <f t="shared" si="15"/>
        <v>建筑结构</v>
      </c>
      <c r="AA34" s="1576">
        <f t="shared" si="3"/>
        <v>1</v>
      </c>
      <c r="AB34" s="1576">
        <f t="shared" si="4"/>
        <v>1</v>
      </c>
      <c r="AC34" s="1576">
        <f t="shared" si="5"/>
        <v>1</v>
      </c>
    </row>
    <row r="35" spans="1:29" ht="15">
      <c r="A35" s="594"/>
      <c r="B35" s="527" t="s">
        <v>728</v>
      </c>
      <c r="C35" s="599" t="s">
        <v>3048</v>
      </c>
      <c r="D35" s="540">
        <v>100</v>
      </c>
      <c r="E35" s="874" t="s">
        <v>3050</v>
      </c>
      <c r="F35" s="575">
        <f>SUMIF(107:107,E35,108:108)-SUMIF(107:107,C35,108:108)+100</f>
        <v>99.5</v>
      </c>
      <c r="G35" s="599" t="s">
        <v>3048</v>
      </c>
      <c r="H35" s="540">
        <f>SUMIF(107:107,G35,108:108)-SUMIF(107:107,C35,108:108)+100</f>
        <v>100</v>
      </c>
      <c r="I35" s="874" t="s">
        <v>3048</v>
      </c>
      <c r="J35" s="540">
        <f>SUMIF(107:107,I35,108:108)-SUMIF(107:107,C35,108:108)+100</f>
        <v>100</v>
      </c>
      <c r="K35" s="864">
        <v>0.5</v>
      </c>
      <c r="L35" s="2142"/>
      <c r="M35" s="2134"/>
      <c r="N35" s="2134"/>
      <c r="O35" s="2141"/>
      <c r="P35" s="3413"/>
      <c r="Q35" s="1572" t="str">
        <f t="shared" si="11"/>
        <v>建筑品质</v>
      </c>
      <c r="R35" s="1573" t="s">
        <v>11</v>
      </c>
      <c r="S35" s="1574">
        <f t="shared" si="12"/>
        <v>99.5</v>
      </c>
      <c r="T35" s="1573" t="s">
        <v>11</v>
      </c>
      <c r="U35" s="1574">
        <f t="shared" si="13"/>
        <v>100</v>
      </c>
      <c r="V35" s="1573" t="s">
        <v>11</v>
      </c>
      <c r="W35" s="1574">
        <f t="shared" si="14"/>
        <v>100</v>
      </c>
      <c r="X35" s="1567"/>
      <c r="Y35" s="3413"/>
      <c r="Z35" s="1575" t="str">
        <f t="shared" si="15"/>
        <v>建筑品质</v>
      </c>
      <c r="AA35" s="1576">
        <f t="shared" si="3"/>
        <v>1.0050251256281406</v>
      </c>
      <c r="AB35" s="1576">
        <f t="shared" si="4"/>
        <v>1</v>
      </c>
      <c r="AC35" s="1576">
        <f t="shared" si="5"/>
        <v>1</v>
      </c>
    </row>
    <row r="36" spans="1:29" ht="15">
      <c r="A36" s="594"/>
      <c r="B36" s="527" t="s">
        <v>729</v>
      </c>
      <c r="C36" s="599" t="s">
        <v>3033</v>
      </c>
      <c r="D36" s="540">
        <v>100</v>
      </c>
      <c r="E36" s="599" t="s">
        <v>3033</v>
      </c>
      <c r="F36" s="575">
        <f>SUMIF(109:109,E36,110:110)-SUMIF(109:109,C36,110:110)+100</f>
        <v>100</v>
      </c>
      <c r="G36" s="599" t="s">
        <v>3033</v>
      </c>
      <c r="H36" s="540">
        <f>SUMIF(109:109,G36,110:110)-SUMIF(109:109,C36,110:110)+100</f>
        <v>100</v>
      </c>
      <c r="I36" s="599" t="s">
        <v>3033</v>
      </c>
      <c r="J36" s="540">
        <f>SUMIF(109:109,I36,110:110)-SUMIF(109:109,C36,110:110)+100</f>
        <v>100</v>
      </c>
      <c r="K36" s="864">
        <v>1</v>
      </c>
      <c r="L36" s="2142"/>
      <c r="M36" s="2134"/>
      <c r="N36" s="2134"/>
      <c r="O36" s="2141"/>
      <c r="P36" s="3413"/>
      <c r="Q36" s="1572" t="str">
        <f t="shared" si="11"/>
        <v>公共部分装修</v>
      </c>
      <c r="R36" s="1573" t="s">
        <v>11</v>
      </c>
      <c r="S36" s="1574">
        <f t="shared" si="12"/>
        <v>100</v>
      </c>
      <c r="T36" s="1573" t="s">
        <v>11</v>
      </c>
      <c r="U36" s="1574">
        <f t="shared" si="13"/>
        <v>100</v>
      </c>
      <c r="V36" s="1573" t="s">
        <v>11</v>
      </c>
      <c r="W36" s="1574">
        <f t="shared" si="14"/>
        <v>100</v>
      </c>
      <c r="X36" s="1567"/>
      <c r="Y36" s="3413"/>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0.5</v>
      </c>
      <c r="L37" s="2135"/>
      <c r="M37" s="2136"/>
      <c r="N37" s="2136"/>
      <c r="O37" s="2137"/>
      <c r="P37" s="3413"/>
      <c r="Q37" s="1150" t="str">
        <f t="shared" si="11"/>
        <v>成新度</v>
      </c>
      <c r="R37" s="1568" t="s">
        <v>11</v>
      </c>
      <c r="S37" s="1569">
        <f t="shared" si="12"/>
        <v>100</v>
      </c>
      <c r="T37" s="1568" t="s">
        <v>11</v>
      </c>
      <c r="U37" s="1569">
        <f t="shared" si="13"/>
        <v>100</v>
      </c>
      <c r="V37" s="1568" t="s">
        <v>11</v>
      </c>
      <c r="W37" s="1569">
        <f t="shared" si="14"/>
        <v>100</v>
      </c>
      <c r="X37" s="1570"/>
      <c r="Y37" s="3413"/>
      <c r="Z37" s="1149" t="str">
        <f t="shared" si="15"/>
        <v>成新度</v>
      </c>
      <c r="AA37" s="1571">
        <f t="shared" si="3"/>
        <v>1</v>
      </c>
      <c r="AB37" s="1571">
        <f t="shared" si="4"/>
        <v>1</v>
      </c>
      <c r="AC37" s="1571">
        <f t="shared" si="5"/>
        <v>1</v>
      </c>
    </row>
    <row r="38" spans="1:29" ht="15">
      <c r="A38" s="594"/>
      <c r="B38" s="527" t="s">
        <v>731</v>
      </c>
      <c r="C38" s="599" t="s">
        <v>3040</v>
      </c>
      <c r="D38" s="540">
        <v>100</v>
      </c>
      <c r="E38" s="599" t="s">
        <v>3040</v>
      </c>
      <c r="F38" s="575">
        <f>SUMIF(114:114,E38,115:115)-SUMIF(114:114,C38,115:115)+100</f>
        <v>100</v>
      </c>
      <c r="G38" s="599" t="s">
        <v>3040</v>
      </c>
      <c r="H38" s="540">
        <f>SUMIF(114:114,G38,115:115)-SUMIF(114:114,C38,115:115)+100</f>
        <v>100</v>
      </c>
      <c r="I38" s="599" t="s">
        <v>3040</v>
      </c>
      <c r="J38" s="540">
        <f>SUMIF(114:114,I38,115:115)-SUMIF(114:114,C38,115:115)+100</f>
        <v>100</v>
      </c>
      <c r="K38" s="864">
        <v>1</v>
      </c>
      <c r="L38" s="2142"/>
      <c r="M38" s="2134"/>
      <c r="N38" s="2134"/>
      <c r="O38" s="2141"/>
      <c r="P38" s="3413" t="s">
        <v>550</v>
      </c>
      <c r="Q38" s="1572" t="str">
        <f t="shared" si="11"/>
        <v>物业管理</v>
      </c>
      <c r="R38" s="1573" t="s">
        <v>11</v>
      </c>
      <c r="S38" s="1574">
        <f t="shared" si="12"/>
        <v>100</v>
      </c>
      <c r="T38" s="1573" t="s">
        <v>11</v>
      </c>
      <c r="U38" s="1574">
        <f t="shared" si="13"/>
        <v>100</v>
      </c>
      <c r="V38" s="1573" t="s">
        <v>11</v>
      </c>
      <c r="W38" s="1574">
        <f t="shared" si="14"/>
        <v>100</v>
      </c>
      <c r="X38" s="1567"/>
      <c r="Y38" s="3413" t="s">
        <v>550</v>
      </c>
      <c r="Z38" s="1575" t="str">
        <f t="shared" si="15"/>
        <v>物业管理</v>
      </c>
      <c r="AA38" s="1576">
        <f t="shared" si="3"/>
        <v>1</v>
      </c>
      <c r="AB38" s="1576">
        <f t="shared" si="4"/>
        <v>1</v>
      </c>
      <c r="AC38" s="1576">
        <f t="shared" si="5"/>
        <v>1</v>
      </c>
    </row>
    <row r="39" spans="1:29" ht="15">
      <c r="A39" s="594"/>
      <c r="B39" s="1895" t="s">
        <v>2565</v>
      </c>
      <c r="C39" s="599" t="s">
        <v>3001</v>
      </c>
      <c r="D39" s="540">
        <v>100</v>
      </c>
      <c r="E39" s="599" t="s">
        <v>3001</v>
      </c>
      <c r="F39" s="575">
        <f>SUMIF(116:116,E39,117:117)-SUMIF(116:116,C39,117:117)+100</f>
        <v>100</v>
      </c>
      <c r="G39" s="599" t="s">
        <v>3001</v>
      </c>
      <c r="H39" s="540">
        <f>SUMIF(116:116,G39,117:117)-SUMIF(116:116,C39,117:117)+100</f>
        <v>100</v>
      </c>
      <c r="I39" s="599" t="s">
        <v>3001</v>
      </c>
      <c r="J39" s="540">
        <f>SUMIF(116:116,I39,117:117)-SUMIF(116:116,C39,117:117)+100</f>
        <v>100</v>
      </c>
      <c r="K39" s="864">
        <v>1</v>
      </c>
      <c r="L39" s="2142"/>
      <c r="M39" s="2134"/>
      <c r="N39" s="2134"/>
      <c r="O39" s="2141"/>
      <c r="P39" s="3413"/>
      <c r="Q39" s="1572" t="str">
        <f t="shared" si="11"/>
        <v>市政基础设施</v>
      </c>
      <c r="R39" s="1573" t="s">
        <v>11</v>
      </c>
      <c r="S39" s="1574">
        <f t="shared" si="12"/>
        <v>100</v>
      </c>
      <c r="T39" s="1573" t="s">
        <v>11</v>
      </c>
      <c r="U39" s="1574">
        <f t="shared" si="13"/>
        <v>100</v>
      </c>
      <c r="V39" s="1573" t="s">
        <v>11</v>
      </c>
      <c r="W39" s="1574">
        <f t="shared" si="14"/>
        <v>100</v>
      </c>
      <c r="X39" s="1567"/>
      <c r="Y39" s="3413"/>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3"/>
      <c r="Q40" s="1572" t="str">
        <f t="shared" si="11"/>
        <v>房型</v>
      </c>
      <c r="R40" s="1573" t="s">
        <v>11</v>
      </c>
      <c r="S40" s="1574">
        <f t="shared" si="12"/>
        <v>100</v>
      </c>
      <c r="T40" s="1573" t="s">
        <v>11</v>
      </c>
      <c r="U40" s="1574">
        <f t="shared" si="13"/>
        <v>100</v>
      </c>
      <c r="V40" s="1573" t="s">
        <v>11</v>
      </c>
      <c r="W40" s="1574">
        <f t="shared" si="14"/>
        <v>100</v>
      </c>
      <c r="X40" s="1567"/>
      <c r="Y40" s="3413"/>
      <c r="Z40" s="1575" t="str">
        <f t="shared" si="15"/>
        <v>房型</v>
      </c>
      <c r="AA40" s="1576">
        <f t="shared" si="3"/>
        <v>1</v>
      </c>
      <c r="AB40" s="1576">
        <f t="shared" si="4"/>
        <v>1</v>
      </c>
      <c r="AC40" s="1576">
        <f t="shared" si="5"/>
        <v>1</v>
      </c>
    </row>
    <row r="41" spans="1:29" s="1338" customFormat="1" ht="28.5">
      <c r="A41" s="603"/>
      <c r="B41" s="527" t="s">
        <v>733</v>
      </c>
      <c r="C41" s="879"/>
      <c r="D41" s="255">
        <v>100</v>
      </c>
      <c r="E41" s="534">
        <v>110</v>
      </c>
      <c r="F41" s="863">
        <f>SUMIF(120:120,E41,121:121)-SUMIF(120:120,C41,121:121)+100</f>
        <v>100</v>
      </c>
      <c r="G41" s="533" t="s">
        <v>3053</v>
      </c>
      <c r="H41" s="255">
        <f>SUMIF(120:120,G41,121:121)-SUMIF(120:120,C41,121:121)+100</f>
        <v>100</v>
      </c>
      <c r="I41" s="586" t="s">
        <v>3054</v>
      </c>
      <c r="J41" s="540">
        <f>SUMIF(120:120,I41,121:121)-SUMIF(120:120,C41,121:121)+100</f>
        <v>100</v>
      </c>
      <c r="K41" s="865"/>
      <c r="L41" s="2140"/>
      <c r="M41" s="2171"/>
      <c r="N41" s="2171"/>
      <c r="O41" s="2143"/>
      <c r="P41" s="3413"/>
      <c r="Q41" s="1605" t="str">
        <f t="shared" si="11"/>
        <v>单套/主力户型建筑面积</v>
      </c>
      <c r="R41" s="1577" t="s">
        <v>11</v>
      </c>
      <c r="S41" s="1578">
        <f t="shared" si="12"/>
        <v>100</v>
      </c>
      <c r="T41" s="1577" t="s">
        <v>11</v>
      </c>
      <c r="U41" s="1578">
        <f t="shared" si="13"/>
        <v>100</v>
      </c>
      <c r="V41" s="1577" t="s">
        <v>11</v>
      </c>
      <c r="W41" s="1578">
        <f t="shared" si="14"/>
        <v>100</v>
      </c>
      <c r="X41" s="1579"/>
      <c r="Y41" s="3413"/>
      <c r="Z41" s="1580" t="str">
        <f t="shared" si="15"/>
        <v>单套/主力户型建筑面积</v>
      </c>
      <c r="AA41" s="1576">
        <f t="shared" si="3"/>
        <v>1</v>
      </c>
      <c r="AB41" s="1576">
        <f t="shared" si="4"/>
        <v>1</v>
      </c>
      <c r="AC41" s="1576">
        <f t="shared" si="5"/>
        <v>1</v>
      </c>
    </row>
    <row r="42" spans="1:29" ht="15">
      <c r="A42" s="594"/>
      <c r="B42" s="527" t="s">
        <v>734</v>
      </c>
      <c r="C42" s="599" t="s">
        <v>3033</v>
      </c>
      <c r="D42" s="540">
        <v>100</v>
      </c>
      <c r="E42" s="874" t="s">
        <v>3038</v>
      </c>
      <c r="F42" s="575">
        <f>SUMIF(122:122,E42,123:123)-SUMIF(122:122,C42,123:123)+100</f>
        <v>92.5</v>
      </c>
      <c r="G42" s="599" t="s">
        <v>3033</v>
      </c>
      <c r="H42" s="540">
        <f>SUMIF(122:122,G42,123:123)-SUMIF(122:122,C42,123:123)+100</f>
        <v>100</v>
      </c>
      <c r="I42" s="874" t="s">
        <v>3033</v>
      </c>
      <c r="J42" s="540">
        <f>SUMIF(122:122,I42,123:123)-SUMIF(122:122,C42,123:123)+100</f>
        <v>100</v>
      </c>
      <c r="K42" s="864">
        <v>2.5</v>
      </c>
      <c r="L42" s="2142"/>
      <c r="M42" s="2134"/>
      <c r="N42" s="2134"/>
      <c r="O42" s="2141"/>
      <c r="P42" s="3413"/>
      <c r="Q42" s="1572" t="str">
        <f t="shared" si="11"/>
        <v>内部装修</v>
      </c>
      <c r="R42" s="1573" t="s">
        <v>11</v>
      </c>
      <c r="S42" s="1574">
        <f t="shared" si="12"/>
        <v>92.5</v>
      </c>
      <c r="T42" s="1573" t="s">
        <v>11</v>
      </c>
      <c r="U42" s="1574">
        <f t="shared" si="13"/>
        <v>100</v>
      </c>
      <c r="V42" s="1573" t="s">
        <v>11</v>
      </c>
      <c r="W42" s="1574">
        <f t="shared" si="14"/>
        <v>100</v>
      </c>
      <c r="X42" s="1567"/>
      <c r="Y42" s="3413"/>
      <c r="Z42" s="1575" t="str">
        <f t="shared" si="15"/>
        <v>内部装修</v>
      </c>
      <c r="AA42" s="1576">
        <f t="shared" si="3"/>
        <v>1.0810810810810811</v>
      </c>
      <c r="AB42" s="1576">
        <f t="shared" si="4"/>
        <v>1</v>
      </c>
      <c r="AC42" s="1576">
        <f t="shared" si="5"/>
        <v>1</v>
      </c>
    </row>
    <row r="43" spans="1:29" ht="27">
      <c r="A43" s="594"/>
      <c r="B43" s="527" t="s">
        <v>735</v>
      </c>
      <c r="C43" s="599" t="s">
        <v>3002</v>
      </c>
      <c r="D43" s="540">
        <v>100</v>
      </c>
      <c r="E43" s="874" t="s">
        <v>3002</v>
      </c>
      <c r="F43" s="575">
        <f>SUMIF(124:124,E43,125:125)-SUMIF(124:124,C43,125:125)+100</f>
        <v>100</v>
      </c>
      <c r="G43" s="599" t="s">
        <v>3002</v>
      </c>
      <c r="H43" s="540">
        <f>SUMIF(124:124,G43,125:125)-SUMIF(124:124,C43,125:125)+100</f>
        <v>100</v>
      </c>
      <c r="I43" s="599" t="s">
        <v>3002</v>
      </c>
      <c r="J43" s="540">
        <f>SUMIF(124:124,I43,125:125)-SUMIF(124:124,C43,125:125)+100</f>
        <v>100</v>
      </c>
      <c r="K43" s="864"/>
      <c r="L43" s="2142"/>
      <c r="M43" s="2134"/>
      <c r="N43" s="2134"/>
      <c r="O43" s="2141"/>
      <c r="P43" s="3413"/>
      <c r="Q43" s="1572" t="str">
        <f t="shared" si="11"/>
        <v>内部装修维护情况</v>
      </c>
      <c r="R43" s="1573" t="s">
        <v>11</v>
      </c>
      <c r="S43" s="1574">
        <f t="shared" si="12"/>
        <v>100</v>
      </c>
      <c r="T43" s="1573" t="s">
        <v>11</v>
      </c>
      <c r="U43" s="1574">
        <f t="shared" si="13"/>
        <v>100</v>
      </c>
      <c r="V43" s="1573" t="s">
        <v>11</v>
      </c>
      <c r="W43" s="1574">
        <f t="shared" si="14"/>
        <v>100</v>
      </c>
      <c r="X43" s="1567"/>
      <c r="Y43" s="3413"/>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413"/>
      <c r="Q44" s="1150">
        <f t="shared" si="11"/>
        <v>111</v>
      </c>
      <c r="R44" s="1568" t="s">
        <v>11</v>
      </c>
      <c r="S44" s="1569">
        <f t="shared" si="12"/>
        <v>100</v>
      </c>
      <c r="T44" s="1568" t="s">
        <v>11</v>
      </c>
      <c r="U44" s="1569">
        <f t="shared" si="13"/>
        <v>100</v>
      </c>
      <c r="V44" s="1568" t="s">
        <v>11</v>
      </c>
      <c r="W44" s="1569">
        <f t="shared" si="14"/>
        <v>100</v>
      </c>
      <c r="X44" s="1570"/>
      <c r="Y44" s="3413"/>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3"/>
      <c r="Q45" s="1572">
        <f t="shared" si="11"/>
        <v>111</v>
      </c>
      <c r="R45" s="1573" t="s">
        <v>11</v>
      </c>
      <c r="S45" s="1574">
        <f t="shared" si="12"/>
        <v>100</v>
      </c>
      <c r="T45" s="1573" t="s">
        <v>11</v>
      </c>
      <c r="U45" s="1574">
        <f t="shared" si="13"/>
        <v>100</v>
      </c>
      <c r="V45" s="1573" t="s">
        <v>11</v>
      </c>
      <c r="W45" s="1574">
        <f t="shared" si="14"/>
        <v>100</v>
      </c>
      <c r="X45" s="1567"/>
      <c r="Y45" s="3413"/>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1"/>
      <c r="Q46" s="1572">
        <f t="shared" si="11"/>
        <v>111</v>
      </c>
      <c r="R46" s="1573" t="s">
        <v>10</v>
      </c>
      <c r="S46" s="1574">
        <f t="shared" si="12"/>
        <v>100</v>
      </c>
      <c r="T46" s="1573" t="s">
        <v>10</v>
      </c>
      <c r="U46" s="1574">
        <f t="shared" si="13"/>
        <v>100</v>
      </c>
      <c r="V46" s="1573" t="s">
        <v>10</v>
      </c>
      <c r="W46" s="1574">
        <f t="shared" si="14"/>
        <v>100</v>
      </c>
      <c r="X46" s="1567"/>
      <c r="Y46" s="3491"/>
      <c r="Z46" s="1575">
        <f t="shared" si="15"/>
        <v>111</v>
      </c>
      <c r="AA46" s="1576">
        <f t="shared" si="3"/>
        <v>1</v>
      </c>
      <c r="AB46" s="1576">
        <f t="shared" si="4"/>
        <v>1</v>
      </c>
      <c r="AC46" s="1576">
        <f t="shared" si="5"/>
        <v>1</v>
      </c>
    </row>
    <row r="47" spans="1:29" ht="15">
      <c r="A47" s="607" t="s">
        <v>736</v>
      </c>
      <c r="B47" s="886"/>
      <c r="C47" s="2606" t="s">
        <v>9</v>
      </c>
      <c r="D47" s="2607"/>
      <c r="E47" s="2608">
        <v>7000</v>
      </c>
      <c r="F47" s="2609"/>
      <c r="G47" s="2610">
        <v>8000</v>
      </c>
      <c r="H47" s="2611"/>
      <c r="I47" s="2608">
        <v>8000</v>
      </c>
      <c r="J47" s="2611"/>
      <c r="K47" s="1606"/>
      <c r="L47" s="2144"/>
      <c r="M47" s="2145"/>
      <c r="N47" s="2134"/>
      <c r="O47" s="2145"/>
      <c r="P47" s="3374" t="str">
        <f>A47</f>
        <v>成交单价（元/平方米）</v>
      </c>
      <c r="Q47" s="3374"/>
      <c r="R47" s="3490">
        <f>E47</f>
        <v>7000</v>
      </c>
      <c r="S47" s="3490"/>
      <c r="T47" s="3490">
        <f>G47</f>
        <v>8000</v>
      </c>
      <c r="U47" s="3490"/>
      <c r="V47" s="3490">
        <f>I47</f>
        <v>8000</v>
      </c>
      <c r="W47" s="3490"/>
      <c r="X47" s="1559"/>
      <c r="Y47" s="1581"/>
      <c r="Z47" s="1559"/>
      <c r="AA47" s="1559"/>
      <c r="AB47" s="1559"/>
      <c r="AC47" s="1559"/>
    </row>
    <row r="48" spans="1:29" ht="15.75" thickBot="1">
      <c r="A48" s="615" t="s">
        <v>2761</v>
      </c>
      <c r="B48" s="887"/>
      <c r="C48" s="2612">
        <f>R49</f>
        <v>7778</v>
      </c>
      <c r="D48" s="2613"/>
      <c r="E48" s="2614">
        <f>R48</f>
        <v>7493</v>
      </c>
      <c r="F48" s="2614"/>
      <c r="G48" s="2612">
        <f>T48</f>
        <v>7921</v>
      </c>
      <c r="H48" s="2613"/>
      <c r="I48" s="2614">
        <f>V48</f>
        <v>7921</v>
      </c>
      <c r="J48" s="2613"/>
      <c r="K48" s="1607"/>
      <c r="L48" s="2144"/>
      <c r="M48" s="2145"/>
      <c r="N48" s="2145"/>
      <c r="O48" s="2145"/>
      <c r="P48" s="3374" t="str">
        <f>A48</f>
        <v>比较价格（元/平方米）</v>
      </c>
      <c r="Q48" s="3374"/>
      <c r="R48" s="3490">
        <f>IF(F1="售价",ROUND(PRODUCT(R47,AA7:AA46),0),ROUND(PRODUCT(R47,AA7:AA46),1))</f>
        <v>7493</v>
      </c>
      <c r="S48" s="3490"/>
      <c r="T48" s="3490">
        <f>IF(F1="售价",ROUND(PRODUCT(T47,AB7:AB46),0),ROUND(PRODUCT(T47,AB7:AB46),1))</f>
        <v>7921</v>
      </c>
      <c r="U48" s="3490"/>
      <c r="V48" s="3490">
        <f>IF(F1="售价",ROUND(PRODUCT(V47,AC7:AC46),0),ROUND(PRODUCT(V47,AC7:AC46),1))</f>
        <v>7921</v>
      </c>
      <c r="W48" s="3490"/>
      <c r="X48" s="1559"/>
      <c r="Y48" s="1559"/>
      <c r="Z48" s="1559"/>
      <c r="AA48" s="1559"/>
      <c r="AB48" s="1559"/>
      <c r="AC48" s="1559"/>
    </row>
    <row r="49" spans="1:29" ht="15.75" thickBot="1">
      <c r="A49" s="621" t="s">
        <v>2935</v>
      </c>
      <c r="B49" s="622"/>
      <c r="C49" s="2615">
        <f>R49</f>
        <v>7778</v>
      </c>
      <c r="D49" s="2615"/>
      <c r="E49" s="2615"/>
      <c r="F49" s="2615"/>
      <c r="G49" s="2615"/>
      <c r="H49" s="2615"/>
      <c r="I49" s="2615"/>
      <c r="J49" s="2615"/>
      <c r="K49" s="1608"/>
      <c r="L49" s="2144"/>
      <c r="M49" s="2145"/>
      <c r="N49" s="2145"/>
      <c r="O49" s="2145"/>
      <c r="P49" s="3371" t="str">
        <f>A49</f>
        <v>估价对象XX用房的比较价格（楼面单价，元/平方米）</v>
      </c>
      <c r="Q49" s="3372"/>
      <c r="R49" s="3489">
        <f>IF(F1="售价",ROUND(AVERAGE(R48:V48),0),ROUND(AVERAGE(R48:V48),1))</f>
        <v>7778</v>
      </c>
      <c r="S49" s="3489"/>
      <c r="T49" s="3489"/>
      <c r="U49" s="3489"/>
      <c r="V49" s="3489"/>
      <c r="W49" s="348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7.0428571428571507E-2</v>
      </c>
      <c r="F52" s="627" t="str">
        <f>IF(OR(E52&gt;=0.3,E52&lt;=-0.3),"超过30%","")</f>
        <v/>
      </c>
      <c r="G52" s="626">
        <f>IF(G47&lt;G48,G48/G47-1,G47/G48-1)</f>
        <v>9.9734881959347987E-3</v>
      </c>
      <c r="H52" s="627" t="str">
        <f>IF(OR(G52&gt;=0.3,G52&lt;=-0.3),"超过30%","")</f>
        <v/>
      </c>
      <c r="I52" s="626">
        <f>IF(I47&lt;I48,I48/I47-1,I47/I48-1)</f>
        <v>9.9734881959347987E-3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5.7119978646736902E-2</v>
      </c>
      <c r="F53" s="627" t="str">
        <f>IF(OR(E53&gt;=0.2,E53&lt;=-0.2),"超过20%","")</f>
        <v/>
      </c>
      <c r="G53" s="626">
        <f>IF(G48&lt;I48,I48/G48-1,G48/I48-1)</f>
        <v>0</v>
      </c>
      <c r="H53" s="627" t="str">
        <f>IF(OR(G53&gt;=0.2,G53&lt;=-0.2),"超过20%","")</f>
        <v/>
      </c>
      <c r="I53" s="626">
        <f>IF(I48&lt;E48,E48/I48-1,I48/E48-1)</f>
        <v>5.7119978646736902E-2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0.14285714285714279</v>
      </c>
      <c r="F54" s="627" t="str">
        <f>IF(OR(E54&gt;=0.3,E54&lt;=-0.3),"超过30%","")</f>
        <v/>
      </c>
      <c r="G54" s="626">
        <f>IF(G47&lt;I47,I47/G47-1,G47/I47-1)</f>
        <v>0</v>
      </c>
      <c r="H54" s="627" t="str">
        <f>IF(OR(G54&gt;=0.3,G54&lt;=-0.3),"超过30%","")</f>
        <v/>
      </c>
      <c r="I54" s="626">
        <f>IF(I47&lt;E47,E47/I47-1,I47/E47-1)</f>
        <v>0.14285714285714279</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3" t="str">
        <f>YEAR(C7)&amp;"-"&amp;MONTH(C7)</f>
        <v>2018-12</v>
      </c>
      <c r="D58" s="2783">
        <f>EDATE(C58,-1)</f>
        <v>43405</v>
      </c>
      <c r="E58" s="2783">
        <f t="shared" ref="E58:O58" si="16">EDATE(D58,-1)</f>
        <v>43374</v>
      </c>
      <c r="F58" s="2783">
        <f t="shared" si="16"/>
        <v>43344</v>
      </c>
      <c r="G58" s="2783">
        <f t="shared" si="16"/>
        <v>43313</v>
      </c>
      <c r="H58" s="2783">
        <f t="shared" si="16"/>
        <v>43282</v>
      </c>
      <c r="I58" s="2783">
        <f t="shared" si="16"/>
        <v>43252</v>
      </c>
      <c r="J58" s="2783">
        <f t="shared" si="16"/>
        <v>43221</v>
      </c>
      <c r="K58" s="2783">
        <f t="shared" si="16"/>
        <v>43191</v>
      </c>
      <c r="L58" s="2783">
        <f t="shared" si="16"/>
        <v>43160</v>
      </c>
      <c r="M58" s="2783">
        <f t="shared" si="16"/>
        <v>43132</v>
      </c>
      <c r="N58" s="2783">
        <f t="shared" si="16"/>
        <v>43101</v>
      </c>
      <c r="O58" s="2783">
        <f t="shared" si="16"/>
        <v>43070</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99.5</v>
      </c>
      <c r="E66" s="679">
        <f t="shared" si="17"/>
        <v>99</v>
      </c>
      <c r="F66" s="679">
        <f t="shared" si="17"/>
        <v>98.5</v>
      </c>
      <c r="G66" s="679">
        <f t="shared" si="17"/>
        <v>98</v>
      </c>
      <c r="H66" s="679">
        <f t="shared" si="17"/>
        <v>97.5</v>
      </c>
      <c r="I66" s="679">
        <f t="shared" si="17"/>
        <v>97</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99</v>
      </c>
      <c r="E77" s="679">
        <f>D77-$K15</f>
        <v>98</v>
      </c>
      <c r="F77" s="679">
        <f>E77-$K15</f>
        <v>97</v>
      </c>
      <c r="G77" s="679">
        <f>F77-$K15</f>
        <v>96</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99</v>
      </c>
      <c r="E79" s="679">
        <f>D79-$K17</f>
        <v>98</v>
      </c>
      <c r="F79" s="679">
        <f>E79-$K17</f>
        <v>97</v>
      </c>
      <c r="G79" s="679">
        <f>F79-$K17</f>
        <v>96</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8" t="s">
        <v>3029</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0(含)-50000</v>
      </c>
      <c r="D102" s="708" t="str">
        <f t="shared" ref="D102:L102" si="23">D103&amp;"(含)"&amp;"-"&amp;E103</f>
        <v>50000(含)-100000</v>
      </c>
      <c r="E102" s="708" t="str">
        <f t="shared" si="23"/>
        <v>100000(含)-200000</v>
      </c>
      <c r="F102" s="708" t="str">
        <f t="shared" si="23"/>
        <v>200000(含)-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v>
      </c>
      <c r="E103" s="730">
        <v>100000</v>
      </c>
      <c r="F103" s="730">
        <v>200000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99.5</v>
      </c>
      <c r="E104" s="671">
        <v>99</v>
      </c>
      <c r="F104" s="671">
        <v>98.5</v>
      </c>
      <c r="G104" s="671">
        <v>98.5</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79" t="s">
        <v>3030</v>
      </c>
      <c r="D105" s="3179" t="s">
        <v>3031</v>
      </c>
      <c r="E105" s="3180" t="s">
        <v>3032</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0" t="s">
        <v>3049</v>
      </c>
      <c r="D107" s="3180" t="s">
        <v>3051</v>
      </c>
      <c r="E107" s="3180" t="s">
        <v>3052</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99.5</v>
      </c>
      <c r="E108" s="679">
        <f t="shared" si="25"/>
        <v>99</v>
      </c>
      <c r="F108" s="679">
        <f t="shared" si="25"/>
        <v>98.5</v>
      </c>
      <c r="G108" s="679">
        <f t="shared" si="25"/>
        <v>98</v>
      </c>
      <c r="H108" s="679">
        <f t="shared" si="25"/>
        <v>97.5</v>
      </c>
      <c r="I108" s="679">
        <f t="shared" si="25"/>
        <v>97</v>
      </c>
      <c r="J108" s="679">
        <f t="shared" si="25"/>
        <v>96.5</v>
      </c>
      <c r="K108" s="679">
        <f t="shared" si="25"/>
        <v>96</v>
      </c>
      <c r="L108" s="679">
        <f t="shared" si="25"/>
        <v>95.5</v>
      </c>
      <c r="M108" s="679">
        <f t="shared" si="25"/>
        <v>95</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79" t="s">
        <v>3034</v>
      </c>
      <c r="D109" s="3179" t="s">
        <v>3035</v>
      </c>
      <c r="E109" s="3179" t="s">
        <v>3036</v>
      </c>
      <c r="F109" s="718" t="s">
        <v>3037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100.5</v>
      </c>
      <c r="E113" s="679">
        <f>D113+$K37</f>
        <v>101</v>
      </c>
      <c r="F113" s="679">
        <f>E113+$K37</f>
        <v>101.5</v>
      </c>
      <c r="G113" s="679">
        <f>F113+$K37</f>
        <v>102</v>
      </c>
      <c r="H113" s="679">
        <f>G113+$K37</f>
        <v>102.5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79" t="s">
        <v>3041</v>
      </c>
      <c r="D114" s="3179" t="s">
        <v>3042</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3179" t="s">
        <v>3043</v>
      </c>
      <c r="D116" s="3179" t="s">
        <v>3044</v>
      </c>
      <c r="E116" s="3179" t="s">
        <v>3045</v>
      </c>
      <c r="F116" s="3179" t="s">
        <v>3046</v>
      </c>
      <c r="G116" s="3179" t="s">
        <v>3047</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79" t="s">
        <v>3034</v>
      </c>
      <c r="D122" s="3179" t="s">
        <v>3035</v>
      </c>
      <c r="E122" s="3179" t="s">
        <v>3036</v>
      </c>
      <c r="F122" s="718" t="s">
        <v>3037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97.5</v>
      </c>
      <c r="E123" s="679">
        <f t="shared" si="29"/>
        <v>95</v>
      </c>
      <c r="F123" s="679">
        <f t="shared" si="29"/>
        <v>92.5</v>
      </c>
      <c r="G123" s="679">
        <f t="shared" si="29"/>
        <v>90</v>
      </c>
      <c r="H123" s="679">
        <f t="shared" si="29"/>
        <v>87.5</v>
      </c>
      <c r="I123" s="679">
        <f t="shared" si="29"/>
        <v>85</v>
      </c>
      <c r="J123" s="679">
        <f t="shared" si="29"/>
        <v>82.5</v>
      </c>
      <c r="K123" s="679">
        <f t="shared" si="29"/>
        <v>80</v>
      </c>
      <c r="L123" s="679">
        <f t="shared" si="29"/>
        <v>77.5</v>
      </c>
      <c r="M123" s="679">
        <f t="shared" si="29"/>
        <v>75</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9"/>
      <c r="E1" s="506"/>
      <c r="F1" s="278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80" t="s">
        <v>522</v>
      </c>
      <c r="D4" s="3381"/>
      <c r="E4" s="3417" t="s">
        <v>523</v>
      </c>
      <c r="F4" s="3418"/>
      <c r="G4" s="3380" t="s">
        <v>524</v>
      </c>
      <c r="H4" s="3381"/>
      <c r="I4" s="3380" t="s">
        <v>525</v>
      </c>
      <c r="J4" s="3381"/>
      <c r="K4" s="514" t="s">
        <v>526</v>
      </c>
      <c r="L4" s="2133"/>
      <c r="M4" s="2134"/>
      <c r="N4" s="2134"/>
      <c r="O4" s="2134"/>
      <c r="P4" s="3382" t="s">
        <v>527</v>
      </c>
      <c r="Q4" s="3383"/>
      <c r="R4" s="3388" t="s">
        <v>523</v>
      </c>
      <c r="S4" s="3389"/>
      <c r="T4" s="3388" t="s">
        <v>524</v>
      </c>
      <c r="U4" s="3389"/>
      <c r="V4" s="3375" t="s">
        <v>525</v>
      </c>
      <c r="W4" s="3375"/>
      <c r="X4" s="1567"/>
      <c r="Y4" s="3388" t="s">
        <v>527</v>
      </c>
      <c r="Z4" s="3389"/>
      <c r="AA4" s="3377" t="s">
        <v>523</v>
      </c>
      <c r="AB4" s="3375" t="s">
        <v>524</v>
      </c>
      <c r="AC4" s="3377" t="s">
        <v>525</v>
      </c>
    </row>
    <row r="5" spans="1:29" ht="15">
      <c r="A5" s="515"/>
      <c r="B5" s="516"/>
      <c r="C5" s="3414" t="s">
        <v>2929</v>
      </c>
      <c r="D5" s="3397"/>
      <c r="E5" s="3419" t="s">
        <v>2930</v>
      </c>
      <c r="F5" s="3420"/>
      <c r="G5" s="3414" t="s">
        <v>2931</v>
      </c>
      <c r="H5" s="3397"/>
      <c r="I5" s="3414" t="s">
        <v>2932</v>
      </c>
      <c r="J5" s="3397"/>
      <c r="K5" s="514"/>
      <c r="L5" s="2133"/>
      <c r="M5" s="2134"/>
      <c r="N5" s="2134"/>
      <c r="O5" s="2134"/>
      <c r="P5" s="3384"/>
      <c r="Q5" s="3385"/>
      <c r="R5" s="3390"/>
      <c r="S5" s="3391"/>
      <c r="T5" s="3390"/>
      <c r="U5" s="3391"/>
      <c r="V5" s="3375"/>
      <c r="W5" s="3375"/>
      <c r="X5" s="1567"/>
      <c r="Y5" s="3390"/>
      <c r="Z5" s="3391"/>
      <c r="AA5" s="3378"/>
      <c r="AB5" s="3375"/>
      <c r="AC5" s="3378"/>
    </row>
    <row r="6" spans="1:29" ht="15.75" thickBot="1">
      <c r="A6" s="517"/>
      <c r="B6" s="518"/>
      <c r="C6" s="3394" t="s">
        <v>2933</v>
      </c>
      <c r="D6" s="3395"/>
      <c r="E6" s="3415" t="s">
        <v>2933</v>
      </c>
      <c r="F6" s="3416"/>
      <c r="G6" s="3394" t="s">
        <v>2933</v>
      </c>
      <c r="H6" s="3395"/>
      <c r="I6" s="3394" t="s">
        <v>2933</v>
      </c>
      <c r="J6" s="3395"/>
      <c r="K6" s="514" t="s">
        <v>528</v>
      </c>
      <c r="L6" s="2133"/>
      <c r="M6" s="2134"/>
      <c r="N6" s="2134"/>
      <c r="O6" s="2134"/>
      <c r="P6" s="3386"/>
      <c r="Q6" s="3387"/>
      <c r="R6" s="3390"/>
      <c r="S6" s="3391"/>
      <c r="T6" s="3392"/>
      <c r="U6" s="3393"/>
      <c r="V6" s="3375"/>
      <c r="W6" s="3375"/>
      <c r="X6" s="1567"/>
      <c r="Y6" s="3392"/>
      <c r="Z6" s="3393"/>
      <c r="AA6" s="3379"/>
      <c r="AB6" s="3375"/>
      <c r="AC6" s="3379"/>
    </row>
    <row r="7" spans="1:29" s="1219" customFormat="1" ht="15.75" thickBot="1">
      <c r="A7" s="2891"/>
      <c r="B7" s="2898" t="s">
        <v>529</v>
      </c>
      <c r="C7" s="519">
        <f>'数据-取费表'!B2</f>
        <v>43438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7" t="s">
        <v>530</v>
      </c>
      <c r="Q7" s="3409"/>
      <c r="R7" s="1568" t="s">
        <v>8</v>
      </c>
      <c r="S7" s="1569">
        <f t="shared" ref="S7:S15" si="0">F7</f>
        <v>0</v>
      </c>
      <c r="T7" s="1568" t="s">
        <v>8</v>
      </c>
      <c r="U7" s="1569">
        <f t="shared" ref="U7:U15" si="1">H7</f>
        <v>0</v>
      </c>
      <c r="V7" s="1568" t="s">
        <v>8</v>
      </c>
      <c r="W7" s="1569">
        <f t="shared" ref="W7:W15" si="2">J7</f>
        <v>0</v>
      </c>
      <c r="X7" s="1570"/>
      <c r="Y7" s="3407" t="s">
        <v>530</v>
      </c>
      <c r="Z7" s="3408"/>
      <c r="AA7" s="1571" t="e">
        <f>D7/F7</f>
        <v>#DIV/0!</v>
      </c>
      <c r="AB7" s="1571" t="e">
        <f>D7/H7</f>
        <v>#DIV/0!</v>
      </c>
      <c r="AC7" s="1571" t="e">
        <f>D7/J7</f>
        <v>#DIV/0!</v>
      </c>
    </row>
    <row r="8" spans="1:29" s="1219"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7" t="s">
        <v>533</v>
      </c>
      <c r="Q8" s="3408"/>
      <c r="R8" s="1568" t="s">
        <v>8</v>
      </c>
      <c r="S8" s="1569">
        <f t="shared" si="0"/>
        <v>0</v>
      </c>
      <c r="T8" s="1568" t="s">
        <v>8</v>
      </c>
      <c r="U8" s="1569">
        <f t="shared" si="1"/>
        <v>0</v>
      </c>
      <c r="V8" s="1568" t="s">
        <v>8</v>
      </c>
      <c r="W8" s="1569">
        <f t="shared" si="2"/>
        <v>0</v>
      </c>
      <c r="X8" s="1570"/>
      <c r="Y8" s="3407" t="s">
        <v>533</v>
      </c>
      <c r="Z8" s="3408"/>
      <c r="AA8" s="1571" t="e">
        <f t="shared" ref="AA8:AA46" si="3">D8/F8</f>
        <v>#DIV/0!</v>
      </c>
      <c r="AB8" s="1571" t="e">
        <f t="shared" ref="AB8:AB46" si="4">D8/H8</f>
        <v>#DIV/0!</v>
      </c>
      <c r="AC8" s="1571" t="e">
        <f t="shared" ref="AC8:AC46" si="5">D8/J8</f>
        <v>#DIV/0!</v>
      </c>
    </row>
    <row r="9" spans="1:29" s="1219"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4" t="s">
        <v>535</v>
      </c>
      <c r="Q9" s="1150" t="str">
        <f t="shared" ref="Q9:Q15" si="6">B9</f>
        <v>用途</v>
      </c>
      <c r="R9" s="1568" t="s">
        <v>8</v>
      </c>
      <c r="S9" s="1569">
        <f t="shared" si="0"/>
        <v>100</v>
      </c>
      <c r="T9" s="1568" t="s">
        <v>8</v>
      </c>
      <c r="U9" s="1569">
        <f t="shared" si="1"/>
        <v>100</v>
      </c>
      <c r="V9" s="1568" t="s">
        <v>8</v>
      </c>
      <c r="W9" s="1569">
        <f t="shared" si="2"/>
        <v>100</v>
      </c>
      <c r="X9" s="1570"/>
      <c r="Y9" s="3320" t="s">
        <v>536</v>
      </c>
      <c r="Z9" s="1149" t="str">
        <f t="shared" ref="Z9:Z15" si="7">Q9</f>
        <v>用途</v>
      </c>
      <c r="AA9" s="1571">
        <f t="shared" si="3"/>
        <v>1</v>
      </c>
      <c r="AB9" s="1571">
        <f t="shared" si="4"/>
        <v>1</v>
      </c>
      <c r="AC9" s="1571">
        <f t="shared" si="5"/>
        <v>1</v>
      </c>
    </row>
    <row r="10" spans="1:29" s="1337"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4"/>
      <c r="Q10" s="1150" t="str">
        <f t="shared" si="6"/>
        <v>土地使用年限（年）</v>
      </c>
      <c r="R10" s="1568" t="s">
        <v>8</v>
      </c>
      <c r="S10" s="1569">
        <f t="shared" si="0"/>
        <v>100</v>
      </c>
      <c r="T10" s="1568" t="s">
        <v>8</v>
      </c>
      <c r="U10" s="1569">
        <f t="shared" si="1"/>
        <v>100</v>
      </c>
      <c r="V10" s="1568" t="s">
        <v>8</v>
      </c>
      <c r="W10" s="1569">
        <f t="shared" si="2"/>
        <v>100</v>
      </c>
      <c r="X10" s="1570"/>
      <c r="Y10" s="3320"/>
      <c r="Z10" s="1149" t="str">
        <f t="shared" si="7"/>
        <v>土地使用年限（年）</v>
      </c>
      <c r="AA10" s="1571">
        <f t="shared" si="3"/>
        <v>1</v>
      </c>
      <c r="AB10" s="1571">
        <f t="shared" si="4"/>
        <v>1</v>
      </c>
      <c r="AC10" s="1571">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4"/>
      <c r="Q11" s="1150" t="str">
        <f t="shared" si="6"/>
        <v>容积率</v>
      </c>
      <c r="R11" s="1568" t="s">
        <v>8</v>
      </c>
      <c r="S11" s="1569" t="e">
        <f t="shared" si="0"/>
        <v>#N/A</v>
      </c>
      <c r="T11" s="1568" t="s">
        <v>8</v>
      </c>
      <c r="U11" s="1569" t="e">
        <f t="shared" si="1"/>
        <v>#N/A</v>
      </c>
      <c r="V11" s="1568" t="s">
        <v>8</v>
      </c>
      <c r="W11" s="1569" t="e">
        <f t="shared" si="2"/>
        <v>#N/A</v>
      </c>
      <c r="X11" s="1570"/>
      <c r="Y11" s="3320"/>
      <c r="Z11" s="1149" t="str">
        <f t="shared" si="7"/>
        <v>容积率</v>
      </c>
      <c r="AA11" s="1571" t="e">
        <f t="shared" si="3"/>
        <v>#N/A</v>
      </c>
      <c r="AB11" s="1571" t="e">
        <f t="shared" si="4"/>
        <v>#N/A</v>
      </c>
      <c r="AC11" s="1571" t="e">
        <f t="shared" si="5"/>
        <v>#N/A</v>
      </c>
    </row>
    <row r="12" spans="1:29" s="1219" customFormat="1" ht="15">
      <c r="A12" s="2896"/>
      <c r="B12" s="2902">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74"/>
      <c r="Q12" s="1150">
        <f t="shared" si="6"/>
        <v>111</v>
      </c>
      <c r="R12" s="1568" t="s">
        <v>8</v>
      </c>
      <c r="S12" s="1569">
        <f t="shared" si="0"/>
        <v>100</v>
      </c>
      <c r="T12" s="1568" t="s">
        <v>8</v>
      </c>
      <c r="U12" s="1569">
        <f t="shared" si="1"/>
        <v>100</v>
      </c>
      <c r="V12" s="1568" t="s">
        <v>8</v>
      </c>
      <c r="W12" s="1569">
        <f t="shared" si="2"/>
        <v>100</v>
      </c>
      <c r="X12" s="1570"/>
      <c r="Y12" s="3320"/>
      <c r="Z12" s="1149">
        <f t="shared" si="7"/>
        <v>111</v>
      </c>
      <c r="AA12" s="1571">
        <f>D12/F12</f>
        <v>1</v>
      </c>
      <c r="AB12" s="1571">
        <f>D12/H12</f>
        <v>1</v>
      </c>
      <c r="AC12" s="1571">
        <f>D12/J12</f>
        <v>1</v>
      </c>
    </row>
    <row r="13" spans="1:29" ht="15">
      <c r="A13" s="2896"/>
      <c r="B13" s="2902">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74"/>
      <c r="Q13" s="1150">
        <f t="shared" si="6"/>
        <v>111</v>
      </c>
      <c r="R13" s="1568" t="s">
        <v>8</v>
      </c>
      <c r="S13" s="1569">
        <f t="shared" si="0"/>
        <v>100</v>
      </c>
      <c r="T13" s="1568" t="s">
        <v>8</v>
      </c>
      <c r="U13" s="1569">
        <f t="shared" si="1"/>
        <v>100</v>
      </c>
      <c r="V13" s="1568" t="s">
        <v>8</v>
      </c>
      <c r="W13" s="1569">
        <f t="shared" si="2"/>
        <v>100</v>
      </c>
      <c r="X13" s="1570"/>
      <c r="Y13" s="3320"/>
      <c r="Z13" s="1149">
        <f t="shared" si="7"/>
        <v>111</v>
      </c>
      <c r="AA13" s="1571">
        <f t="shared" si="3"/>
        <v>1</v>
      </c>
      <c r="AB13" s="1571">
        <f t="shared" si="4"/>
        <v>1</v>
      </c>
      <c r="AC13" s="1571">
        <f t="shared" si="5"/>
        <v>1</v>
      </c>
    </row>
    <row r="14" spans="1:29" ht="15.75" thickBot="1">
      <c r="A14" s="2897"/>
      <c r="B14" s="2903">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74"/>
      <c r="Q14" s="1150">
        <f t="shared" si="6"/>
        <v>111</v>
      </c>
      <c r="R14" s="1568" t="s">
        <v>8</v>
      </c>
      <c r="S14" s="1569">
        <f t="shared" si="0"/>
        <v>100</v>
      </c>
      <c r="T14" s="1568" t="s">
        <v>8</v>
      </c>
      <c r="U14" s="1569">
        <f t="shared" si="1"/>
        <v>100</v>
      </c>
      <c r="V14" s="1568" t="s">
        <v>8</v>
      </c>
      <c r="W14" s="1569">
        <f t="shared" si="2"/>
        <v>100</v>
      </c>
      <c r="X14" s="1570"/>
      <c r="Y14" s="3320"/>
      <c r="Z14" s="1149">
        <f t="shared" si="7"/>
        <v>111</v>
      </c>
      <c r="AA14" s="1571">
        <f t="shared" si="3"/>
        <v>1</v>
      </c>
      <c r="AB14" s="1571">
        <f t="shared" si="4"/>
        <v>1</v>
      </c>
      <c r="AC14" s="1571">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410" t="s">
        <v>540</v>
      </c>
      <c r="Q15" s="1572" t="str">
        <f t="shared" si="6"/>
        <v>商业繁华度</v>
      </c>
      <c r="R15" s="1573" t="s">
        <v>8</v>
      </c>
      <c r="S15" s="1574">
        <f t="shared" si="0"/>
        <v>100</v>
      </c>
      <c r="T15" s="1573" t="s">
        <v>8</v>
      </c>
      <c r="U15" s="1574">
        <f t="shared" si="1"/>
        <v>100</v>
      </c>
      <c r="V15" s="1573" t="s">
        <v>8</v>
      </c>
      <c r="W15" s="1574">
        <f t="shared" si="2"/>
        <v>100</v>
      </c>
      <c r="X15" s="1567"/>
      <c r="Y15" s="3410"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411"/>
      <c r="Q16" s="1572"/>
      <c r="R16" s="1573"/>
      <c r="S16" s="1574"/>
      <c r="T16" s="1573"/>
      <c r="U16" s="1574"/>
      <c r="V16" s="1573"/>
      <c r="W16" s="1574"/>
      <c r="X16" s="1567"/>
      <c r="Y16" s="3411"/>
      <c r="Z16" s="1575"/>
      <c r="AA16" s="1576">
        <v>1</v>
      </c>
      <c r="AB16" s="1576">
        <v>1</v>
      </c>
      <c r="AC16" s="1576">
        <v>1</v>
      </c>
    </row>
    <row r="17" spans="1:29" ht="114">
      <c r="A17" s="532"/>
      <c r="B17" s="871" t="s">
        <v>296</v>
      </c>
      <c r="C17" s="872" t="str">
        <f>估价对象房地状况!C6</f>
        <v>估价对象有主干道东山路和次干道金马大道、有12、13、108等公交车经停、停车便捷程度较好，综合评价交通便捷度较好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411"/>
      <c r="Q17" s="1572" t="str">
        <f>B17</f>
        <v>交通便捷度</v>
      </c>
      <c r="R17" s="1573" t="s">
        <v>8</v>
      </c>
      <c r="S17" s="1574">
        <f>F17</f>
        <v>100</v>
      </c>
      <c r="T17" s="1573" t="s">
        <v>8</v>
      </c>
      <c r="U17" s="1574">
        <f>H17</f>
        <v>100</v>
      </c>
      <c r="V17" s="1573" t="s">
        <v>8</v>
      </c>
      <c r="W17" s="1574">
        <f>J17</f>
        <v>100</v>
      </c>
      <c r="X17" s="1567"/>
      <c r="Y17" s="341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411"/>
      <c r="Q18" s="1572"/>
      <c r="R18" s="1573"/>
      <c r="S18" s="1574"/>
      <c r="T18" s="1573"/>
      <c r="U18" s="1574"/>
      <c r="V18" s="1573"/>
      <c r="W18" s="1574"/>
      <c r="X18" s="1567"/>
      <c r="Y18" s="3411"/>
      <c r="Z18" s="1575"/>
      <c r="AA18" s="1576">
        <v>1</v>
      </c>
      <c r="AB18" s="1576">
        <v>1</v>
      </c>
      <c r="AC18" s="1576">
        <v>1</v>
      </c>
    </row>
    <row r="19" spans="1:29" ht="85.5">
      <c r="A19" s="532"/>
      <c r="B19" s="2579" t="s">
        <v>2547</v>
      </c>
      <c r="C19" s="872" t="str">
        <f>估价对象房地状况!C7</f>
        <v>估价对象所在区域公共配套设施齐备较齐全（有金山中学、中国银行、韩溪眼科医院）</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411"/>
      <c r="Q19" s="1572" t="str">
        <f>B19</f>
        <v>公共配套设施</v>
      </c>
      <c r="R19" s="1573" t="s">
        <v>8</v>
      </c>
      <c r="S19" s="1574">
        <f>F19</f>
        <v>100</v>
      </c>
      <c r="T19" s="1573" t="s">
        <v>8</v>
      </c>
      <c r="U19" s="1574">
        <f>H19</f>
        <v>100</v>
      </c>
      <c r="V19" s="1573" t="s">
        <v>8</v>
      </c>
      <c r="W19" s="1574">
        <f>J19</f>
        <v>100</v>
      </c>
      <c r="X19" s="1567"/>
      <c r="Y19" s="341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2"/>
      <c r="M20" s="2134"/>
      <c r="N20" s="2134"/>
      <c r="O20" s="2141"/>
      <c r="P20" s="3411"/>
      <c r="Q20" s="1572"/>
      <c r="R20" s="1573"/>
      <c r="S20" s="1574"/>
      <c r="T20" s="1573"/>
      <c r="U20" s="1574"/>
      <c r="V20" s="1573"/>
      <c r="W20" s="1574"/>
      <c r="X20" s="1567"/>
      <c r="Y20" s="3411"/>
      <c r="Z20" s="1575"/>
      <c r="AA20" s="1576">
        <v>1</v>
      </c>
      <c r="AB20" s="1576">
        <v>1</v>
      </c>
      <c r="AC20" s="1576">
        <v>1</v>
      </c>
    </row>
    <row r="21" spans="1:29" ht="42.75">
      <c r="A21" s="532"/>
      <c r="B21" s="2572" t="s">
        <v>2559</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411"/>
      <c r="Q21" s="2558" t="str">
        <f>B21</f>
        <v>基础设施水平</v>
      </c>
      <c r="R21" s="1573" t="s">
        <v>8</v>
      </c>
      <c r="S21" s="1574">
        <f>F21</f>
        <v>100</v>
      </c>
      <c r="T21" s="1573" t="s">
        <v>8</v>
      </c>
      <c r="U21" s="1574">
        <f>H21</f>
        <v>100</v>
      </c>
      <c r="V21" s="1573" t="s">
        <v>8</v>
      </c>
      <c r="W21" s="1574">
        <f>J21</f>
        <v>100</v>
      </c>
      <c r="X21" s="2560"/>
      <c r="Y21" s="3411"/>
      <c r="Z21" s="2559"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1"/>
      <c r="L22" s="2142"/>
      <c r="M22" s="2134"/>
      <c r="N22" s="2134"/>
      <c r="O22" s="2141"/>
      <c r="P22" s="3411"/>
      <c r="Q22" s="2558"/>
      <c r="R22" s="1573"/>
      <c r="S22" s="1574"/>
      <c r="T22" s="1573"/>
      <c r="U22" s="1574"/>
      <c r="V22" s="1573"/>
      <c r="W22" s="1574"/>
      <c r="X22" s="2560"/>
      <c r="Y22" s="3411"/>
      <c r="Z22" s="2559"/>
      <c r="AA22" s="1576">
        <v>1</v>
      </c>
      <c r="AB22" s="1576">
        <v>1</v>
      </c>
      <c r="AC22" s="1576">
        <v>1</v>
      </c>
    </row>
    <row r="23" spans="1:29" ht="85.5">
      <c r="A23" s="532"/>
      <c r="B23" s="871" t="s">
        <v>297</v>
      </c>
      <c r="C23" s="899" t="str">
        <f>估价对象房地状况!C9</f>
        <v>区域自然环境：；人文环境（潮州市行政学院、慧如公园）；综合评价环境状况较好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411"/>
      <c r="Q23" s="1572" t="str">
        <f>B23</f>
        <v>自然及人文环境</v>
      </c>
      <c r="R23" s="1573" t="s">
        <v>8</v>
      </c>
      <c r="S23" s="1574">
        <f>F23</f>
        <v>100</v>
      </c>
      <c r="T23" s="1573" t="s">
        <v>8</v>
      </c>
      <c r="U23" s="1574">
        <f>H23</f>
        <v>100</v>
      </c>
      <c r="V23" s="1573" t="s">
        <v>8</v>
      </c>
      <c r="W23" s="1574">
        <f>J23</f>
        <v>100</v>
      </c>
      <c r="X23" s="1567"/>
      <c r="Y23" s="341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2"/>
      <c r="M24" s="2134"/>
      <c r="N24" s="2134"/>
      <c r="O24" s="2141"/>
      <c r="P24" s="3411"/>
      <c r="Q24" s="1572"/>
      <c r="R24" s="1573"/>
      <c r="S24" s="1574"/>
      <c r="T24" s="1573"/>
      <c r="U24" s="1574"/>
      <c r="V24" s="1573"/>
      <c r="W24" s="1574"/>
      <c r="X24" s="1567"/>
      <c r="Y24" s="3411"/>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1"/>
      <c r="Q25" s="1572" t="str">
        <f t="shared" ref="Q25:Q46" si="11">B25</f>
        <v>临街状况</v>
      </c>
      <c r="R25" s="1573" t="s">
        <v>8</v>
      </c>
      <c r="S25" s="1574">
        <f>F25</f>
        <v>100</v>
      </c>
      <c r="T25" s="1573" t="s">
        <v>8</v>
      </c>
      <c r="U25" s="1574">
        <f>H25</f>
        <v>100</v>
      </c>
      <c r="V25" s="1573" t="s">
        <v>8</v>
      </c>
      <c r="W25" s="1574">
        <f>J25</f>
        <v>100</v>
      </c>
      <c r="X25" s="1567"/>
      <c r="Y25" s="3411"/>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1"/>
      <c r="Q26" s="1572" t="str">
        <f t="shared" si="11"/>
        <v>平面位置/可视性</v>
      </c>
      <c r="R26" s="1573" t="s">
        <v>8</v>
      </c>
      <c r="S26" s="1574">
        <f>F26</f>
        <v>100</v>
      </c>
      <c r="T26" s="1573" t="s">
        <v>8</v>
      </c>
      <c r="U26" s="1574">
        <f>H26</f>
        <v>100</v>
      </c>
      <c r="V26" s="1573" t="s">
        <v>8</v>
      </c>
      <c r="W26" s="1574">
        <f>J26</f>
        <v>100</v>
      </c>
      <c r="X26" s="1567"/>
      <c r="Y26" s="3411"/>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11"/>
      <c r="Q27" s="1150" t="str">
        <f t="shared" si="11"/>
        <v>人流量</v>
      </c>
      <c r="R27" s="1568" t="s">
        <v>8</v>
      </c>
      <c r="S27" s="1569">
        <f>F27</f>
        <v>100</v>
      </c>
      <c r="T27" s="1568" t="s">
        <v>8</v>
      </c>
      <c r="U27" s="1569">
        <f>H27</f>
        <v>100</v>
      </c>
      <c r="V27" s="1568" t="s">
        <v>8</v>
      </c>
      <c r="W27" s="1569">
        <f>J27</f>
        <v>100</v>
      </c>
      <c r="X27" s="1570"/>
      <c r="Y27" s="3411"/>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1"/>
      <c r="Q29" s="1572">
        <f t="shared" si="11"/>
        <v>111</v>
      </c>
      <c r="R29" s="1573" t="s">
        <v>8</v>
      </c>
      <c r="S29" s="1574">
        <f t="shared" si="12"/>
        <v>100</v>
      </c>
      <c r="T29" s="1573" t="s">
        <v>8</v>
      </c>
      <c r="U29" s="1574">
        <f t="shared" si="13"/>
        <v>100</v>
      </c>
      <c r="V29" s="1573" t="s">
        <v>8</v>
      </c>
      <c r="W29" s="1574">
        <f t="shared" si="14"/>
        <v>100</v>
      </c>
      <c r="X29" s="1567"/>
      <c r="Y29" s="341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1"/>
      <c r="Q30" s="1572">
        <f t="shared" si="11"/>
        <v>111</v>
      </c>
      <c r="R30" s="1573" t="s">
        <v>8</v>
      </c>
      <c r="S30" s="1574">
        <f t="shared" si="12"/>
        <v>100</v>
      </c>
      <c r="T30" s="1573" t="s">
        <v>8</v>
      </c>
      <c r="U30" s="1574">
        <f t="shared" si="13"/>
        <v>100</v>
      </c>
      <c r="V30" s="1573" t="s">
        <v>8</v>
      </c>
      <c r="W30" s="1574">
        <f t="shared" si="14"/>
        <v>100</v>
      </c>
      <c r="X30" s="1567"/>
      <c r="Y30" s="341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1"/>
      <c r="Q31" s="1572">
        <f t="shared" si="11"/>
        <v>111</v>
      </c>
      <c r="R31" s="1573" t="s">
        <v>8</v>
      </c>
      <c r="S31" s="1574">
        <f t="shared" si="12"/>
        <v>100</v>
      </c>
      <c r="T31" s="1573" t="s">
        <v>8</v>
      </c>
      <c r="U31" s="1574">
        <f t="shared" si="13"/>
        <v>100</v>
      </c>
      <c r="V31" s="1573" t="s">
        <v>8</v>
      </c>
      <c r="W31" s="1574">
        <f t="shared" si="14"/>
        <v>100</v>
      </c>
      <c r="X31" s="1567"/>
      <c r="Y31" s="3411"/>
      <c r="Z31" s="1575">
        <f t="shared" si="15"/>
        <v>111</v>
      </c>
      <c r="AA31" s="1576">
        <f t="shared" si="3"/>
        <v>1</v>
      </c>
      <c r="AB31" s="1576">
        <f t="shared" si="4"/>
        <v>1</v>
      </c>
      <c r="AC31" s="1576">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2" t="s">
        <v>550</v>
      </c>
      <c r="Q32" s="1572" t="str">
        <f t="shared" si="11"/>
        <v>商业类型</v>
      </c>
      <c r="R32" s="1573" t="s">
        <v>8</v>
      </c>
      <c r="S32" s="1574">
        <f t="shared" si="12"/>
        <v>100</v>
      </c>
      <c r="T32" s="1573" t="s">
        <v>8</v>
      </c>
      <c r="U32" s="1574">
        <f t="shared" si="13"/>
        <v>100</v>
      </c>
      <c r="V32" s="1573" t="s">
        <v>8</v>
      </c>
      <c r="W32" s="1574">
        <f t="shared" si="14"/>
        <v>100</v>
      </c>
      <c r="X32" s="1567"/>
      <c r="Y32" s="3413"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3"/>
      <c r="Q33" s="1605" t="str">
        <f t="shared" si="11"/>
        <v>项目建筑规模</v>
      </c>
      <c r="R33" s="1577" t="s">
        <v>8</v>
      </c>
      <c r="S33" s="1578" t="e">
        <f t="shared" si="12"/>
        <v>#N/A</v>
      </c>
      <c r="T33" s="1577" t="s">
        <v>8</v>
      </c>
      <c r="U33" s="1578" t="e">
        <f t="shared" si="13"/>
        <v>#N/A</v>
      </c>
      <c r="V33" s="1577" t="s">
        <v>8</v>
      </c>
      <c r="W33" s="1578" t="e">
        <f t="shared" si="14"/>
        <v>#N/A</v>
      </c>
      <c r="X33" s="1579"/>
      <c r="Y33" s="3413"/>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413"/>
      <c r="Q34" s="1572" t="str">
        <f t="shared" si="11"/>
        <v>建筑结构</v>
      </c>
      <c r="R34" s="1573" t="s">
        <v>8</v>
      </c>
      <c r="S34" s="1574">
        <f t="shared" si="12"/>
        <v>100</v>
      </c>
      <c r="T34" s="1573" t="s">
        <v>8</v>
      </c>
      <c r="U34" s="1574">
        <f t="shared" si="13"/>
        <v>100</v>
      </c>
      <c r="V34" s="1573" t="s">
        <v>8</v>
      </c>
      <c r="W34" s="1574">
        <f t="shared" si="14"/>
        <v>100</v>
      </c>
      <c r="X34" s="1567"/>
      <c r="Y34" s="3413"/>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3"/>
      <c r="Q35" s="1572" t="str">
        <f t="shared" si="11"/>
        <v>公共部分装修</v>
      </c>
      <c r="R35" s="1573" t="s">
        <v>8</v>
      </c>
      <c r="S35" s="1574">
        <f t="shared" si="12"/>
        <v>100</v>
      </c>
      <c r="T35" s="1573" t="s">
        <v>8</v>
      </c>
      <c r="U35" s="1574">
        <f t="shared" si="13"/>
        <v>100</v>
      </c>
      <c r="V35" s="1573" t="s">
        <v>8</v>
      </c>
      <c r="W35" s="1574">
        <f t="shared" si="14"/>
        <v>100</v>
      </c>
      <c r="X35" s="1567"/>
      <c r="Y35" s="3413"/>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413"/>
      <c r="Q36" s="1572" t="str">
        <f t="shared" si="11"/>
        <v>成新度</v>
      </c>
      <c r="R36" s="1573" t="s">
        <v>8</v>
      </c>
      <c r="S36" s="1574" t="e">
        <f t="shared" si="12"/>
        <v>#N/A</v>
      </c>
      <c r="T36" s="1573" t="s">
        <v>8</v>
      </c>
      <c r="U36" s="1574" t="e">
        <f t="shared" si="13"/>
        <v>#N/A</v>
      </c>
      <c r="V36" s="1573" t="s">
        <v>8</v>
      </c>
      <c r="W36" s="1574" t="e">
        <f t="shared" si="14"/>
        <v>#N/A</v>
      </c>
      <c r="X36" s="1567"/>
      <c r="Y36" s="3413"/>
      <c r="Z36" s="1575" t="str">
        <f t="shared" si="15"/>
        <v>成新度</v>
      </c>
      <c r="AA36" s="1576" t="e">
        <f t="shared" si="3"/>
        <v>#N/A</v>
      </c>
      <c r="AB36" s="1576" t="e">
        <f t="shared" si="4"/>
        <v>#N/A</v>
      </c>
      <c r="AC36" s="1576" t="e">
        <f t="shared" si="5"/>
        <v>#N/A</v>
      </c>
    </row>
    <row r="37" spans="1:29" s="1219"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3"/>
      <c r="Q37" s="1150" t="str">
        <f t="shared" si="11"/>
        <v>市政基础设施</v>
      </c>
      <c r="R37" s="1568" t="s">
        <v>8</v>
      </c>
      <c r="S37" s="1569">
        <f t="shared" si="12"/>
        <v>100</v>
      </c>
      <c r="T37" s="1568" t="s">
        <v>8</v>
      </c>
      <c r="U37" s="1569">
        <f t="shared" si="13"/>
        <v>100</v>
      </c>
      <c r="V37" s="1568" t="s">
        <v>8</v>
      </c>
      <c r="W37" s="1569">
        <f t="shared" si="14"/>
        <v>100</v>
      </c>
      <c r="X37" s="1570"/>
      <c r="Y37" s="3413"/>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3" t="s">
        <v>766</v>
      </c>
      <c r="Q38" s="1572" t="str">
        <f t="shared" si="11"/>
        <v>业态</v>
      </c>
      <c r="R38" s="1573" t="s">
        <v>8</v>
      </c>
      <c r="S38" s="1574">
        <f t="shared" si="12"/>
        <v>100</v>
      </c>
      <c r="T38" s="1573" t="s">
        <v>8</v>
      </c>
      <c r="U38" s="1574">
        <f t="shared" si="13"/>
        <v>100</v>
      </c>
      <c r="V38" s="1573" t="s">
        <v>8</v>
      </c>
      <c r="W38" s="1574">
        <f t="shared" si="14"/>
        <v>100</v>
      </c>
      <c r="X38" s="1567"/>
      <c r="Y38" s="3413"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c r="Q39" s="1572" t="str">
        <f t="shared" si="11"/>
        <v>层高</v>
      </c>
      <c r="R39" s="1573" t="s">
        <v>8</v>
      </c>
      <c r="S39" s="1574">
        <f t="shared" si="12"/>
        <v>100</v>
      </c>
      <c r="T39" s="1573" t="s">
        <v>8</v>
      </c>
      <c r="U39" s="1574">
        <f t="shared" si="13"/>
        <v>100</v>
      </c>
      <c r="V39" s="1573" t="s">
        <v>8</v>
      </c>
      <c r="W39" s="1574">
        <f t="shared" si="14"/>
        <v>100</v>
      </c>
      <c r="X39" s="1567"/>
      <c r="Y39" s="3413"/>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13"/>
      <c r="Q40" s="1572" t="str">
        <f t="shared" si="11"/>
        <v>单套建筑面积</v>
      </c>
      <c r="R40" s="1573" t="s">
        <v>8</v>
      </c>
      <c r="S40" s="1574">
        <f t="shared" si="12"/>
        <v>100</v>
      </c>
      <c r="T40" s="1573" t="s">
        <v>8</v>
      </c>
      <c r="U40" s="1574">
        <f t="shared" si="13"/>
        <v>100</v>
      </c>
      <c r="V40" s="1573" t="s">
        <v>8</v>
      </c>
      <c r="W40" s="1574">
        <f t="shared" si="14"/>
        <v>100</v>
      </c>
      <c r="X40" s="1567"/>
      <c r="Y40" s="3413"/>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3"/>
      <c r="Q41" s="1605" t="str">
        <f t="shared" si="11"/>
        <v>进深比</v>
      </c>
      <c r="R41" s="1577" t="s">
        <v>8</v>
      </c>
      <c r="S41" s="1578">
        <f t="shared" si="12"/>
        <v>100</v>
      </c>
      <c r="T41" s="1577" t="s">
        <v>8</v>
      </c>
      <c r="U41" s="1578">
        <f t="shared" si="13"/>
        <v>100</v>
      </c>
      <c r="V41" s="1577" t="s">
        <v>8</v>
      </c>
      <c r="W41" s="1578">
        <f t="shared" si="14"/>
        <v>100</v>
      </c>
      <c r="X41" s="1579"/>
      <c r="Y41" s="3413"/>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3"/>
      <c r="Q42" s="1572" t="str">
        <f t="shared" si="11"/>
        <v>内部装修</v>
      </c>
      <c r="R42" s="1573" t="s">
        <v>8</v>
      </c>
      <c r="S42" s="1574">
        <f t="shared" si="12"/>
        <v>100</v>
      </c>
      <c r="T42" s="1573" t="s">
        <v>8</v>
      </c>
      <c r="U42" s="1574">
        <f t="shared" si="13"/>
        <v>100</v>
      </c>
      <c r="V42" s="1573" t="s">
        <v>8</v>
      </c>
      <c r="W42" s="1574">
        <f t="shared" si="14"/>
        <v>100</v>
      </c>
      <c r="X42" s="1567"/>
      <c r="Y42" s="3413"/>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3"/>
      <c r="Q43" s="1572" t="str">
        <f t="shared" si="11"/>
        <v>内部装修维护情况</v>
      </c>
      <c r="R43" s="1573" t="s">
        <v>8</v>
      </c>
      <c r="S43" s="1574">
        <f t="shared" si="12"/>
        <v>100</v>
      </c>
      <c r="T43" s="1573" t="s">
        <v>8</v>
      </c>
      <c r="U43" s="1574">
        <f t="shared" si="13"/>
        <v>100</v>
      </c>
      <c r="V43" s="1573" t="s">
        <v>8</v>
      </c>
      <c r="W43" s="1574">
        <f t="shared" si="14"/>
        <v>100</v>
      </c>
      <c r="X43" s="1567"/>
      <c r="Y43" s="3413"/>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3"/>
      <c r="Q44" s="1150">
        <f t="shared" si="11"/>
        <v>111</v>
      </c>
      <c r="R44" s="1568" t="s">
        <v>8</v>
      </c>
      <c r="S44" s="1569">
        <f t="shared" si="12"/>
        <v>100</v>
      </c>
      <c r="T44" s="1568" t="s">
        <v>8</v>
      </c>
      <c r="U44" s="1569">
        <f t="shared" si="13"/>
        <v>100</v>
      </c>
      <c r="V44" s="1568" t="s">
        <v>8</v>
      </c>
      <c r="W44" s="1569">
        <f t="shared" si="14"/>
        <v>100</v>
      </c>
      <c r="X44" s="1570"/>
      <c r="Y44" s="3413"/>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3"/>
      <c r="Q45" s="1572">
        <f t="shared" si="11"/>
        <v>111</v>
      </c>
      <c r="R45" s="1573" t="s">
        <v>8</v>
      </c>
      <c r="S45" s="1574">
        <f t="shared" si="12"/>
        <v>100</v>
      </c>
      <c r="T45" s="1573" t="s">
        <v>8</v>
      </c>
      <c r="U45" s="1574">
        <f t="shared" si="13"/>
        <v>100</v>
      </c>
      <c r="V45" s="1573" t="s">
        <v>8</v>
      </c>
      <c r="W45" s="1574">
        <f t="shared" si="14"/>
        <v>100</v>
      </c>
      <c r="X45" s="1567"/>
      <c r="Y45" s="3413"/>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1"/>
      <c r="Q46" s="1572">
        <f t="shared" si="11"/>
        <v>111</v>
      </c>
      <c r="R46" s="1573" t="s">
        <v>8</v>
      </c>
      <c r="S46" s="1574">
        <f t="shared" si="12"/>
        <v>100</v>
      </c>
      <c r="T46" s="1573" t="s">
        <v>8</v>
      </c>
      <c r="U46" s="1574">
        <f t="shared" si="13"/>
        <v>100</v>
      </c>
      <c r="V46" s="1573" t="s">
        <v>8</v>
      </c>
      <c r="W46" s="1574">
        <f t="shared" si="14"/>
        <v>100</v>
      </c>
      <c r="X46" s="1567"/>
      <c r="Y46" s="3491"/>
      <c r="Z46" s="1575">
        <f t="shared" si="15"/>
        <v>111</v>
      </c>
      <c r="AA46" s="1576">
        <f t="shared" si="3"/>
        <v>1</v>
      </c>
      <c r="AB46" s="1576">
        <f t="shared" si="4"/>
        <v>1</v>
      </c>
      <c r="AC46" s="1576">
        <f t="shared" si="5"/>
        <v>1</v>
      </c>
    </row>
    <row r="47" spans="1:29" ht="15">
      <c r="A47" s="607" t="s">
        <v>736</v>
      </c>
      <c r="B47" s="886"/>
      <c r="C47" s="2606" t="s">
        <v>1</v>
      </c>
      <c r="D47" s="2607"/>
      <c r="E47" s="2608"/>
      <c r="F47" s="2609"/>
      <c r="G47" s="2610"/>
      <c r="H47" s="2611"/>
      <c r="I47" s="2608"/>
      <c r="J47" s="2611"/>
      <c r="K47" s="1611"/>
      <c r="L47" s="2144"/>
      <c r="M47" s="2145"/>
      <c r="N47" s="2134"/>
      <c r="O47" s="2145"/>
      <c r="P47" s="3374" t="str">
        <f>A47</f>
        <v>成交单价（元/平方米）</v>
      </c>
      <c r="Q47" s="3374"/>
      <c r="R47" s="3490">
        <f>E47</f>
        <v>0</v>
      </c>
      <c r="S47" s="3490"/>
      <c r="T47" s="3490">
        <f>G47</f>
        <v>0</v>
      </c>
      <c r="U47" s="3490"/>
      <c r="V47" s="3490">
        <f>I47</f>
        <v>0</v>
      </c>
      <c r="W47" s="3490"/>
      <c r="X47" s="1559"/>
      <c r="Y47" s="1581"/>
      <c r="Z47" s="1559"/>
      <c r="AA47" s="1559"/>
      <c r="AB47" s="1559"/>
      <c r="AC47" s="1559"/>
    </row>
    <row r="48" spans="1:29" ht="15.75" thickBot="1">
      <c r="A48" s="615" t="s">
        <v>2761</v>
      </c>
      <c r="B48" s="887"/>
      <c r="C48" s="2612" t="e">
        <f>R49</f>
        <v>#DIV/0!</v>
      </c>
      <c r="D48" s="2613"/>
      <c r="E48" s="2614" t="e">
        <f>R48</f>
        <v>#DIV/0!</v>
      </c>
      <c r="F48" s="2614"/>
      <c r="G48" s="2612" t="e">
        <f>T48</f>
        <v>#DIV/0!</v>
      </c>
      <c r="H48" s="2613"/>
      <c r="I48" s="2614" t="e">
        <f>V48</f>
        <v>#DIV/0!</v>
      </c>
      <c r="J48" s="2613"/>
      <c r="K48" s="1612"/>
      <c r="L48" s="2144"/>
      <c r="M48" s="2145"/>
      <c r="N48" s="2134"/>
      <c r="O48" s="2145"/>
      <c r="P48" s="3374" t="str">
        <f>A48</f>
        <v>比较价格（元/平方米）</v>
      </c>
      <c r="Q48" s="3374"/>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9"/>
      <c r="Y48" s="1559"/>
      <c r="Z48" s="1559"/>
      <c r="AA48" s="1559"/>
      <c r="AB48" s="1559"/>
      <c r="AC48" s="1559"/>
    </row>
    <row r="49" spans="1:29" ht="15.75" thickBot="1">
      <c r="A49" s="621" t="s">
        <v>2935</v>
      </c>
      <c r="B49" s="622"/>
      <c r="C49" s="2615" t="e">
        <f>R49</f>
        <v>#DIV/0!</v>
      </c>
      <c r="D49" s="2615"/>
      <c r="E49" s="2615"/>
      <c r="F49" s="2615"/>
      <c r="G49" s="2615"/>
      <c r="H49" s="2615"/>
      <c r="I49" s="2615"/>
      <c r="J49" s="2615"/>
      <c r="K49" s="1613"/>
      <c r="L49" s="2144"/>
      <c r="M49" s="2145"/>
      <c r="N49" s="2134"/>
      <c r="O49" s="2145"/>
      <c r="P49" s="3371" t="str">
        <f>A49</f>
        <v>估价对象XX用房的比较价格（楼面单价，元/平方米）</v>
      </c>
      <c r="Q49" s="3372"/>
      <c r="R49" s="3489" t="e">
        <f>IF(F1="售价",ROUND(AVERAGE(R48:V48),0),ROUND(AVERAGE(R48:V48),1))</f>
        <v>#DIV/0!</v>
      </c>
      <c r="S49" s="3489"/>
      <c r="T49" s="3489"/>
      <c r="U49" s="3489"/>
      <c r="V49" s="3489"/>
      <c r="W49" s="348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1" t="str">
        <f>YEAR(C7)&amp;"-"&amp;MONTH(C7)</f>
        <v>2018-12</v>
      </c>
      <c r="D58" s="2783">
        <f>EDATE(C58,-1)</f>
        <v>43405</v>
      </c>
      <c r="E58" s="2783">
        <f t="shared" ref="E58:O58" si="16">EDATE(D58,-1)</f>
        <v>43374</v>
      </c>
      <c r="F58" s="2783">
        <f t="shared" si="16"/>
        <v>43344</v>
      </c>
      <c r="G58" s="2783">
        <f t="shared" si="16"/>
        <v>43313</v>
      </c>
      <c r="H58" s="2783">
        <f t="shared" si="16"/>
        <v>43282</v>
      </c>
      <c r="I58" s="2783">
        <f t="shared" si="16"/>
        <v>43252</v>
      </c>
      <c r="J58" s="2783">
        <f t="shared" si="16"/>
        <v>43221</v>
      </c>
      <c r="K58" s="2783">
        <f t="shared" si="16"/>
        <v>43191</v>
      </c>
      <c r="L58" s="2783">
        <f t="shared" si="16"/>
        <v>43160</v>
      </c>
      <c r="M58" s="2783">
        <f t="shared" si="16"/>
        <v>43132</v>
      </c>
      <c r="N58" s="2783">
        <f t="shared" si="16"/>
        <v>43101</v>
      </c>
      <c r="O58" s="2783">
        <f t="shared" si="16"/>
        <v>43070</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6"/>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80" t="s">
        <v>522</v>
      </c>
      <c r="D4" s="3381"/>
      <c r="E4" s="3417" t="s">
        <v>523</v>
      </c>
      <c r="F4" s="3418"/>
      <c r="G4" s="3380" t="s">
        <v>524</v>
      </c>
      <c r="H4" s="3381"/>
      <c r="I4" s="3380" t="s">
        <v>525</v>
      </c>
      <c r="J4" s="3381"/>
      <c r="K4" s="514" t="s">
        <v>526</v>
      </c>
      <c r="L4" s="2133"/>
      <c r="M4" s="2134"/>
      <c r="N4" s="2134"/>
      <c r="O4" s="2134"/>
      <c r="P4" s="3496" t="s">
        <v>527</v>
      </c>
      <c r="Q4" s="3383"/>
      <c r="R4" s="3388" t="s">
        <v>523</v>
      </c>
      <c r="S4" s="3389"/>
      <c r="T4" s="3388" t="s">
        <v>524</v>
      </c>
      <c r="U4" s="3389"/>
      <c r="V4" s="3375" t="s">
        <v>525</v>
      </c>
      <c r="W4" s="3375"/>
      <c r="X4" s="1567"/>
      <c r="Y4" s="3388" t="s">
        <v>527</v>
      </c>
      <c r="Z4" s="3389"/>
      <c r="AA4" s="3377" t="s">
        <v>523</v>
      </c>
      <c r="AB4" s="3377" t="s">
        <v>524</v>
      </c>
      <c r="AC4" s="3377" t="s">
        <v>525</v>
      </c>
    </row>
    <row r="5" spans="1:29" ht="15">
      <c r="A5" s="515"/>
      <c r="B5" s="516"/>
      <c r="C5" s="3414" t="s">
        <v>2929</v>
      </c>
      <c r="D5" s="3397"/>
      <c r="E5" s="3419" t="s">
        <v>2930</v>
      </c>
      <c r="F5" s="3420"/>
      <c r="G5" s="3414" t="s">
        <v>2931</v>
      </c>
      <c r="H5" s="3397"/>
      <c r="I5" s="3414" t="s">
        <v>2932</v>
      </c>
      <c r="J5" s="3397"/>
      <c r="K5" s="514"/>
      <c r="L5" s="2133"/>
      <c r="M5" s="2134"/>
      <c r="N5" s="2134"/>
      <c r="O5" s="2134"/>
      <c r="P5" s="3497"/>
      <c r="Q5" s="3385"/>
      <c r="R5" s="3390"/>
      <c r="S5" s="3391"/>
      <c r="T5" s="3390"/>
      <c r="U5" s="3391"/>
      <c r="V5" s="3375"/>
      <c r="W5" s="3375"/>
      <c r="X5" s="1567"/>
      <c r="Y5" s="3390"/>
      <c r="Z5" s="3391"/>
      <c r="AA5" s="3378"/>
      <c r="AB5" s="3378"/>
      <c r="AC5" s="3378"/>
    </row>
    <row r="6" spans="1:29" ht="15.75" thickBot="1">
      <c r="A6" s="517"/>
      <c r="B6" s="518"/>
      <c r="C6" s="3394" t="s">
        <v>2933</v>
      </c>
      <c r="D6" s="3395"/>
      <c r="E6" s="3415" t="s">
        <v>2933</v>
      </c>
      <c r="F6" s="3416"/>
      <c r="G6" s="3394" t="s">
        <v>2933</v>
      </c>
      <c r="H6" s="3395"/>
      <c r="I6" s="3394" t="s">
        <v>2933</v>
      </c>
      <c r="J6" s="3395"/>
      <c r="K6" s="514" t="s">
        <v>528</v>
      </c>
      <c r="L6" s="2133"/>
      <c r="M6" s="2134"/>
      <c r="N6" s="2134"/>
      <c r="O6" s="2134"/>
      <c r="P6" s="3498"/>
      <c r="Q6" s="3387"/>
      <c r="R6" s="3390"/>
      <c r="S6" s="3391"/>
      <c r="T6" s="3392"/>
      <c r="U6" s="3393"/>
      <c r="V6" s="3375"/>
      <c r="W6" s="3375"/>
      <c r="X6" s="1567"/>
      <c r="Y6" s="3392"/>
      <c r="Z6" s="3393"/>
      <c r="AA6" s="3379"/>
      <c r="AB6" s="3379"/>
      <c r="AC6" s="3379"/>
    </row>
    <row r="7" spans="1:29" s="1219" customFormat="1" ht="15.75" thickBot="1">
      <c r="A7" s="2891"/>
      <c r="B7" s="2898" t="s">
        <v>529</v>
      </c>
      <c r="C7" s="519">
        <f>'数据-取费表'!B2</f>
        <v>43438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9" t="s">
        <v>530</v>
      </c>
      <c r="Q7" s="3409"/>
      <c r="R7" s="1568" t="s">
        <v>8</v>
      </c>
      <c r="S7" s="1569">
        <f t="shared" ref="S7:S15" si="0">F7</f>
        <v>0</v>
      </c>
      <c r="T7" s="1568" t="s">
        <v>8</v>
      </c>
      <c r="U7" s="1569">
        <f t="shared" ref="U7:U15" si="1">H7</f>
        <v>0</v>
      </c>
      <c r="V7" s="1568" t="s">
        <v>8</v>
      </c>
      <c r="W7" s="1569">
        <f t="shared" ref="W7:W15" si="2">J7</f>
        <v>0</v>
      </c>
      <c r="X7" s="1570"/>
      <c r="Y7" s="3407" t="s">
        <v>530</v>
      </c>
      <c r="Z7" s="3408"/>
      <c r="AA7" s="1571" t="e">
        <f>D7/F7</f>
        <v>#DIV/0!</v>
      </c>
      <c r="AB7" s="1571" t="e">
        <f>D7/H7</f>
        <v>#DIV/0!</v>
      </c>
      <c r="AC7" s="1571" t="e">
        <f>D7/J7</f>
        <v>#DIV/0!</v>
      </c>
    </row>
    <row r="8" spans="1:29" s="1219"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9" t="s">
        <v>533</v>
      </c>
      <c r="Q8" s="3408"/>
      <c r="R8" s="1568" t="s">
        <v>8</v>
      </c>
      <c r="S8" s="1569">
        <f t="shared" si="0"/>
        <v>0</v>
      </c>
      <c r="T8" s="1568" t="s">
        <v>8</v>
      </c>
      <c r="U8" s="1569">
        <f t="shared" si="1"/>
        <v>0</v>
      </c>
      <c r="V8" s="1568" t="s">
        <v>8</v>
      </c>
      <c r="W8" s="1569">
        <f t="shared" si="2"/>
        <v>0</v>
      </c>
      <c r="X8" s="1570"/>
      <c r="Y8" s="3407" t="s">
        <v>533</v>
      </c>
      <c r="Z8" s="3408"/>
      <c r="AA8" s="1571" t="e">
        <f t="shared" ref="AA8:AA47" si="3">D8/F8</f>
        <v>#DIV/0!</v>
      </c>
      <c r="AB8" s="1571" t="e">
        <f t="shared" ref="AB8:AB47" si="4">D8/H8</f>
        <v>#DIV/0!</v>
      </c>
      <c r="AC8" s="1571" t="e">
        <f t="shared" ref="AC8:AC47" si="5">D8/J8</f>
        <v>#DIV/0!</v>
      </c>
    </row>
    <row r="9" spans="1:29" s="1219"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4" t="s">
        <v>535</v>
      </c>
      <c r="Q9" s="1150" t="str">
        <f t="shared" ref="Q9:Q15" si="6">B9</f>
        <v>用途</v>
      </c>
      <c r="R9" s="1568" t="s">
        <v>8</v>
      </c>
      <c r="S9" s="1569">
        <f t="shared" si="0"/>
        <v>100</v>
      </c>
      <c r="T9" s="1568" t="s">
        <v>8</v>
      </c>
      <c r="U9" s="1569">
        <f t="shared" si="1"/>
        <v>100</v>
      </c>
      <c r="V9" s="1568" t="s">
        <v>8</v>
      </c>
      <c r="W9" s="1569">
        <f t="shared" si="2"/>
        <v>100</v>
      </c>
      <c r="X9" s="1570"/>
      <c r="Y9" s="3320" t="s">
        <v>536</v>
      </c>
      <c r="Z9" s="1149" t="str">
        <f t="shared" ref="Z9:Z15" si="7">Q9</f>
        <v>用途</v>
      </c>
      <c r="AA9" s="1571">
        <f t="shared" si="3"/>
        <v>1</v>
      </c>
      <c r="AB9" s="1571">
        <f t="shared" si="4"/>
        <v>1</v>
      </c>
      <c r="AC9" s="1571">
        <f t="shared" si="5"/>
        <v>1</v>
      </c>
    </row>
    <row r="10" spans="1:29" s="1337"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4"/>
      <c r="Q10" s="1150" t="str">
        <f t="shared" si="6"/>
        <v>土地使用年限（年）</v>
      </c>
      <c r="R10" s="1568" t="s">
        <v>8</v>
      </c>
      <c r="S10" s="1569">
        <f t="shared" si="0"/>
        <v>100</v>
      </c>
      <c r="T10" s="1568" t="s">
        <v>8</v>
      </c>
      <c r="U10" s="1569">
        <f t="shared" si="1"/>
        <v>100</v>
      </c>
      <c r="V10" s="1568" t="s">
        <v>8</v>
      </c>
      <c r="W10" s="1569">
        <f t="shared" si="2"/>
        <v>100</v>
      </c>
      <c r="X10" s="1570"/>
      <c r="Y10" s="3320"/>
      <c r="Z10" s="1149" t="str">
        <f t="shared" si="7"/>
        <v>土地使用年限（年）</v>
      </c>
      <c r="AA10" s="1571">
        <f t="shared" si="3"/>
        <v>1</v>
      </c>
      <c r="AB10" s="1571">
        <f t="shared" si="4"/>
        <v>1</v>
      </c>
      <c r="AC10" s="1571">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4"/>
      <c r="Q11" s="1150" t="str">
        <f t="shared" si="6"/>
        <v>容积率</v>
      </c>
      <c r="R11" s="1568" t="s">
        <v>8</v>
      </c>
      <c r="S11" s="1569" t="e">
        <f t="shared" si="0"/>
        <v>#N/A</v>
      </c>
      <c r="T11" s="1568" t="s">
        <v>8</v>
      </c>
      <c r="U11" s="1569" t="e">
        <f t="shared" si="1"/>
        <v>#N/A</v>
      </c>
      <c r="V11" s="1568" t="s">
        <v>8</v>
      </c>
      <c r="W11" s="1569" t="e">
        <f t="shared" si="2"/>
        <v>#N/A</v>
      </c>
      <c r="X11" s="1570"/>
      <c r="Y11" s="3320"/>
      <c r="Z11" s="1149" t="str">
        <f t="shared" si="7"/>
        <v>容积率</v>
      </c>
      <c r="AA11" s="1571" t="e">
        <f t="shared" si="3"/>
        <v>#N/A</v>
      </c>
      <c r="AB11" s="1571" t="e">
        <f t="shared" si="4"/>
        <v>#N/A</v>
      </c>
      <c r="AC11" s="1571" t="e">
        <f t="shared" si="5"/>
        <v>#N/A</v>
      </c>
    </row>
    <row r="12" spans="1:29" s="1219" customFormat="1" ht="15">
      <c r="A12" s="2896"/>
      <c r="B12" s="2902">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74"/>
      <c r="Q12" s="1150">
        <f t="shared" si="6"/>
        <v>111</v>
      </c>
      <c r="R12" s="1568" t="s">
        <v>8</v>
      </c>
      <c r="S12" s="1569">
        <f t="shared" si="0"/>
        <v>100</v>
      </c>
      <c r="T12" s="1568" t="s">
        <v>8</v>
      </c>
      <c r="U12" s="1569">
        <f t="shared" si="1"/>
        <v>100</v>
      </c>
      <c r="V12" s="1568" t="s">
        <v>8</v>
      </c>
      <c r="W12" s="1569">
        <f t="shared" si="2"/>
        <v>100</v>
      </c>
      <c r="X12" s="1570"/>
      <c r="Y12" s="3320"/>
      <c r="Z12" s="1149">
        <f t="shared" si="7"/>
        <v>111</v>
      </c>
      <c r="AA12" s="1571">
        <f>D12/F12</f>
        <v>1</v>
      </c>
      <c r="AB12" s="1571">
        <f>D12/H12</f>
        <v>1</v>
      </c>
      <c r="AC12" s="1571">
        <f>D12/J12</f>
        <v>1</v>
      </c>
    </row>
    <row r="13" spans="1:29" ht="15">
      <c r="A13" s="2896"/>
      <c r="B13" s="2902">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74"/>
      <c r="Q13" s="1150">
        <f t="shared" si="6"/>
        <v>111</v>
      </c>
      <c r="R13" s="1568" t="s">
        <v>8</v>
      </c>
      <c r="S13" s="1569">
        <f t="shared" si="0"/>
        <v>100</v>
      </c>
      <c r="T13" s="1568" t="s">
        <v>8</v>
      </c>
      <c r="U13" s="1569">
        <f t="shared" si="1"/>
        <v>100</v>
      </c>
      <c r="V13" s="1568" t="s">
        <v>8</v>
      </c>
      <c r="W13" s="1569">
        <f t="shared" si="2"/>
        <v>100</v>
      </c>
      <c r="X13" s="1570"/>
      <c r="Y13" s="3320"/>
      <c r="Z13" s="1149">
        <f t="shared" si="7"/>
        <v>111</v>
      </c>
      <c r="AA13" s="1571">
        <f t="shared" si="3"/>
        <v>1</v>
      </c>
      <c r="AB13" s="1571">
        <f t="shared" si="4"/>
        <v>1</v>
      </c>
      <c r="AC13" s="1571">
        <f t="shared" si="5"/>
        <v>1</v>
      </c>
    </row>
    <row r="14" spans="1:29" ht="15.75" thickBot="1">
      <c r="A14" s="2897"/>
      <c r="B14" s="2903">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74"/>
      <c r="Q14" s="1150">
        <f t="shared" si="6"/>
        <v>111</v>
      </c>
      <c r="R14" s="1568" t="s">
        <v>8</v>
      </c>
      <c r="S14" s="1569">
        <f t="shared" si="0"/>
        <v>100</v>
      </c>
      <c r="T14" s="1568" t="s">
        <v>8</v>
      </c>
      <c r="U14" s="1569">
        <f t="shared" si="1"/>
        <v>100</v>
      </c>
      <c r="V14" s="1568" t="s">
        <v>8</v>
      </c>
      <c r="W14" s="1569">
        <f t="shared" si="2"/>
        <v>100</v>
      </c>
      <c r="X14" s="1570"/>
      <c r="Y14" s="3320"/>
      <c r="Z14" s="1149">
        <f t="shared" si="7"/>
        <v>111</v>
      </c>
      <c r="AA14" s="1571">
        <f t="shared" si="3"/>
        <v>1</v>
      </c>
      <c r="AB14" s="1571">
        <f t="shared" si="4"/>
        <v>1</v>
      </c>
      <c r="AC14" s="1571">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10" t="s">
        <v>540</v>
      </c>
      <c r="Q15" s="1572" t="str">
        <f t="shared" si="6"/>
        <v>办公集聚程度</v>
      </c>
      <c r="R15" s="1573" t="s">
        <v>8</v>
      </c>
      <c r="S15" s="1574">
        <f t="shared" si="0"/>
        <v>100</v>
      </c>
      <c r="T15" s="1573" t="s">
        <v>8</v>
      </c>
      <c r="U15" s="1574">
        <f t="shared" si="1"/>
        <v>100</v>
      </c>
      <c r="V15" s="1573" t="s">
        <v>8</v>
      </c>
      <c r="W15" s="1574">
        <f t="shared" si="2"/>
        <v>100</v>
      </c>
      <c r="X15" s="1567"/>
      <c r="Y15" s="3410"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2"/>
      <c r="M16" s="2134"/>
      <c r="N16" s="2134"/>
      <c r="O16" s="2134"/>
      <c r="P16" s="3411"/>
      <c r="Q16" s="1572"/>
      <c r="R16" s="1573"/>
      <c r="S16" s="1574"/>
      <c r="T16" s="1573"/>
      <c r="U16" s="1574"/>
      <c r="V16" s="1573"/>
      <c r="W16" s="1574"/>
      <c r="X16" s="1567"/>
      <c r="Y16" s="3411"/>
      <c r="Z16" s="1575"/>
      <c r="AA16" s="1576">
        <v>1</v>
      </c>
      <c r="AB16" s="1576">
        <v>1</v>
      </c>
      <c r="AC16" s="1576">
        <v>1</v>
      </c>
    </row>
    <row r="17" spans="1:29" ht="114">
      <c r="A17" s="532"/>
      <c r="B17" s="560" t="s">
        <v>296</v>
      </c>
      <c r="C17" s="573" t="str">
        <f>估价对象房地状况!C6</f>
        <v>估价对象有主干道东山路和次干道金马大道、有12、13、108等公交车经停、停车便捷程度较好，综合评价交通便捷度较好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11"/>
      <c r="Q17" s="1572" t="str">
        <f>B17</f>
        <v>交通便捷度</v>
      </c>
      <c r="R17" s="1573" t="s">
        <v>8</v>
      </c>
      <c r="S17" s="1574">
        <f>F17</f>
        <v>100</v>
      </c>
      <c r="T17" s="1573" t="s">
        <v>8</v>
      </c>
      <c r="U17" s="1574">
        <f>H17</f>
        <v>100</v>
      </c>
      <c r="V17" s="1573" t="s">
        <v>8</v>
      </c>
      <c r="W17" s="1574">
        <f>J17</f>
        <v>100</v>
      </c>
      <c r="X17" s="1567"/>
      <c r="Y17" s="3411"/>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2"/>
      <c r="M18" s="2134"/>
      <c r="N18" s="2134"/>
      <c r="O18" s="2134"/>
      <c r="P18" s="3411"/>
      <c r="Q18" s="1572"/>
      <c r="R18" s="1573"/>
      <c r="S18" s="1574"/>
      <c r="T18" s="1573"/>
      <c r="U18" s="1574"/>
      <c r="V18" s="1573"/>
      <c r="W18" s="1574"/>
      <c r="X18" s="1567"/>
      <c r="Y18" s="3411"/>
      <c r="Z18" s="1575"/>
      <c r="AA18" s="1576">
        <v>1</v>
      </c>
      <c r="AB18" s="1576">
        <v>1</v>
      </c>
      <c r="AC18" s="1576">
        <v>1</v>
      </c>
    </row>
    <row r="19" spans="1:29" ht="85.5">
      <c r="A19" s="532"/>
      <c r="B19" s="2582" t="s">
        <v>2547</v>
      </c>
      <c r="C19" s="573" t="str">
        <f>估价对象房地状况!C7</f>
        <v>估价对象所在区域公共配套设施齐备较齐全（有金山中学、中国银行、韩溪眼科医院）</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11"/>
      <c r="Q19" s="1572" t="str">
        <f>B19</f>
        <v>公共配套设施</v>
      </c>
      <c r="R19" s="1573" t="s">
        <v>8</v>
      </c>
      <c r="S19" s="1574">
        <f>F19</f>
        <v>100</v>
      </c>
      <c r="T19" s="1573" t="s">
        <v>8</v>
      </c>
      <c r="U19" s="1574">
        <f>H19</f>
        <v>100</v>
      </c>
      <c r="V19" s="1573" t="s">
        <v>8</v>
      </c>
      <c r="W19" s="1574">
        <f>J19</f>
        <v>100</v>
      </c>
      <c r="X19" s="1567"/>
      <c r="Y19" s="341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2"/>
      <c r="M20" s="2134"/>
      <c r="N20" s="2134"/>
      <c r="O20" s="2134"/>
      <c r="P20" s="3411"/>
      <c r="Q20" s="1572"/>
      <c r="R20" s="1573"/>
      <c r="S20" s="1574"/>
      <c r="T20" s="1573"/>
      <c r="U20" s="1574"/>
      <c r="V20" s="1573"/>
      <c r="W20" s="1574"/>
      <c r="X20" s="1567"/>
      <c r="Y20" s="3411"/>
      <c r="Z20" s="1575"/>
      <c r="AA20" s="1576">
        <v>1</v>
      </c>
      <c r="AB20" s="1576">
        <v>1</v>
      </c>
      <c r="AC20" s="1576">
        <v>1</v>
      </c>
    </row>
    <row r="21" spans="1:29" ht="42.75">
      <c r="A21" s="532"/>
      <c r="B21" s="2570" t="s">
        <v>2559</v>
      </c>
      <c r="C21" s="573" t="str">
        <f>估价对象房地状况!C8</f>
        <v>估价对象所在区域基础设施水平较高</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11"/>
      <c r="Q21" s="2558" t="str">
        <f>B21</f>
        <v>基础设施水平</v>
      </c>
      <c r="R21" s="1573" t="s">
        <v>8</v>
      </c>
      <c r="S21" s="1574">
        <f>F21</f>
        <v>100</v>
      </c>
      <c r="T21" s="1573" t="s">
        <v>8</v>
      </c>
      <c r="U21" s="1574">
        <f>H21</f>
        <v>100</v>
      </c>
      <c r="V21" s="1573" t="s">
        <v>8</v>
      </c>
      <c r="W21" s="1574">
        <f>J21</f>
        <v>100</v>
      </c>
      <c r="X21" s="2560"/>
      <c r="Y21" s="3411"/>
      <c r="Z21" s="255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1"/>
      <c r="L22" s="2142"/>
      <c r="M22" s="2134"/>
      <c r="N22" s="2134"/>
      <c r="O22" s="2134"/>
      <c r="P22" s="3411"/>
      <c r="Q22" s="2558"/>
      <c r="R22" s="1573"/>
      <c r="S22" s="1574"/>
      <c r="T22" s="1573"/>
      <c r="U22" s="1574"/>
      <c r="V22" s="1573"/>
      <c r="W22" s="1574"/>
      <c r="X22" s="2560"/>
      <c r="Y22" s="3411"/>
      <c r="Z22" s="2559"/>
      <c r="AA22" s="1576">
        <v>1</v>
      </c>
      <c r="AB22" s="1576">
        <v>1</v>
      </c>
      <c r="AC22" s="1576">
        <v>1</v>
      </c>
    </row>
    <row r="23" spans="1:29" ht="85.5">
      <c r="A23" s="532"/>
      <c r="B23" s="560" t="s">
        <v>778</v>
      </c>
      <c r="C23" s="573" t="str">
        <f>估价对象房地状况!C9</f>
        <v>区域自然环境：；人文环境（潮州市行政学院、慧如公园）；综合评价环境状况较好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11"/>
      <c r="Q23" s="1572" t="str">
        <f>B23</f>
        <v>环境质量</v>
      </c>
      <c r="R23" s="1573" t="s">
        <v>8</v>
      </c>
      <c r="S23" s="1574">
        <f>F23</f>
        <v>100</v>
      </c>
      <c r="T23" s="1573" t="s">
        <v>8</v>
      </c>
      <c r="U23" s="1574">
        <f>H23</f>
        <v>100</v>
      </c>
      <c r="V23" s="1573" t="s">
        <v>8</v>
      </c>
      <c r="W23" s="1574">
        <f>J23</f>
        <v>100</v>
      </c>
      <c r="X23" s="1567"/>
      <c r="Y23" s="341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2"/>
      <c r="M24" s="2134"/>
      <c r="N24" s="2134"/>
      <c r="O24" s="2134"/>
      <c r="P24" s="3411"/>
      <c r="Q24" s="1572"/>
      <c r="R24" s="1573"/>
      <c r="S24" s="1574"/>
      <c r="T24" s="1573"/>
      <c r="U24" s="1574"/>
      <c r="V24" s="1573"/>
      <c r="W24" s="1574"/>
      <c r="X24" s="1567"/>
      <c r="Y24" s="3411"/>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11"/>
      <c r="Q25" s="1572" t="str">
        <f>B25</f>
        <v>毗邻道路的类型与等级</v>
      </c>
      <c r="R25" s="1573" t="s">
        <v>8</v>
      </c>
      <c r="S25" s="1574">
        <f>F25</f>
        <v>100</v>
      </c>
      <c r="T25" s="1573" t="s">
        <v>8</v>
      </c>
      <c r="U25" s="1574">
        <f>H25</f>
        <v>100</v>
      </c>
      <c r="V25" s="1573" t="s">
        <v>8</v>
      </c>
      <c r="W25" s="1574">
        <f>J25</f>
        <v>100</v>
      </c>
      <c r="X25" s="1567"/>
      <c r="Y25" s="341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2"/>
      <c r="M26" s="2134"/>
      <c r="N26" s="2134"/>
      <c r="O26" s="2134"/>
      <c r="P26" s="3411"/>
      <c r="Q26" s="1572"/>
      <c r="R26" s="1573"/>
      <c r="S26" s="1574"/>
      <c r="T26" s="1573"/>
      <c r="U26" s="1574"/>
      <c r="V26" s="1573"/>
      <c r="W26" s="1574"/>
      <c r="X26" s="1567"/>
      <c r="Y26" s="3411"/>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1"/>
      <c r="Q27" s="1572" t="str">
        <f t="shared" ref="Q27:Q47" si="11">B27</f>
        <v>楼层</v>
      </c>
      <c r="R27" s="1573" t="s">
        <v>8</v>
      </c>
      <c r="S27" s="1574">
        <f>F27</f>
        <v>100</v>
      </c>
      <c r="T27" s="1573" t="s">
        <v>8</v>
      </c>
      <c r="U27" s="1574">
        <f>H27</f>
        <v>100</v>
      </c>
      <c r="V27" s="1573" t="s">
        <v>8</v>
      </c>
      <c r="W27" s="1574">
        <f>J27</f>
        <v>100</v>
      </c>
      <c r="X27" s="1567"/>
      <c r="Y27" s="3411"/>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11"/>
      <c r="Q28" s="1150" t="str">
        <f t="shared" si="11"/>
        <v>朝向</v>
      </c>
      <c r="R28" s="1568" t="s">
        <v>8</v>
      </c>
      <c r="S28" s="1569">
        <f>F28</f>
        <v>100</v>
      </c>
      <c r="T28" s="1568" t="s">
        <v>8</v>
      </c>
      <c r="U28" s="1569">
        <f>H28</f>
        <v>100</v>
      </c>
      <c r="V28" s="1568" t="s">
        <v>8</v>
      </c>
      <c r="W28" s="1569">
        <f>J28</f>
        <v>100</v>
      </c>
      <c r="X28" s="1570"/>
      <c r="Y28" s="3411"/>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411"/>
      <c r="Q29" s="1572">
        <f t="shared" si="11"/>
        <v>111</v>
      </c>
      <c r="R29" s="1573" t="s">
        <v>8</v>
      </c>
      <c r="S29" s="1574">
        <f t="shared" ref="S29:S47" si="12">F29</f>
        <v>100</v>
      </c>
      <c r="T29" s="1573" t="s">
        <v>8</v>
      </c>
      <c r="U29" s="1574">
        <f t="shared" ref="U29:U47" si="13">H29</f>
        <v>100</v>
      </c>
      <c r="V29" s="1573" t="s">
        <v>8</v>
      </c>
      <c r="W29" s="1574">
        <f t="shared" ref="W29:W47" si="14">J29</f>
        <v>100</v>
      </c>
      <c r="X29" s="1567"/>
      <c r="Y29" s="3411"/>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411"/>
      <c r="Q30" s="1572">
        <f t="shared" si="11"/>
        <v>111</v>
      </c>
      <c r="R30" s="1573" t="s">
        <v>8</v>
      </c>
      <c r="S30" s="1574">
        <f t="shared" si="12"/>
        <v>100</v>
      </c>
      <c r="T30" s="1573" t="s">
        <v>8</v>
      </c>
      <c r="U30" s="1574">
        <f t="shared" si="13"/>
        <v>100</v>
      </c>
      <c r="V30" s="1573" t="s">
        <v>8</v>
      </c>
      <c r="W30" s="1574">
        <f t="shared" si="14"/>
        <v>100</v>
      </c>
      <c r="X30" s="1567"/>
      <c r="Y30" s="3411"/>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11"/>
      <c r="Q31" s="1572">
        <f t="shared" si="11"/>
        <v>111</v>
      </c>
      <c r="R31" s="1573" t="s">
        <v>8</v>
      </c>
      <c r="S31" s="1574">
        <f t="shared" si="12"/>
        <v>100</v>
      </c>
      <c r="T31" s="1573" t="s">
        <v>8</v>
      </c>
      <c r="U31" s="1574">
        <f t="shared" si="13"/>
        <v>100</v>
      </c>
      <c r="V31" s="1573" t="s">
        <v>8</v>
      </c>
      <c r="W31" s="1574">
        <f t="shared" si="14"/>
        <v>100</v>
      </c>
      <c r="X31" s="1567"/>
      <c r="Y31" s="3411"/>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11"/>
      <c r="Q32" s="1572">
        <f t="shared" si="11"/>
        <v>111</v>
      </c>
      <c r="R32" s="1573" t="s">
        <v>8</v>
      </c>
      <c r="S32" s="1574">
        <f t="shared" si="12"/>
        <v>100</v>
      </c>
      <c r="T32" s="1573" t="s">
        <v>8</v>
      </c>
      <c r="U32" s="1574">
        <f t="shared" si="13"/>
        <v>100</v>
      </c>
      <c r="V32" s="1573" t="s">
        <v>8</v>
      </c>
      <c r="W32" s="1574">
        <f t="shared" si="14"/>
        <v>100</v>
      </c>
      <c r="X32" s="1567"/>
      <c r="Y32" s="3411"/>
      <c r="Z32" s="1575">
        <f t="shared" si="15"/>
        <v>111</v>
      </c>
      <c r="AA32" s="1576">
        <f t="shared" si="3"/>
        <v>1</v>
      </c>
      <c r="AB32" s="1576">
        <f t="shared" si="4"/>
        <v>1</v>
      </c>
      <c r="AC32" s="1576">
        <f t="shared" si="5"/>
        <v>1</v>
      </c>
    </row>
    <row r="33" spans="1:29" ht="15">
      <c r="A33" s="2886"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12" t="s">
        <v>550</v>
      </c>
      <c r="Q33" s="1572" t="str">
        <f t="shared" si="11"/>
        <v>建筑类型</v>
      </c>
      <c r="R33" s="1573" t="s">
        <v>8</v>
      </c>
      <c r="S33" s="1574">
        <f t="shared" si="12"/>
        <v>100</v>
      </c>
      <c r="T33" s="1573" t="s">
        <v>8</v>
      </c>
      <c r="U33" s="1574">
        <f t="shared" si="13"/>
        <v>100</v>
      </c>
      <c r="V33" s="1573" t="s">
        <v>8</v>
      </c>
      <c r="W33" s="1574">
        <f t="shared" si="14"/>
        <v>100</v>
      </c>
      <c r="X33" s="1567"/>
      <c r="Y33" s="3413"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3"/>
      <c r="Q34" s="1605" t="str">
        <f t="shared" si="11"/>
        <v>项目建筑规模</v>
      </c>
      <c r="R34" s="1577" t="s">
        <v>8</v>
      </c>
      <c r="S34" s="1578" t="e">
        <f t="shared" si="12"/>
        <v>#N/A</v>
      </c>
      <c r="T34" s="1577" t="s">
        <v>8</v>
      </c>
      <c r="U34" s="1578" t="e">
        <f t="shared" si="13"/>
        <v>#N/A</v>
      </c>
      <c r="V34" s="1577" t="s">
        <v>8</v>
      </c>
      <c r="W34" s="1578" t="e">
        <f t="shared" si="14"/>
        <v>#N/A</v>
      </c>
      <c r="X34" s="1579"/>
      <c r="Y34" s="3413"/>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3"/>
      <c r="Q35" s="1572" t="str">
        <f t="shared" si="11"/>
        <v>建筑结构</v>
      </c>
      <c r="R35" s="1573" t="s">
        <v>8</v>
      </c>
      <c r="S35" s="1574">
        <f t="shared" si="12"/>
        <v>100</v>
      </c>
      <c r="T35" s="1573" t="s">
        <v>8</v>
      </c>
      <c r="U35" s="1574">
        <f t="shared" si="13"/>
        <v>100</v>
      </c>
      <c r="V35" s="1573" t="s">
        <v>8</v>
      </c>
      <c r="W35" s="1574">
        <f t="shared" si="14"/>
        <v>100</v>
      </c>
      <c r="X35" s="1567"/>
      <c r="Y35" s="3413"/>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3"/>
      <c r="Q36" s="1572" t="str">
        <f t="shared" si="11"/>
        <v>公共部分装修</v>
      </c>
      <c r="R36" s="1573" t="s">
        <v>8</v>
      </c>
      <c r="S36" s="1574">
        <f t="shared" si="12"/>
        <v>100</v>
      </c>
      <c r="T36" s="1573" t="s">
        <v>8</v>
      </c>
      <c r="U36" s="1574">
        <f t="shared" si="13"/>
        <v>100</v>
      </c>
      <c r="V36" s="1573" t="s">
        <v>8</v>
      </c>
      <c r="W36" s="1574">
        <f t="shared" si="14"/>
        <v>100</v>
      </c>
      <c r="X36" s="1567"/>
      <c r="Y36" s="3413"/>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13"/>
      <c r="Q37" s="1572" t="str">
        <f t="shared" si="11"/>
        <v>成新度</v>
      </c>
      <c r="R37" s="1573" t="s">
        <v>8</v>
      </c>
      <c r="S37" s="1574" t="e">
        <f t="shared" si="12"/>
        <v>#N/A</v>
      </c>
      <c r="T37" s="1573" t="s">
        <v>8</v>
      </c>
      <c r="U37" s="1574" t="e">
        <f t="shared" si="13"/>
        <v>#N/A</v>
      </c>
      <c r="V37" s="1573" t="s">
        <v>8</v>
      </c>
      <c r="W37" s="1574" t="e">
        <f t="shared" si="14"/>
        <v>#N/A</v>
      </c>
      <c r="X37" s="1567"/>
      <c r="Y37" s="3413"/>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3"/>
      <c r="Q38" s="1150" t="str">
        <f t="shared" si="11"/>
        <v>写字楼等级</v>
      </c>
      <c r="R38" s="1568" t="s">
        <v>8</v>
      </c>
      <c r="S38" s="1569">
        <f t="shared" si="12"/>
        <v>100</v>
      </c>
      <c r="T38" s="1568" t="s">
        <v>8</v>
      </c>
      <c r="U38" s="1569">
        <f t="shared" si="13"/>
        <v>100</v>
      </c>
      <c r="V38" s="1568" t="s">
        <v>8</v>
      </c>
      <c r="W38" s="1569">
        <f t="shared" si="14"/>
        <v>100</v>
      </c>
      <c r="X38" s="1570"/>
      <c r="Y38" s="3413"/>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3" t="s">
        <v>550</v>
      </c>
      <c r="Q39" s="1572" t="str">
        <f t="shared" si="11"/>
        <v>物业管理</v>
      </c>
      <c r="R39" s="1573" t="s">
        <v>8</v>
      </c>
      <c r="S39" s="1574">
        <f t="shared" si="12"/>
        <v>100</v>
      </c>
      <c r="T39" s="1573" t="s">
        <v>8</v>
      </c>
      <c r="U39" s="1574">
        <f t="shared" si="13"/>
        <v>100</v>
      </c>
      <c r="V39" s="1573" t="s">
        <v>8</v>
      </c>
      <c r="W39" s="1574">
        <f t="shared" si="14"/>
        <v>100</v>
      </c>
      <c r="X39" s="1567"/>
      <c r="Y39" s="3413" t="s">
        <v>550</v>
      </c>
      <c r="Z39" s="1575" t="str">
        <f t="shared" si="15"/>
        <v>物业管理</v>
      </c>
      <c r="AA39" s="1576">
        <f t="shared" si="3"/>
        <v>1</v>
      </c>
      <c r="AB39" s="1576">
        <f t="shared" si="4"/>
        <v>1</v>
      </c>
      <c r="AC39" s="1576">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3"/>
      <c r="Q40" s="1572" t="str">
        <f t="shared" si="11"/>
        <v>市政基础设施</v>
      </c>
      <c r="R40" s="1573" t="s">
        <v>8</v>
      </c>
      <c r="S40" s="1574">
        <f t="shared" si="12"/>
        <v>100</v>
      </c>
      <c r="T40" s="1573" t="s">
        <v>8</v>
      </c>
      <c r="U40" s="1574">
        <f t="shared" si="13"/>
        <v>100</v>
      </c>
      <c r="V40" s="1573" t="s">
        <v>8</v>
      </c>
      <c r="W40" s="1574">
        <f t="shared" si="14"/>
        <v>100</v>
      </c>
      <c r="X40" s="1567"/>
      <c r="Y40" s="3413"/>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3"/>
      <c r="Q41" s="1572" t="str">
        <f t="shared" si="11"/>
        <v>层高</v>
      </c>
      <c r="R41" s="1573" t="s">
        <v>8</v>
      </c>
      <c r="S41" s="1574">
        <f t="shared" si="12"/>
        <v>100</v>
      </c>
      <c r="T41" s="1573" t="s">
        <v>8</v>
      </c>
      <c r="U41" s="1574">
        <f t="shared" si="13"/>
        <v>100</v>
      </c>
      <c r="V41" s="1573" t="s">
        <v>8</v>
      </c>
      <c r="W41" s="1574">
        <f t="shared" si="14"/>
        <v>100</v>
      </c>
      <c r="X41" s="1567"/>
      <c r="Y41" s="3413"/>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3"/>
      <c r="Q42" s="1605" t="str">
        <f t="shared" si="11"/>
        <v>单套建筑面积</v>
      </c>
      <c r="R42" s="1577" t="s">
        <v>8</v>
      </c>
      <c r="S42" s="1578">
        <f t="shared" si="12"/>
        <v>100</v>
      </c>
      <c r="T42" s="1577" t="s">
        <v>8</v>
      </c>
      <c r="U42" s="1578">
        <f t="shared" si="13"/>
        <v>100</v>
      </c>
      <c r="V42" s="1577" t="s">
        <v>8</v>
      </c>
      <c r="W42" s="1578">
        <f t="shared" si="14"/>
        <v>100</v>
      </c>
      <c r="X42" s="1579"/>
      <c r="Y42" s="3413"/>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3"/>
      <c r="Q43" s="1572" t="str">
        <f t="shared" si="11"/>
        <v>内部装修</v>
      </c>
      <c r="R43" s="1573" t="s">
        <v>8</v>
      </c>
      <c r="S43" s="1574">
        <f t="shared" si="12"/>
        <v>100</v>
      </c>
      <c r="T43" s="1573" t="s">
        <v>8</v>
      </c>
      <c r="U43" s="1574">
        <f t="shared" si="13"/>
        <v>100</v>
      </c>
      <c r="V43" s="1573" t="s">
        <v>8</v>
      </c>
      <c r="W43" s="1574">
        <f t="shared" si="14"/>
        <v>100</v>
      </c>
      <c r="X43" s="1567"/>
      <c r="Y43" s="3413"/>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3"/>
      <c r="Q44" s="1572" t="str">
        <f t="shared" si="11"/>
        <v>内部装修维护情况</v>
      </c>
      <c r="R44" s="1573" t="s">
        <v>8</v>
      </c>
      <c r="S44" s="1574">
        <f t="shared" si="12"/>
        <v>100</v>
      </c>
      <c r="T44" s="1573" t="s">
        <v>8</v>
      </c>
      <c r="U44" s="1574">
        <f t="shared" si="13"/>
        <v>100</v>
      </c>
      <c r="V44" s="1573" t="s">
        <v>8</v>
      </c>
      <c r="W44" s="1574">
        <f t="shared" si="14"/>
        <v>100</v>
      </c>
      <c r="X44" s="1567"/>
      <c r="Y44" s="3413"/>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3"/>
      <c r="Q45" s="1150">
        <f t="shared" si="11"/>
        <v>111</v>
      </c>
      <c r="R45" s="1568" t="s">
        <v>8</v>
      </c>
      <c r="S45" s="1569">
        <f t="shared" si="12"/>
        <v>100</v>
      </c>
      <c r="T45" s="1568" t="s">
        <v>8</v>
      </c>
      <c r="U45" s="1569">
        <f t="shared" si="13"/>
        <v>100</v>
      </c>
      <c r="V45" s="1568" t="s">
        <v>8</v>
      </c>
      <c r="W45" s="1569">
        <f t="shared" si="14"/>
        <v>100</v>
      </c>
      <c r="X45" s="1570"/>
      <c r="Y45" s="3413"/>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3"/>
      <c r="Q46" s="1572">
        <f t="shared" si="11"/>
        <v>111</v>
      </c>
      <c r="R46" s="1573" t="s">
        <v>8</v>
      </c>
      <c r="S46" s="1574">
        <f t="shared" si="12"/>
        <v>100</v>
      </c>
      <c r="T46" s="1573" t="s">
        <v>8</v>
      </c>
      <c r="U46" s="1574">
        <f t="shared" si="13"/>
        <v>100</v>
      </c>
      <c r="V46" s="1573" t="s">
        <v>8</v>
      </c>
      <c r="W46" s="1574">
        <f t="shared" si="14"/>
        <v>100</v>
      </c>
      <c r="X46" s="1567"/>
      <c r="Y46" s="3413"/>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1"/>
      <c r="Q47" s="1572">
        <f t="shared" si="11"/>
        <v>111</v>
      </c>
      <c r="R47" s="1573" t="s">
        <v>8</v>
      </c>
      <c r="S47" s="1574">
        <f t="shared" si="12"/>
        <v>100</v>
      </c>
      <c r="T47" s="1573" t="s">
        <v>8</v>
      </c>
      <c r="U47" s="1574">
        <f t="shared" si="13"/>
        <v>100</v>
      </c>
      <c r="V47" s="1573" t="s">
        <v>8</v>
      </c>
      <c r="W47" s="1574">
        <f t="shared" si="14"/>
        <v>100</v>
      </c>
      <c r="X47" s="1567"/>
      <c r="Y47" s="3491"/>
      <c r="Z47" s="1575">
        <f t="shared" si="15"/>
        <v>111</v>
      </c>
      <c r="AA47" s="1576">
        <f t="shared" si="3"/>
        <v>1</v>
      </c>
      <c r="AB47" s="1576">
        <f t="shared" si="4"/>
        <v>1</v>
      </c>
      <c r="AC47" s="1576">
        <f t="shared" si="5"/>
        <v>1</v>
      </c>
    </row>
    <row r="48" spans="1:29" ht="15">
      <c r="A48" s="607" t="s">
        <v>736</v>
      </c>
      <c r="B48" s="886"/>
      <c r="C48" s="2606" t="s">
        <v>1</v>
      </c>
      <c r="D48" s="2607"/>
      <c r="E48" s="2608"/>
      <c r="F48" s="2609"/>
      <c r="G48" s="2610"/>
      <c r="H48" s="2611"/>
      <c r="I48" s="2608"/>
      <c r="J48" s="2611"/>
      <c r="K48" s="1611"/>
      <c r="L48" s="2144"/>
      <c r="M48" s="2134"/>
      <c r="N48" s="2134"/>
      <c r="O48" s="2134"/>
      <c r="P48" s="3372" t="str">
        <f>A48</f>
        <v>成交单价（元/平方米）</v>
      </c>
      <c r="Q48" s="3374"/>
      <c r="R48" s="3490">
        <f>E48</f>
        <v>0</v>
      </c>
      <c r="S48" s="3490"/>
      <c r="T48" s="3490">
        <f>G48</f>
        <v>0</v>
      </c>
      <c r="U48" s="3490"/>
      <c r="V48" s="3490">
        <f>I48</f>
        <v>0</v>
      </c>
      <c r="W48" s="3490"/>
      <c r="X48" s="1559"/>
      <c r="Y48" s="1581"/>
      <c r="Z48" s="1559"/>
      <c r="AA48" s="1559"/>
      <c r="AB48" s="1559"/>
      <c r="AC48" s="1559"/>
    </row>
    <row r="49" spans="1:29" ht="15.75" thickBot="1">
      <c r="A49" s="615" t="s">
        <v>2761</v>
      </c>
      <c r="B49" s="887"/>
      <c r="C49" s="2612" t="e">
        <f>R50</f>
        <v>#DIV/0!</v>
      </c>
      <c r="D49" s="2613"/>
      <c r="E49" s="2614" t="e">
        <f>R49</f>
        <v>#DIV/0!</v>
      </c>
      <c r="F49" s="2614"/>
      <c r="G49" s="2612" t="e">
        <f>T49</f>
        <v>#DIV/0!</v>
      </c>
      <c r="H49" s="2613"/>
      <c r="I49" s="2614" t="e">
        <f>V49</f>
        <v>#DIV/0!</v>
      </c>
      <c r="J49" s="2613"/>
      <c r="K49" s="1612"/>
      <c r="L49" s="2144"/>
      <c r="M49" s="2134"/>
      <c r="N49" s="2134"/>
      <c r="O49" s="2134"/>
      <c r="P49" s="3372" t="str">
        <f>A49</f>
        <v>比较价格（元/平方米）</v>
      </c>
      <c r="Q49" s="3374"/>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9"/>
      <c r="Y49" s="1559"/>
      <c r="Z49" s="1559"/>
      <c r="AA49" s="1559"/>
      <c r="AB49" s="1559"/>
      <c r="AC49" s="1559"/>
    </row>
    <row r="50" spans="1:29" ht="15.75" thickBot="1">
      <c r="A50" s="621" t="s">
        <v>2935</v>
      </c>
      <c r="B50" s="622"/>
      <c r="C50" s="2615" t="e">
        <f>R50</f>
        <v>#DIV/0!</v>
      </c>
      <c r="D50" s="2615"/>
      <c r="E50" s="2615"/>
      <c r="F50" s="2615"/>
      <c r="G50" s="2615"/>
      <c r="H50" s="2615"/>
      <c r="I50" s="2615"/>
      <c r="J50" s="2615"/>
      <c r="K50" s="1613"/>
      <c r="L50" s="2144"/>
      <c r="M50" s="2134"/>
      <c r="N50" s="2134"/>
      <c r="O50" s="2134"/>
      <c r="P50" s="3495" t="str">
        <f>A50</f>
        <v>估价对象XX用房的比较价格（楼面单价，元/平方米）</v>
      </c>
      <c r="Q50" s="3372"/>
      <c r="R50" s="3489" t="e">
        <f>IF(F1="售价",ROUND(AVERAGE(R49:V49),0),ROUND(AVERAGE(R49:V49),1))</f>
        <v>#DIV/0!</v>
      </c>
      <c r="S50" s="3489"/>
      <c r="T50" s="3489"/>
      <c r="U50" s="3489"/>
      <c r="V50" s="3489"/>
      <c r="W50" s="3489"/>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529</v>
      </c>
      <c r="B59" s="646"/>
      <c r="C59" s="2781" t="str">
        <f>YEAR(C7)&amp;"-"&amp;MONTH(C7)</f>
        <v>2018-12</v>
      </c>
      <c r="D59" s="2783">
        <f>EDATE(C59,-1)</f>
        <v>43405</v>
      </c>
      <c r="E59" s="2783">
        <f t="shared" ref="E59:O59" si="16">EDATE(D59,-1)</f>
        <v>43374</v>
      </c>
      <c r="F59" s="2783">
        <f t="shared" si="16"/>
        <v>43344</v>
      </c>
      <c r="G59" s="2783">
        <f t="shared" si="16"/>
        <v>43313</v>
      </c>
      <c r="H59" s="2783">
        <f t="shared" si="16"/>
        <v>43282</v>
      </c>
      <c r="I59" s="2783">
        <f t="shared" si="16"/>
        <v>43252</v>
      </c>
      <c r="J59" s="2783">
        <f t="shared" si="16"/>
        <v>43221</v>
      </c>
      <c r="K59" s="2783">
        <f t="shared" si="16"/>
        <v>43191</v>
      </c>
      <c r="L59" s="2783">
        <f t="shared" si="16"/>
        <v>43160</v>
      </c>
      <c r="M59" s="2783">
        <f t="shared" si="16"/>
        <v>43132</v>
      </c>
      <c r="N59" s="2783">
        <f t="shared" si="16"/>
        <v>43101</v>
      </c>
      <c r="O59" s="2783">
        <f t="shared" si="16"/>
        <v>43070</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80" t="s">
        <v>522</v>
      </c>
      <c r="D4" s="3381"/>
      <c r="E4" s="3417" t="s">
        <v>523</v>
      </c>
      <c r="F4" s="3418"/>
      <c r="G4" s="3380" t="s">
        <v>524</v>
      </c>
      <c r="H4" s="3381"/>
      <c r="I4" s="3380" t="s">
        <v>525</v>
      </c>
      <c r="J4" s="3381"/>
      <c r="K4" s="514" t="s">
        <v>526</v>
      </c>
      <c r="L4" s="2133"/>
      <c r="M4" s="2134"/>
      <c r="N4" s="2134"/>
      <c r="O4" s="2134"/>
      <c r="P4" s="3382" t="s">
        <v>527</v>
      </c>
      <c r="Q4" s="3383"/>
      <c r="R4" s="3388" t="s">
        <v>523</v>
      </c>
      <c r="S4" s="3389"/>
      <c r="T4" s="3388" t="s">
        <v>524</v>
      </c>
      <c r="U4" s="3389"/>
      <c r="V4" s="3375" t="s">
        <v>525</v>
      </c>
      <c r="W4" s="3375"/>
      <c r="X4" s="1567"/>
      <c r="Y4" s="3388" t="s">
        <v>527</v>
      </c>
      <c r="Z4" s="3389"/>
      <c r="AA4" s="3377" t="s">
        <v>523</v>
      </c>
      <c r="AB4" s="3378" t="s">
        <v>524</v>
      </c>
      <c r="AC4" s="3377" t="s">
        <v>525</v>
      </c>
    </row>
    <row r="5" spans="1:29" ht="15">
      <c r="A5" s="515"/>
      <c r="B5" s="516"/>
      <c r="C5" s="3414" t="s">
        <v>2929</v>
      </c>
      <c r="D5" s="3397"/>
      <c r="E5" s="3419" t="s">
        <v>2930</v>
      </c>
      <c r="F5" s="3420"/>
      <c r="G5" s="3414" t="s">
        <v>2931</v>
      </c>
      <c r="H5" s="3397"/>
      <c r="I5" s="3414" t="s">
        <v>2932</v>
      </c>
      <c r="J5" s="3397"/>
      <c r="K5" s="514"/>
      <c r="L5" s="2133"/>
      <c r="M5" s="2134"/>
      <c r="N5" s="2134"/>
      <c r="O5" s="2134"/>
      <c r="P5" s="3384"/>
      <c r="Q5" s="3385"/>
      <c r="R5" s="3390"/>
      <c r="S5" s="3391"/>
      <c r="T5" s="3390"/>
      <c r="U5" s="3391"/>
      <c r="V5" s="3375"/>
      <c r="W5" s="3375"/>
      <c r="X5" s="1567"/>
      <c r="Y5" s="3390"/>
      <c r="Z5" s="3391"/>
      <c r="AA5" s="3378"/>
      <c r="AB5" s="3378"/>
      <c r="AC5" s="3378"/>
    </row>
    <row r="6" spans="1:29" ht="15.75" thickBot="1">
      <c r="A6" s="517"/>
      <c r="B6" s="518"/>
      <c r="C6" s="3394" t="s">
        <v>2933</v>
      </c>
      <c r="D6" s="3395"/>
      <c r="E6" s="3415" t="s">
        <v>2933</v>
      </c>
      <c r="F6" s="3416"/>
      <c r="G6" s="3394" t="s">
        <v>2933</v>
      </c>
      <c r="H6" s="3395"/>
      <c r="I6" s="3394" t="s">
        <v>2933</v>
      </c>
      <c r="J6" s="3395"/>
      <c r="K6" s="514" t="s">
        <v>528</v>
      </c>
      <c r="L6" s="2133"/>
      <c r="M6" s="2134"/>
      <c r="N6" s="2134"/>
      <c r="O6" s="2134"/>
      <c r="P6" s="3386"/>
      <c r="Q6" s="3387"/>
      <c r="R6" s="3390"/>
      <c r="S6" s="3391"/>
      <c r="T6" s="3392"/>
      <c r="U6" s="3393"/>
      <c r="V6" s="3375"/>
      <c r="W6" s="3375"/>
      <c r="X6" s="1567"/>
      <c r="Y6" s="3392"/>
      <c r="Z6" s="3393"/>
      <c r="AA6" s="3379"/>
      <c r="AB6" s="3379"/>
      <c r="AC6" s="3379"/>
    </row>
    <row r="7" spans="1:29" s="1219" customFormat="1" ht="15.75" thickBot="1">
      <c r="A7" s="2891"/>
      <c r="B7" s="2898" t="s">
        <v>529</v>
      </c>
      <c r="C7" s="519">
        <f>'数据-取费表'!B2</f>
        <v>43438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7" t="s">
        <v>530</v>
      </c>
      <c r="Q7" s="3409"/>
      <c r="R7" s="1568" t="s">
        <v>8</v>
      </c>
      <c r="S7" s="1569">
        <f t="shared" ref="S7:S15" si="0">F7</f>
        <v>0</v>
      </c>
      <c r="T7" s="1568" t="s">
        <v>8</v>
      </c>
      <c r="U7" s="1569">
        <f t="shared" ref="U7:U15" si="1">H7</f>
        <v>0</v>
      </c>
      <c r="V7" s="1568" t="s">
        <v>8</v>
      </c>
      <c r="W7" s="1569">
        <f t="shared" ref="W7:W15" si="2">J7</f>
        <v>0</v>
      </c>
      <c r="X7" s="1570"/>
      <c r="Y7" s="3407" t="s">
        <v>530</v>
      </c>
      <c r="Z7" s="3408"/>
      <c r="AA7" s="1571" t="e">
        <f>D7/F7</f>
        <v>#DIV/0!</v>
      </c>
      <c r="AB7" s="1571" t="e">
        <f>D7/H7</f>
        <v>#DIV/0!</v>
      </c>
      <c r="AC7" s="1571" t="e">
        <f>D7/J7</f>
        <v>#DIV/0!</v>
      </c>
    </row>
    <row r="8" spans="1:29" s="1219"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7" t="s">
        <v>533</v>
      </c>
      <c r="Q8" s="3408"/>
      <c r="R8" s="1568" t="s">
        <v>8</v>
      </c>
      <c r="S8" s="1569">
        <f t="shared" si="0"/>
        <v>0</v>
      </c>
      <c r="T8" s="1568" t="s">
        <v>8</v>
      </c>
      <c r="U8" s="1569">
        <f t="shared" si="1"/>
        <v>0</v>
      </c>
      <c r="V8" s="1568" t="s">
        <v>8</v>
      </c>
      <c r="W8" s="1569">
        <f t="shared" si="2"/>
        <v>0</v>
      </c>
      <c r="X8" s="1570"/>
      <c r="Y8" s="3407" t="s">
        <v>533</v>
      </c>
      <c r="Z8" s="3408"/>
      <c r="AA8" s="1571" t="e">
        <f t="shared" ref="AA8:AA40" si="3">D8/F8</f>
        <v>#DIV/0!</v>
      </c>
      <c r="AB8" s="1571" t="e">
        <f t="shared" ref="AB8:AB40" si="4">D8/H8</f>
        <v>#DIV/0!</v>
      </c>
      <c r="AC8" s="1571" t="e">
        <f t="shared" ref="AC8:AC40" si="5">D8/J8</f>
        <v>#DIV/0!</v>
      </c>
    </row>
    <row r="9" spans="1:29" s="1219"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4" t="s">
        <v>535</v>
      </c>
      <c r="Q9" s="1150" t="str">
        <f t="shared" ref="Q9:Q15" si="6">B9</f>
        <v>用途</v>
      </c>
      <c r="R9" s="1568" t="s">
        <v>8</v>
      </c>
      <c r="S9" s="1569">
        <f t="shared" si="0"/>
        <v>100</v>
      </c>
      <c r="T9" s="1568" t="s">
        <v>8</v>
      </c>
      <c r="U9" s="1569">
        <f t="shared" si="1"/>
        <v>100</v>
      </c>
      <c r="V9" s="1568" t="s">
        <v>8</v>
      </c>
      <c r="W9" s="1569">
        <f t="shared" si="2"/>
        <v>100</v>
      </c>
      <c r="X9" s="1570"/>
      <c r="Y9" s="3320" t="s">
        <v>536</v>
      </c>
      <c r="Z9" s="1149" t="str">
        <f t="shared" ref="Z9:Z15" si="7">Q9</f>
        <v>用途</v>
      </c>
      <c r="AA9" s="1571">
        <f t="shared" si="3"/>
        <v>1</v>
      </c>
      <c r="AB9" s="1571">
        <f t="shared" si="4"/>
        <v>1</v>
      </c>
      <c r="AC9" s="1571">
        <f t="shared" si="5"/>
        <v>1</v>
      </c>
    </row>
    <row r="10" spans="1:29" s="1337"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4"/>
      <c r="Q10" s="1150" t="str">
        <f t="shared" si="6"/>
        <v>土地使用年限（年）</v>
      </c>
      <c r="R10" s="1568" t="s">
        <v>8</v>
      </c>
      <c r="S10" s="1569">
        <f t="shared" si="0"/>
        <v>100</v>
      </c>
      <c r="T10" s="1568" t="s">
        <v>8</v>
      </c>
      <c r="U10" s="1569">
        <f t="shared" si="1"/>
        <v>100</v>
      </c>
      <c r="V10" s="1568" t="s">
        <v>8</v>
      </c>
      <c r="W10" s="1569">
        <f t="shared" si="2"/>
        <v>100</v>
      </c>
      <c r="X10" s="1570"/>
      <c r="Y10" s="3320"/>
      <c r="Z10" s="1149" t="str">
        <f t="shared" si="7"/>
        <v>土地使用年限（年）</v>
      </c>
      <c r="AA10" s="1571">
        <f t="shared" si="3"/>
        <v>1</v>
      </c>
      <c r="AB10" s="1571">
        <f t="shared" si="4"/>
        <v>1</v>
      </c>
      <c r="AC10" s="1571">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4"/>
      <c r="Q11" s="1150" t="str">
        <f t="shared" si="6"/>
        <v>容积率</v>
      </c>
      <c r="R11" s="1568" t="s">
        <v>8</v>
      </c>
      <c r="S11" s="1569" t="e">
        <f t="shared" si="0"/>
        <v>#N/A</v>
      </c>
      <c r="T11" s="1568" t="s">
        <v>8</v>
      </c>
      <c r="U11" s="1569" t="e">
        <f t="shared" si="1"/>
        <v>#N/A</v>
      </c>
      <c r="V11" s="1568" t="s">
        <v>8</v>
      </c>
      <c r="W11" s="1569" t="e">
        <f t="shared" si="2"/>
        <v>#N/A</v>
      </c>
      <c r="X11" s="1570"/>
      <c r="Y11" s="3320"/>
      <c r="Z11" s="1149" t="str">
        <f t="shared" si="7"/>
        <v>容积率</v>
      </c>
      <c r="AA11" s="1571" t="e">
        <f t="shared" si="3"/>
        <v>#N/A</v>
      </c>
      <c r="AB11" s="1571" t="e">
        <f t="shared" si="4"/>
        <v>#N/A</v>
      </c>
      <c r="AC11" s="1571" t="e">
        <f t="shared" si="5"/>
        <v>#N/A</v>
      </c>
    </row>
    <row r="12" spans="1:29" s="1219" customFormat="1" ht="15">
      <c r="A12" s="2896"/>
      <c r="B12" s="2902">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374"/>
      <c r="Q12" s="1150">
        <f t="shared" si="6"/>
        <v>111</v>
      </c>
      <c r="R12" s="1568" t="s">
        <v>8</v>
      </c>
      <c r="S12" s="1569">
        <f t="shared" si="0"/>
        <v>100</v>
      </c>
      <c r="T12" s="1568" t="s">
        <v>8</v>
      </c>
      <c r="U12" s="1569">
        <f t="shared" si="1"/>
        <v>100</v>
      </c>
      <c r="V12" s="1568" t="s">
        <v>8</v>
      </c>
      <c r="W12" s="1569">
        <f t="shared" si="2"/>
        <v>100</v>
      </c>
      <c r="X12" s="1570"/>
      <c r="Y12" s="3320"/>
      <c r="Z12" s="1149">
        <f t="shared" si="7"/>
        <v>111</v>
      </c>
      <c r="AA12" s="1571">
        <f>D12/F12</f>
        <v>1</v>
      </c>
      <c r="AB12" s="1571">
        <f>D12/H12</f>
        <v>1</v>
      </c>
      <c r="AC12" s="1571">
        <f>D12/J12</f>
        <v>1</v>
      </c>
    </row>
    <row r="13" spans="1:29" ht="15">
      <c r="A13" s="2896"/>
      <c r="B13" s="2902">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374"/>
      <c r="Q13" s="1150">
        <f t="shared" si="6"/>
        <v>111</v>
      </c>
      <c r="R13" s="1568" t="s">
        <v>8</v>
      </c>
      <c r="S13" s="1569">
        <f t="shared" si="0"/>
        <v>100</v>
      </c>
      <c r="T13" s="1568" t="s">
        <v>8</v>
      </c>
      <c r="U13" s="1569">
        <f t="shared" si="1"/>
        <v>100</v>
      </c>
      <c r="V13" s="1568" t="s">
        <v>8</v>
      </c>
      <c r="W13" s="1569">
        <f t="shared" si="2"/>
        <v>100</v>
      </c>
      <c r="X13" s="1570"/>
      <c r="Y13" s="3320"/>
      <c r="Z13" s="1149">
        <f t="shared" si="7"/>
        <v>111</v>
      </c>
      <c r="AA13" s="1571">
        <f t="shared" si="3"/>
        <v>1</v>
      </c>
      <c r="AB13" s="1571">
        <f t="shared" si="4"/>
        <v>1</v>
      </c>
      <c r="AC13" s="1571">
        <f t="shared" si="5"/>
        <v>1</v>
      </c>
    </row>
    <row r="14" spans="1:29" ht="15.75" thickBot="1">
      <c r="A14" s="2897"/>
      <c r="B14" s="2903">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74"/>
      <c r="Q14" s="1150">
        <f t="shared" si="6"/>
        <v>111</v>
      </c>
      <c r="R14" s="1568" t="s">
        <v>8</v>
      </c>
      <c r="S14" s="1569">
        <f t="shared" si="0"/>
        <v>100</v>
      </c>
      <c r="T14" s="1568" t="s">
        <v>8</v>
      </c>
      <c r="U14" s="1569">
        <f t="shared" si="1"/>
        <v>100</v>
      </c>
      <c r="V14" s="1568" t="s">
        <v>8</v>
      </c>
      <c r="W14" s="1569">
        <f t="shared" si="2"/>
        <v>100</v>
      </c>
      <c r="X14" s="1570"/>
      <c r="Y14" s="3320"/>
      <c r="Z14" s="1149">
        <f t="shared" si="7"/>
        <v>111</v>
      </c>
      <c r="AA14" s="1571">
        <f t="shared" si="3"/>
        <v>1</v>
      </c>
      <c r="AB14" s="1571">
        <f t="shared" si="4"/>
        <v>1</v>
      </c>
      <c r="AC14" s="1571">
        <f t="shared" si="5"/>
        <v>1</v>
      </c>
    </row>
    <row r="15" spans="1:29" ht="57">
      <c r="A15" s="2889"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10" t="s">
        <v>540</v>
      </c>
      <c r="Q15" s="1572" t="str">
        <f t="shared" si="6"/>
        <v>产业集聚程度</v>
      </c>
      <c r="R15" s="1573" t="s">
        <v>8</v>
      </c>
      <c r="S15" s="1574">
        <f t="shared" si="0"/>
        <v>100</v>
      </c>
      <c r="T15" s="1573" t="s">
        <v>8</v>
      </c>
      <c r="U15" s="1574">
        <f t="shared" si="1"/>
        <v>100</v>
      </c>
      <c r="V15" s="1573" t="s">
        <v>8</v>
      </c>
      <c r="W15" s="1574">
        <f t="shared" si="2"/>
        <v>100</v>
      </c>
      <c r="X15" s="1567"/>
      <c r="Y15" s="3410"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411"/>
      <c r="Q16" s="1572"/>
      <c r="R16" s="1573"/>
      <c r="S16" s="1574"/>
      <c r="T16" s="1573"/>
      <c r="U16" s="1574"/>
      <c r="V16" s="1573"/>
      <c r="W16" s="1574"/>
      <c r="X16" s="1567"/>
      <c r="Y16" s="3411"/>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11"/>
      <c r="Q17" s="1572" t="str">
        <f>B17</f>
        <v>交通便捷度</v>
      </c>
      <c r="R17" s="1573" t="s">
        <v>8</v>
      </c>
      <c r="S17" s="1574">
        <f>F17</f>
        <v>100</v>
      </c>
      <c r="T17" s="1573" t="s">
        <v>8</v>
      </c>
      <c r="U17" s="1574">
        <f>H17</f>
        <v>100</v>
      </c>
      <c r="V17" s="1573" t="s">
        <v>8</v>
      </c>
      <c r="W17" s="1574">
        <f>J17</f>
        <v>100</v>
      </c>
      <c r="X17" s="1567"/>
      <c r="Y17" s="341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411"/>
      <c r="Q18" s="1572"/>
      <c r="R18" s="1573"/>
      <c r="S18" s="1574"/>
      <c r="T18" s="1573"/>
      <c r="U18" s="1574"/>
      <c r="V18" s="1573"/>
      <c r="W18" s="1574"/>
      <c r="X18" s="1567"/>
      <c r="Y18" s="3411"/>
      <c r="Z18" s="1575"/>
      <c r="AA18" s="1576">
        <v>1</v>
      </c>
      <c r="AB18" s="1576">
        <v>1</v>
      </c>
      <c r="AC18" s="1576">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11"/>
      <c r="Q19" s="1572" t="str">
        <f>B19</f>
        <v>公共配套设施</v>
      </c>
      <c r="R19" s="1573" t="s">
        <v>8</v>
      </c>
      <c r="S19" s="1574">
        <f>F19</f>
        <v>100</v>
      </c>
      <c r="T19" s="1573" t="s">
        <v>8</v>
      </c>
      <c r="U19" s="1574">
        <f>H19</f>
        <v>100</v>
      </c>
      <c r="V19" s="1573" t="s">
        <v>8</v>
      </c>
      <c r="W19" s="1574">
        <f>J19</f>
        <v>100</v>
      </c>
      <c r="X19" s="1567"/>
      <c r="Y19" s="341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2"/>
      <c r="M20" s="2134"/>
      <c r="N20" s="2134"/>
      <c r="O20" s="2141"/>
      <c r="P20" s="3411"/>
      <c r="Q20" s="1572"/>
      <c r="R20" s="1573"/>
      <c r="S20" s="1574"/>
      <c r="T20" s="1573"/>
      <c r="U20" s="1574"/>
      <c r="V20" s="1573"/>
      <c r="W20" s="1574"/>
      <c r="X20" s="1567"/>
      <c r="Y20" s="3411"/>
      <c r="Z20" s="1575"/>
      <c r="AA20" s="1576">
        <v>1</v>
      </c>
      <c r="AB20" s="1576">
        <v>1</v>
      </c>
      <c r="AC20" s="1576">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11"/>
      <c r="Q21" s="2558" t="str">
        <f>B21</f>
        <v>基础设施水平</v>
      </c>
      <c r="R21" s="1573" t="s">
        <v>8</v>
      </c>
      <c r="S21" s="1574">
        <f>F21</f>
        <v>100</v>
      </c>
      <c r="T21" s="1573" t="s">
        <v>8</v>
      </c>
      <c r="U21" s="1574">
        <f>H21</f>
        <v>100</v>
      </c>
      <c r="V21" s="1573" t="s">
        <v>8</v>
      </c>
      <c r="W21" s="1574">
        <f>J21</f>
        <v>100</v>
      </c>
      <c r="X21" s="2560"/>
      <c r="Y21" s="3411"/>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411"/>
      <c r="Q22" s="2558"/>
      <c r="R22" s="1573"/>
      <c r="S22" s="1574"/>
      <c r="T22" s="1573"/>
      <c r="U22" s="1574"/>
      <c r="V22" s="1573"/>
      <c r="W22" s="1574"/>
      <c r="X22" s="2560"/>
      <c r="Y22" s="3411"/>
      <c r="Z22" s="255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11"/>
      <c r="Q23" s="1572" t="str">
        <f>B23</f>
        <v>环境质量</v>
      </c>
      <c r="R23" s="1573" t="s">
        <v>8</v>
      </c>
      <c r="S23" s="1574">
        <f>F23</f>
        <v>100</v>
      </c>
      <c r="T23" s="1573" t="s">
        <v>8</v>
      </c>
      <c r="U23" s="1574">
        <f>H23</f>
        <v>100</v>
      </c>
      <c r="V23" s="1573" t="s">
        <v>8</v>
      </c>
      <c r="W23" s="1574">
        <f>J23</f>
        <v>100</v>
      </c>
      <c r="X23" s="1567"/>
      <c r="Y23" s="3411"/>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2"/>
      <c r="M24" s="2134"/>
      <c r="N24" s="2134"/>
      <c r="O24" s="2141"/>
      <c r="P24" s="3411"/>
      <c r="Q24" s="1572"/>
      <c r="R24" s="1573"/>
      <c r="S24" s="1574"/>
      <c r="T24" s="1573"/>
      <c r="U24" s="1574"/>
      <c r="V24" s="1573"/>
      <c r="W24" s="1574"/>
      <c r="X24" s="1567"/>
      <c r="Y24" s="341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1"/>
      <c r="Q25" s="1572">
        <f>B25</f>
        <v>111</v>
      </c>
      <c r="R25" s="1573" t="s">
        <v>8</v>
      </c>
      <c r="S25" s="1574">
        <f>F25</f>
        <v>100</v>
      </c>
      <c r="T25" s="1573" t="s">
        <v>8</v>
      </c>
      <c r="U25" s="1574">
        <f>H25</f>
        <v>100</v>
      </c>
      <c r="V25" s="1573" t="s">
        <v>8</v>
      </c>
      <c r="W25" s="1574">
        <f>J25</f>
        <v>100</v>
      </c>
      <c r="X25" s="1567"/>
      <c r="Y25" s="341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1"/>
      <c r="Q26" s="1572">
        <f t="shared" ref="Q26:Q40" si="11">B26</f>
        <v>111</v>
      </c>
      <c r="R26" s="1573" t="s">
        <v>8</v>
      </c>
      <c r="S26" s="1574">
        <f>F26</f>
        <v>100</v>
      </c>
      <c r="T26" s="1573" t="s">
        <v>8</v>
      </c>
      <c r="U26" s="1574">
        <f>H26</f>
        <v>100</v>
      </c>
      <c r="V26" s="1573" t="s">
        <v>8</v>
      </c>
      <c r="W26" s="1574">
        <f>J26</f>
        <v>100</v>
      </c>
      <c r="X26" s="1567"/>
      <c r="Y26" s="3411"/>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1"/>
      <c r="Q27" s="1150">
        <f t="shared" si="11"/>
        <v>111</v>
      </c>
      <c r="R27" s="1568" t="s">
        <v>8</v>
      </c>
      <c r="S27" s="1569">
        <f>F27</f>
        <v>100</v>
      </c>
      <c r="T27" s="1568" t="s">
        <v>8</v>
      </c>
      <c r="U27" s="1569">
        <f>H27</f>
        <v>100</v>
      </c>
      <c r="V27" s="1568" t="s">
        <v>8</v>
      </c>
      <c r="W27" s="1569">
        <f>J27</f>
        <v>100</v>
      </c>
      <c r="X27" s="1570"/>
      <c r="Y27" s="3411"/>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411"/>
      <c r="Q28" s="1572">
        <f t="shared" si="11"/>
        <v>111</v>
      </c>
      <c r="R28" s="1573" t="s">
        <v>8</v>
      </c>
      <c r="S28" s="1574">
        <f t="shared" ref="S28:S40" si="12">F28</f>
        <v>100</v>
      </c>
      <c r="T28" s="1573" t="s">
        <v>8</v>
      </c>
      <c r="U28" s="1574">
        <f t="shared" ref="U28:U40" si="13">H28</f>
        <v>100</v>
      </c>
      <c r="V28" s="1573" t="s">
        <v>8</v>
      </c>
      <c r="W28" s="1574">
        <f t="shared" ref="W28:W40" si="14">J28</f>
        <v>100</v>
      </c>
      <c r="X28" s="1567"/>
      <c r="Y28" s="3411"/>
      <c r="Z28" s="1575">
        <f t="shared" ref="Z28:Z40" si="15">Q28</f>
        <v>111</v>
      </c>
      <c r="AA28" s="1576">
        <f t="shared" si="3"/>
        <v>1</v>
      </c>
      <c r="AB28" s="1576">
        <f t="shared" si="4"/>
        <v>1</v>
      </c>
      <c r="AC28" s="1576">
        <f t="shared" si="5"/>
        <v>1</v>
      </c>
    </row>
    <row r="29" spans="1:29" ht="15">
      <c r="A29" s="2886"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12" t="s">
        <v>550</v>
      </c>
      <c r="Q29" s="1572" t="str">
        <f t="shared" si="11"/>
        <v>建筑类型</v>
      </c>
      <c r="R29" s="1573" t="s">
        <v>8</v>
      </c>
      <c r="S29" s="1574">
        <f t="shared" si="12"/>
        <v>100</v>
      </c>
      <c r="T29" s="1573" t="s">
        <v>8</v>
      </c>
      <c r="U29" s="1574">
        <f t="shared" si="13"/>
        <v>100</v>
      </c>
      <c r="V29" s="1573" t="s">
        <v>8</v>
      </c>
      <c r="W29" s="1574">
        <f t="shared" si="14"/>
        <v>100</v>
      </c>
      <c r="X29" s="1567"/>
      <c r="Y29" s="3413"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3"/>
      <c r="Q30" s="1605" t="str">
        <f t="shared" si="11"/>
        <v>项目建筑规模</v>
      </c>
      <c r="R30" s="1577" t="s">
        <v>8</v>
      </c>
      <c r="S30" s="1578" t="e">
        <f t="shared" si="12"/>
        <v>#N/A</v>
      </c>
      <c r="T30" s="1577" t="s">
        <v>8</v>
      </c>
      <c r="U30" s="1578" t="e">
        <f t="shared" si="13"/>
        <v>#N/A</v>
      </c>
      <c r="V30" s="1577" t="s">
        <v>8</v>
      </c>
      <c r="W30" s="1578" t="e">
        <f t="shared" si="14"/>
        <v>#N/A</v>
      </c>
      <c r="X30" s="1579"/>
      <c r="Y30" s="3413"/>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3"/>
      <c r="Q31" s="1572" t="str">
        <f t="shared" si="11"/>
        <v>建筑结构</v>
      </c>
      <c r="R31" s="1573" t="s">
        <v>8</v>
      </c>
      <c r="S31" s="1574">
        <f t="shared" si="12"/>
        <v>100</v>
      </c>
      <c r="T31" s="1573" t="s">
        <v>8</v>
      </c>
      <c r="U31" s="1574">
        <f t="shared" si="13"/>
        <v>100</v>
      </c>
      <c r="V31" s="1573" t="s">
        <v>8</v>
      </c>
      <c r="W31" s="1574">
        <f t="shared" si="14"/>
        <v>100</v>
      </c>
      <c r="X31" s="1567"/>
      <c r="Y31" s="3413"/>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3"/>
      <c r="Q32" s="1572" t="str">
        <f t="shared" si="11"/>
        <v>公共部分装修</v>
      </c>
      <c r="R32" s="1573" t="s">
        <v>8</v>
      </c>
      <c r="S32" s="1574">
        <f t="shared" si="12"/>
        <v>100</v>
      </c>
      <c r="T32" s="1573" t="s">
        <v>8</v>
      </c>
      <c r="U32" s="1574">
        <f t="shared" si="13"/>
        <v>100</v>
      </c>
      <c r="V32" s="1573" t="s">
        <v>8</v>
      </c>
      <c r="W32" s="1574">
        <f t="shared" si="14"/>
        <v>100</v>
      </c>
      <c r="X32" s="1567"/>
      <c r="Y32" s="3413"/>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13"/>
      <c r="Q33" s="1572" t="str">
        <f t="shared" si="11"/>
        <v>成新度</v>
      </c>
      <c r="R33" s="1573" t="s">
        <v>8</v>
      </c>
      <c r="S33" s="1574" t="e">
        <f t="shared" si="12"/>
        <v>#N/A</v>
      </c>
      <c r="T33" s="1573" t="s">
        <v>8</v>
      </c>
      <c r="U33" s="1574" t="e">
        <f t="shared" si="13"/>
        <v>#N/A</v>
      </c>
      <c r="V33" s="1573" t="s">
        <v>8</v>
      </c>
      <c r="W33" s="1574" t="e">
        <f t="shared" si="14"/>
        <v>#N/A</v>
      </c>
      <c r="X33" s="1567"/>
      <c r="Y33" s="3413"/>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3"/>
      <c r="Q34" s="1150" t="str">
        <f t="shared" si="11"/>
        <v>物业管理</v>
      </c>
      <c r="R34" s="1568" t="s">
        <v>8</v>
      </c>
      <c r="S34" s="1569">
        <f t="shared" si="12"/>
        <v>100</v>
      </c>
      <c r="T34" s="1568" t="s">
        <v>8</v>
      </c>
      <c r="U34" s="1569">
        <f t="shared" si="13"/>
        <v>100</v>
      </c>
      <c r="V34" s="1568" t="s">
        <v>8</v>
      </c>
      <c r="W34" s="1569">
        <f t="shared" si="14"/>
        <v>100</v>
      </c>
      <c r="X34" s="1570"/>
      <c r="Y34" s="3413"/>
      <c r="Z34" s="1149"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3" t="s">
        <v>550</v>
      </c>
      <c r="Q35" s="1572" t="str">
        <f t="shared" si="11"/>
        <v>市政基础设施</v>
      </c>
      <c r="R35" s="1573" t="s">
        <v>8</v>
      </c>
      <c r="S35" s="1574">
        <f t="shared" si="12"/>
        <v>100</v>
      </c>
      <c r="T35" s="1573" t="s">
        <v>8</v>
      </c>
      <c r="U35" s="1574">
        <f t="shared" si="13"/>
        <v>100</v>
      </c>
      <c r="V35" s="1573" t="s">
        <v>8</v>
      </c>
      <c r="W35" s="1574">
        <f t="shared" si="14"/>
        <v>100</v>
      </c>
      <c r="X35" s="1567"/>
      <c r="Y35" s="3413"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3"/>
      <c r="Q36" s="1572" t="str">
        <f t="shared" si="11"/>
        <v>内部装修</v>
      </c>
      <c r="R36" s="1573" t="s">
        <v>8</v>
      </c>
      <c r="S36" s="1574">
        <f t="shared" si="12"/>
        <v>100</v>
      </c>
      <c r="T36" s="1573" t="s">
        <v>8</v>
      </c>
      <c r="U36" s="1574">
        <f t="shared" si="13"/>
        <v>100</v>
      </c>
      <c r="V36" s="1573" t="s">
        <v>8</v>
      </c>
      <c r="W36" s="1574">
        <f t="shared" si="14"/>
        <v>100</v>
      </c>
      <c r="X36" s="1567"/>
      <c r="Y36" s="3413"/>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3"/>
      <c r="Q37" s="1572" t="str">
        <f t="shared" si="11"/>
        <v>内部装修状况</v>
      </c>
      <c r="R37" s="1573" t="s">
        <v>8</v>
      </c>
      <c r="S37" s="1574">
        <f t="shared" si="12"/>
        <v>100</v>
      </c>
      <c r="T37" s="1573" t="s">
        <v>8</v>
      </c>
      <c r="U37" s="1574">
        <f t="shared" si="13"/>
        <v>100</v>
      </c>
      <c r="V37" s="1573" t="s">
        <v>8</v>
      </c>
      <c r="W37" s="1574">
        <f t="shared" si="14"/>
        <v>100</v>
      </c>
      <c r="X37" s="1567"/>
      <c r="Y37" s="3413"/>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413"/>
      <c r="Q38" s="1605">
        <f t="shared" si="11"/>
        <v>111</v>
      </c>
      <c r="R38" s="1577" t="s">
        <v>8</v>
      </c>
      <c r="S38" s="1578">
        <f t="shared" si="12"/>
        <v>100</v>
      </c>
      <c r="T38" s="1577" t="s">
        <v>8</v>
      </c>
      <c r="U38" s="1578">
        <f t="shared" si="13"/>
        <v>100</v>
      </c>
      <c r="V38" s="1577" t="s">
        <v>8</v>
      </c>
      <c r="W38" s="1578">
        <f t="shared" si="14"/>
        <v>100</v>
      </c>
      <c r="X38" s="1579"/>
      <c r="Y38" s="3413"/>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413"/>
      <c r="Q39" s="1572">
        <f t="shared" si="11"/>
        <v>111</v>
      </c>
      <c r="R39" s="1573" t="s">
        <v>8</v>
      </c>
      <c r="S39" s="1574">
        <f t="shared" si="12"/>
        <v>100</v>
      </c>
      <c r="T39" s="1573" t="s">
        <v>8</v>
      </c>
      <c r="U39" s="1574">
        <f t="shared" si="13"/>
        <v>100</v>
      </c>
      <c r="V39" s="1573" t="s">
        <v>8</v>
      </c>
      <c r="W39" s="1574">
        <f t="shared" si="14"/>
        <v>100</v>
      </c>
      <c r="X39" s="1567"/>
      <c r="Y39" s="3413"/>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91"/>
      <c r="Q40" s="1572">
        <f t="shared" si="11"/>
        <v>111</v>
      </c>
      <c r="R40" s="1573" t="s">
        <v>8</v>
      </c>
      <c r="S40" s="1574">
        <f t="shared" si="12"/>
        <v>100</v>
      </c>
      <c r="T40" s="1573" t="s">
        <v>8</v>
      </c>
      <c r="U40" s="1574">
        <f t="shared" si="13"/>
        <v>100</v>
      </c>
      <c r="V40" s="1573" t="s">
        <v>8</v>
      </c>
      <c r="W40" s="1574">
        <f t="shared" si="14"/>
        <v>100</v>
      </c>
      <c r="X40" s="1567"/>
      <c r="Y40" s="3491"/>
      <c r="Z40" s="1575">
        <f t="shared" si="15"/>
        <v>111</v>
      </c>
      <c r="AA40" s="1576">
        <f t="shared" si="3"/>
        <v>1</v>
      </c>
      <c r="AB40" s="1576">
        <f t="shared" si="4"/>
        <v>1</v>
      </c>
      <c r="AC40" s="1576">
        <f t="shared" si="5"/>
        <v>1</v>
      </c>
    </row>
    <row r="41" spans="1:29" ht="15">
      <c r="A41" s="607" t="s">
        <v>736</v>
      </c>
      <c r="B41" s="886"/>
      <c r="C41" s="2606" t="s">
        <v>1</v>
      </c>
      <c r="D41" s="2607"/>
      <c r="E41" s="2608"/>
      <c r="F41" s="2609"/>
      <c r="G41" s="2610"/>
      <c r="H41" s="2611"/>
      <c r="I41" s="2608"/>
      <c r="J41" s="2611"/>
      <c r="K41" s="1611"/>
      <c r="L41" s="2144"/>
      <c r="M41" s="2145"/>
      <c r="N41" s="2134"/>
      <c r="O41" s="2145"/>
      <c r="P41" s="3374" t="str">
        <f>A41</f>
        <v>成交单价（元/平方米）</v>
      </c>
      <c r="Q41" s="3374"/>
      <c r="R41" s="3490">
        <f>E41</f>
        <v>0</v>
      </c>
      <c r="S41" s="3490"/>
      <c r="T41" s="3490">
        <f>G41</f>
        <v>0</v>
      </c>
      <c r="U41" s="3490"/>
      <c r="V41" s="3490">
        <f>I41</f>
        <v>0</v>
      </c>
      <c r="W41" s="3490"/>
      <c r="X41" s="1559"/>
      <c r="Y41" s="1581"/>
      <c r="Z41" s="1559"/>
      <c r="AA41" s="1559"/>
      <c r="AB41" s="1559"/>
      <c r="AC41" s="1559"/>
    </row>
    <row r="42" spans="1:29" ht="15.75" thickBot="1">
      <c r="A42" s="615" t="s">
        <v>2761</v>
      </c>
      <c r="B42" s="887"/>
      <c r="C42" s="2612" t="e">
        <f>R43</f>
        <v>#DIV/0!</v>
      </c>
      <c r="D42" s="2613"/>
      <c r="E42" s="2614" t="e">
        <f>R42</f>
        <v>#DIV/0!</v>
      </c>
      <c r="F42" s="2614"/>
      <c r="G42" s="2612" t="e">
        <f>T42</f>
        <v>#DIV/0!</v>
      </c>
      <c r="H42" s="2613"/>
      <c r="I42" s="2614" t="e">
        <f>V42</f>
        <v>#DIV/0!</v>
      </c>
      <c r="J42" s="2613"/>
      <c r="K42" s="1612"/>
      <c r="L42" s="2144"/>
      <c r="M42" s="2145"/>
      <c r="N42" s="2134"/>
      <c r="O42" s="2145"/>
      <c r="P42" s="3374" t="str">
        <f>A42</f>
        <v>比较价格（元/平方米）</v>
      </c>
      <c r="Q42" s="3374"/>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9"/>
      <c r="Y42" s="1559"/>
      <c r="Z42" s="1559"/>
      <c r="AA42" s="1559"/>
      <c r="AB42" s="1559"/>
      <c r="AC42" s="1559"/>
    </row>
    <row r="43" spans="1:29" ht="15.75" thickBot="1">
      <c r="A43" s="621" t="s">
        <v>2935</v>
      </c>
      <c r="B43" s="622"/>
      <c r="C43" s="2615" t="e">
        <f>R43</f>
        <v>#DIV/0!</v>
      </c>
      <c r="D43" s="2615"/>
      <c r="E43" s="2615"/>
      <c r="F43" s="2615"/>
      <c r="G43" s="2615"/>
      <c r="H43" s="2615"/>
      <c r="I43" s="2615"/>
      <c r="J43" s="2615"/>
      <c r="K43" s="1613"/>
      <c r="L43" s="2144"/>
      <c r="M43" s="2145"/>
      <c r="N43" s="2145"/>
      <c r="O43" s="2145"/>
      <c r="P43" s="3371" t="str">
        <f>A43</f>
        <v>估价对象XX用房的比较价格（楼面单价，元/平方米）</v>
      </c>
      <c r="Q43" s="3372"/>
      <c r="R43" s="3489" t="e">
        <f>IF(F1="售价",ROUND(AVERAGE(R42:V42),0),ROUND(AVERAGE(R42:V42),1))</f>
        <v>#DIV/0!</v>
      </c>
      <c r="S43" s="3489"/>
      <c r="T43" s="3489"/>
      <c r="U43" s="3489"/>
      <c r="V43" s="3489"/>
      <c r="W43" s="3489"/>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529</v>
      </c>
      <c r="B52" s="646"/>
      <c r="C52" s="2781" t="str">
        <f>YEAR(C7)&amp;"-"&amp;MONTH(C7)</f>
        <v>2018-12</v>
      </c>
      <c r="D52" s="2783">
        <f>EDATE(C52,-1)</f>
        <v>43405</v>
      </c>
      <c r="E52" s="2783">
        <f t="shared" ref="E52:O52" si="16">EDATE(D52,-1)</f>
        <v>43374</v>
      </c>
      <c r="F52" s="2783">
        <f t="shared" si="16"/>
        <v>43344</v>
      </c>
      <c r="G52" s="2783">
        <f t="shared" si="16"/>
        <v>43313</v>
      </c>
      <c r="H52" s="2783">
        <f t="shared" si="16"/>
        <v>43282</v>
      </c>
      <c r="I52" s="2783">
        <f t="shared" si="16"/>
        <v>43252</v>
      </c>
      <c r="J52" s="2783">
        <f t="shared" si="16"/>
        <v>43221</v>
      </c>
      <c r="K52" s="2783">
        <f t="shared" si="16"/>
        <v>43191</v>
      </c>
      <c r="L52" s="2783">
        <f t="shared" si="16"/>
        <v>43160</v>
      </c>
      <c r="M52" s="2783">
        <f t="shared" si="16"/>
        <v>43132</v>
      </c>
      <c r="N52" s="2783">
        <f t="shared" si="16"/>
        <v>43101</v>
      </c>
      <c r="O52" s="2783">
        <f t="shared" si="16"/>
        <v>43070</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80" t="s">
        <v>798</v>
      </c>
      <c r="D4" s="3381"/>
      <c r="E4" s="3380" t="s">
        <v>799</v>
      </c>
      <c r="F4" s="3381"/>
      <c r="G4" s="3380" t="s">
        <v>800</v>
      </c>
      <c r="H4" s="3381"/>
      <c r="I4" s="3380" t="s">
        <v>801</v>
      </c>
      <c r="J4" s="3381"/>
      <c r="K4" s="514" t="s">
        <v>802</v>
      </c>
      <c r="L4" s="2133"/>
      <c r="M4" s="2134"/>
      <c r="N4" s="2134"/>
      <c r="O4" s="2134"/>
      <c r="P4" s="3382" t="s">
        <v>803</v>
      </c>
      <c r="Q4" s="3383"/>
      <c r="R4" s="3388" t="s">
        <v>799</v>
      </c>
      <c r="S4" s="3389"/>
      <c r="T4" s="3388" t="s">
        <v>800</v>
      </c>
      <c r="U4" s="3389"/>
      <c r="V4" s="3375" t="s">
        <v>801</v>
      </c>
      <c r="W4" s="3375"/>
      <c r="X4" s="1567"/>
      <c r="Y4" s="3388" t="s">
        <v>803</v>
      </c>
      <c r="Z4" s="3389"/>
      <c r="AA4" s="3377" t="s">
        <v>799</v>
      </c>
      <c r="AB4" s="3378" t="s">
        <v>800</v>
      </c>
      <c r="AC4" s="3377" t="s">
        <v>801</v>
      </c>
    </row>
    <row r="5" spans="1:29" ht="15">
      <c r="A5" s="515"/>
      <c r="B5" s="516"/>
      <c r="C5" s="3414" t="s">
        <v>2929</v>
      </c>
      <c r="D5" s="3397"/>
      <c r="E5" s="3414" t="s">
        <v>2930</v>
      </c>
      <c r="F5" s="3397"/>
      <c r="G5" s="3414" t="s">
        <v>2931</v>
      </c>
      <c r="H5" s="3397"/>
      <c r="I5" s="3414" t="s">
        <v>2932</v>
      </c>
      <c r="J5" s="3397"/>
      <c r="K5" s="514"/>
      <c r="L5" s="2133"/>
      <c r="M5" s="2134"/>
      <c r="N5" s="2134"/>
      <c r="O5" s="2134"/>
      <c r="P5" s="3384"/>
      <c r="Q5" s="3385"/>
      <c r="R5" s="3390"/>
      <c r="S5" s="3391"/>
      <c r="T5" s="3390"/>
      <c r="U5" s="3391"/>
      <c r="V5" s="3375"/>
      <c r="W5" s="3375"/>
      <c r="X5" s="1567"/>
      <c r="Y5" s="3390"/>
      <c r="Z5" s="3391"/>
      <c r="AA5" s="3378"/>
      <c r="AB5" s="3378"/>
      <c r="AC5" s="3378"/>
    </row>
    <row r="6" spans="1:29" ht="15.75" thickBot="1">
      <c r="A6" s="517"/>
      <c r="B6" s="518"/>
      <c r="C6" s="3394" t="s">
        <v>2933</v>
      </c>
      <c r="D6" s="3395"/>
      <c r="E6" s="3400" t="s">
        <v>2933</v>
      </c>
      <c r="F6" s="3399"/>
      <c r="G6" s="3394" t="s">
        <v>2933</v>
      </c>
      <c r="H6" s="3395"/>
      <c r="I6" s="3394" t="s">
        <v>2933</v>
      </c>
      <c r="J6" s="3395"/>
      <c r="K6" s="514" t="s">
        <v>528</v>
      </c>
      <c r="L6" s="2133"/>
      <c r="M6" s="2134"/>
      <c r="N6" s="2134"/>
      <c r="O6" s="2134"/>
      <c r="P6" s="3386"/>
      <c r="Q6" s="3387"/>
      <c r="R6" s="3390"/>
      <c r="S6" s="3391"/>
      <c r="T6" s="3392"/>
      <c r="U6" s="3393"/>
      <c r="V6" s="3375"/>
      <c r="W6" s="3375"/>
      <c r="X6" s="1567"/>
      <c r="Y6" s="3392"/>
      <c r="Z6" s="3393"/>
      <c r="AA6" s="3379"/>
      <c r="AB6" s="3379"/>
      <c r="AC6" s="3379"/>
    </row>
    <row r="7" spans="1:29" s="1219" customFormat="1" ht="15.75" thickBot="1">
      <c r="A7" s="2891"/>
      <c r="B7" s="2898" t="s">
        <v>529</v>
      </c>
      <c r="C7" s="519">
        <f>'数据-取费表'!B2</f>
        <v>43438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7" t="s">
        <v>530</v>
      </c>
      <c r="Q7" s="3409"/>
      <c r="R7" s="1568" t="s">
        <v>8</v>
      </c>
      <c r="S7" s="1569">
        <f t="shared" ref="S7:S14" si="0">F7</f>
        <v>0</v>
      </c>
      <c r="T7" s="1568" t="s">
        <v>8</v>
      </c>
      <c r="U7" s="1569">
        <f t="shared" ref="U7:U14" si="1">H7</f>
        <v>0</v>
      </c>
      <c r="V7" s="1568" t="s">
        <v>8</v>
      </c>
      <c r="W7" s="1569">
        <f t="shared" ref="W7:W14" si="2">J7</f>
        <v>0</v>
      </c>
      <c r="X7" s="1570"/>
      <c r="Y7" s="3407" t="s">
        <v>530</v>
      </c>
      <c r="Z7" s="3408"/>
      <c r="AA7" s="1571" t="e">
        <f>D7/F7</f>
        <v>#DIV/0!</v>
      </c>
      <c r="AB7" s="1571" t="e">
        <f>D7/H7</f>
        <v>#DIV/0!</v>
      </c>
      <c r="AC7" s="1571" t="e">
        <f>D7/J7</f>
        <v>#DIV/0!</v>
      </c>
    </row>
    <row r="8" spans="1:29" s="1219"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7" t="s">
        <v>533</v>
      </c>
      <c r="Q8" s="3408"/>
      <c r="R8" s="1568" t="s">
        <v>8</v>
      </c>
      <c r="S8" s="1569">
        <f t="shared" si="0"/>
        <v>0</v>
      </c>
      <c r="T8" s="1568" t="s">
        <v>8</v>
      </c>
      <c r="U8" s="1569">
        <f t="shared" si="1"/>
        <v>0</v>
      </c>
      <c r="V8" s="1568" t="s">
        <v>8</v>
      </c>
      <c r="W8" s="1569">
        <f t="shared" si="2"/>
        <v>0</v>
      </c>
      <c r="X8" s="1570"/>
      <c r="Y8" s="3407" t="s">
        <v>533</v>
      </c>
      <c r="Z8" s="3408"/>
      <c r="AA8" s="1571" t="e">
        <f t="shared" ref="AA8:AA36" si="3">D8/F8</f>
        <v>#DIV/0!</v>
      </c>
      <c r="AB8" s="1571" t="e">
        <f t="shared" ref="AB8:AB36" si="4">D8/H8</f>
        <v>#DIV/0!</v>
      </c>
      <c r="AC8" s="1571" t="e">
        <f t="shared" ref="AC8:AC36" si="5">D8/J8</f>
        <v>#DIV/0!</v>
      </c>
    </row>
    <row r="9" spans="1:29" s="1219"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4" t="s">
        <v>535</v>
      </c>
      <c r="Q9" s="1150" t="str">
        <f t="shared" ref="Q9:Q14" si="6">B9</f>
        <v>用途</v>
      </c>
      <c r="R9" s="1568" t="s">
        <v>8</v>
      </c>
      <c r="S9" s="1569">
        <f t="shared" si="0"/>
        <v>100</v>
      </c>
      <c r="T9" s="1568" t="s">
        <v>8</v>
      </c>
      <c r="U9" s="1569">
        <f t="shared" si="1"/>
        <v>100</v>
      </c>
      <c r="V9" s="1568" t="s">
        <v>8</v>
      </c>
      <c r="W9" s="1569">
        <f t="shared" si="2"/>
        <v>100</v>
      </c>
      <c r="X9" s="1570"/>
      <c r="Y9" s="3320" t="s">
        <v>536</v>
      </c>
      <c r="Z9" s="1149" t="str">
        <f t="shared" ref="Z9:Z14" si="7">Q9</f>
        <v>用途</v>
      </c>
      <c r="AA9" s="1571">
        <f t="shared" si="3"/>
        <v>1</v>
      </c>
      <c r="AB9" s="1571">
        <f t="shared" si="4"/>
        <v>1</v>
      </c>
      <c r="AC9" s="1571">
        <f t="shared" si="5"/>
        <v>1</v>
      </c>
    </row>
    <row r="10" spans="1:29" s="1337"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4"/>
      <c r="Q10" s="1150" t="str">
        <f t="shared" si="6"/>
        <v>土地使用年限（年）</v>
      </c>
      <c r="R10" s="1568" t="s">
        <v>8</v>
      </c>
      <c r="S10" s="1569">
        <f t="shared" si="0"/>
        <v>100</v>
      </c>
      <c r="T10" s="1568" t="s">
        <v>8</v>
      </c>
      <c r="U10" s="1569">
        <f t="shared" si="1"/>
        <v>100</v>
      </c>
      <c r="V10" s="1568" t="s">
        <v>8</v>
      </c>
      <c r="W10" s="1569">
        <f t="shared" si="2"/>
        <v>100</v>
      </c>
      <c r="X10" s="1570"/>
      <c r="Y10" s="3320"/>
      <c r="Z10" s="1149" t="str">
        <f t="shared" si="7"/>
        <v>土地使用年限（年）</v>
      </c>
      <c r="AA10" s="1571">
        <f t="shared" si="3"/>
        <v>1</v>
      </c>
      <c r="AB10" s="1571">
        <f t="shared" si="4"/>
        <v>1</v>
      </c>
      <c r="AC10" s="1571">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4"/>
      <c r="Q11" s="1150">
        <f t="shared" si="6"/>
        <v>111</v>
      </c>
      <c r="R11" s="1568" t="s">
        <v>8</v>
      </c>
      <c r="S11" s="1569">
        <f t="shared" si="0"/>
        <v>100</v>
      </c>
      <c r="T11" s="1568" t="s">
        <v>8</v>
      </c>
      <c r="U11" s="1569">
        <f t="shared" si="1"/>
        <v>100</v>
      </c>
      <c r="V11" s="1568" t="s">
        <v>8</v>
      </c>
      <c r="W11" s="1569">
        <f t="shared" si="2"/>
        <v>100</v>
      </c>
      <c r="X11" s="1570"/>
      <c r="Y11" s="3320"/>
      <c r="Z11" s="1149">
        <f t="shared" si="7"/>
        <v>111</v>
      </c>
      <c r="AA11" s="1571">
        <f t="shared" si="3"/>
        <v>1</v>
      </c>
      <c r="AB11" s="1571">
        <f t="shared" si="4"/>
        <v>1</v>
      </c>
      <c r="AC11" s="1571">
        <f t="shared" si="5"/>
        <v>1</v>
      </c>
    </row>
    <row r="12" spans="1:29" s="1219"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4"/>
      <c r="Q12" s="1150">
        <f t="shared" si="6"/>
        <v>111</v>
      </c>
      <c r="R12" s="1568" t="s">
        <v>8</v>
      </c>
      <c r="S12" s="1569">
        <f t="shared" si="0"/>
        <v>100</v>
      </c>
      <c r="T12" s="1568" t="s">
        <v>8</v>
      </c>
      <c r="U12" s="1569">
        <f t="shared" si="1"/>
        <v>100</v>
      </c>
      <c r="V12" s="1568" t="s">
        <v>8</v>
      </c>
      <c r="W12" s="1569">
        <f t="shared" si="2"/>
        <v>100</v>
      </c>
      <c r="X12" s="1570"/>
      <c r="Y12" s="3320"/>
      <c r="Z12" s="1149">
        <f t="shared" si="7"/>
        <v>111</v>
      </c>
      <c r="AA12" s="1571">
        <f>D12/F12</f>
        <v>1</v>
      </c>
      <c r="AB12" s="1571">
        <f>D12/H12</f>
        <v>1</v>
      </c>
      <c r="AC12" s="1571">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4"/>
      <c r="Q13" s="1150">
        <f t="shared" si="6"/>
        <v>111</v>
      </c>
      <c r="R13" s="1568" t="s">
        <v>8</v>
      </c>
      <c r="S13" s="1569">
        <f t="shared" si="0"/>
        <v>100</v>
      </c>
      <c r="T13" s="1568" t="s">
        <v>8</v>
      </c>
      <c r="U13" s="1569">
        <f t="shared" si="1"/>
        <v>100</v>
      </c>
      <c r="V13" s="1568" t="s">
        <v>8</v>
      </c>
      <c r="W13" s="1569">
        <f t="shared" si="2"/>
        <v>100</v>
      </c>
      <c r="X13" s="1570"/>
      <c r="Y13" s="3320"/>
      <c r="Z13" s="1149">
        <f t="shared" si="7"/>
        <v>111</v>
      </c>
      <c r="AA13" s="1571">
        <f t="shared" si="3"/>
        <v>1</v>
      </c>
      <c r="AB13" s="1571">
        <f t="shared" si="4"/>
        <v>1</v>
      </c>
      <c r="AC13" s="1571">
        <f t="shared" si="5"/>
        <v>1</v>
      </c>
    </row>
    <row r="14" spans="1:29" ht="114">
      <c r="A14" s="2889" t="s">
        <v>2755</v>
      </c>
      <c r="B14" s="547" t="s">
        <v>543</v>
      </c>
      <c r="C14" s="920" t="str">
        <f>IF(B1="工业",估价对象房地状况!G4,估价对象房地状况!C6)</f>
        <v>估价对象有主干道东山路和次干道金马大道、有12、13、108等公交车经停、停车便捷程度较好，综合评价交通便捷度较好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10" t="s">
        <v>540</v>
      </c>
      <c r="Q14" s="1572" t="str">
        <f t="shared" si="6"/>
        <v>交通便捷度</v>
      </c>
      <c r="R14" s="1573" t="s">
        <v>8</v>
      </c>
      <c r="S14" s="1574">
        <f t="shared" si="0"/>
        <v>100</v>
      </c>
      <c r="T14" s="1573" t="s">
        <v>8</v>
      </c>
      <c r="U14" s="1574">
        <f t="shared" si="1"/>
        <v>100</v>
      </c>
      <c r="V14" s="1573" t="s">
        <v>8</v>
      </c>
      <c r="W14" s="1574">
        <f t="shared" si="2"/>
        <v>100</v>
      </c>
      <c r="X14" s="1567"/>
      <c r="Y14" s="3410"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2"/>
      <c r="M15" s="2134"/>
      <c r="N15" s="2134"/>
      <c r="O15" s="2141"/>
      <c r="P15" s="3411"/>
      <c r="Q15" s="1572"/>
      <c r="R15" s="1573"/>
      <c r="S15" s="1574"/>
      <c r="T15" s="1573"/>
      <c r="U15" s="1574"/>
      <c r="V15" s="1573"/>
      <c r="W15" s="1574"/>
      <c r="X15" s="1567"/>
      <c r="Y15" s="3411"/>
      <c r="Z15" s="1575"/>
      <c r="AA15" s="1576">
        <v>1</v>
      </c>
      <c r="AB15" s="1576">
        <v>1</v>
      </c>
      <c r="AC15" s="1576">
        <v>1</v>
      </c>
    </row>
    <row r="16" spans="1:29" ht="85.5">
      <c r="A16" s="515"/>
      <c r="B16" s="2582" t="s">
        <v>2547</v>
      </c>
      <c r="C16" s="872" t="str">
        <f>IF(B1="工业",估价对象房地状况!G5,估价对象房地状况!C7)</f>
        <v>估价对象所在区域公共配套设施齐备较齐全（有金山中学、中国银行、韩溪眼科医院）</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11"/>
      <c r="Q16" s="1572" t="str">
        <f>B16</f>
        <v>公共配套设施</v>
      </c>
      <c r="R16" s="1573" t="s">
        <v>8</v>
      </c>
      <c r="S16" s="1574">
        <f>F16</f>
        <v>100</v>
      </c>
      <c r="T16" s="1573" t="s">
        <v>8</v>
      </c>
      <c r="U16" s="1574">
        <f>H16</f>
        <v>100</v>
      </c>
      <c r="V16" s="1573" t="s">
        <v>8</v>
      </c>
      <c r="W16" s="1574">
        <f>J16</f>
        <v>100</v>
      </c>
      <c r="X16" s="1567"/>
      <c r="Y16" s="341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2"/>
      <c r="M17" s="2134"/>
      <c r="N17" s="2134"/>
      <c r="O17" s="2141"/>
      <c r="P17" s="3411"/>
      <c r="Q17" s="1572"/>
      <c r="R17" s="1573"/>
      <c r="S17" s="1574"/>
      <c r="T17" s="1573"/>
      <c r="U17" s="1574"/>
      <c r="V17" s="1573"/>
      <c r="W17" s="1574"/>
      <c r="X17" s="1567"/>
      <c r="Y17" s="3411"/>
      <c r="Z17" s="1575"/>
      <c r="AA17" s="1576">
        <v>1</v>
      </c>
      <c r="AB17" s="1576">
        <v>1</v>
      </c>
      <c r="AC17" s="1576">
        <v>1</v>
      </c>
    </row>
    <row r="18" spans="1:29" ht="42.75">
      <c r="A18" s="515"/>
      <c r="B18" s="2570" t="s">
        <v>2559</v>
      </c>
      <c r="C18" s="872" t="str">
        <f>IF(B1="工业",估价对象房地状况!G6,估价对象房地状况!C8)</f>
        <v>估价对象所在区域基础设施水平较高</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11"/>
      <c r="Q18" s="2558" t="str">
        <f>B18</f>
        <v>基础设施水平</v>
      </c>
      <c r="R18" s="1573" t="s">
        <v>8</v>
      </c>
      <c r="S18" s="1574">
        <f>F18</f>
        <v>100</v>
      </c>
      <c r="T18" s="1573" t="s">
        <v>8</v>
      </c>
      <c r="U18" s="1574">
        <f>H18</f>
        <v>100</v>
      </c>
      <c r="V18" s="1573" t="s">
        <v>8</v>
      </c>
      <c r="W18" s="1574">
        <f>J18</f>
        <v>100</v>
      </c>
      <c r="X18" s="2560"/>
      <c r="Y18" s="3411"/>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411"/>
      <c r="Q19" s="2558"/>
      <c r="R19" s="1573"/>
      <c r="S19" s="1574"/>
      <c r="T19" s="1573"/>
      <c r="U19" s="1574"/>
      <c r="V19" s="1573"/>
      <c r="W19" s="1574"/>
      <c r="X19" s="2560"/>
      <c r="Y19" s="3411"/>
      <c r="Z19" s="2559"/>
      <c r="AA19" s="1576">
        <v>1</v>
      </c>
      <c r="AB19" s="1576">
        <v>1</v>
      </c>
      <c r="AC19" s="1576">
        <v>1</v>
      </c>
    </row>
    <row r="20" spans="1:29" ht="85.5">
      <c r="A20" s="515"/>
      <c r="B20" s="560" t="s">
        <v>804</v>
      </c>
      <c r="C20" s="872" t="str">
        <f>IF(B1="工业",估价对象房地状况!G7,估价对象房地状况!C9)</f>
        <v>区域自然环境：；人文环境（潮州市行政学院、慧如公园）；综合评价环境状况较好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11"/>
      <c r="Q20" s="1572" t="str">
        <f>B20</f>
        <v>自然及人文环境</v>
      </c>
      <c r="R20" s="1573" t="s">
        <v>8</v>
      </c>
      <c r="S20" s="1574">
        <f>F20</f>
        <v>100</v>
      </c>
      <c r="T20" s="1573" t="s">
        <v>8</v>
      </c>
      <c r="U20" s="1574">
        <f>H20</f>
        <v>100</v>
      </c>
      <c r="V20" s="1573" t="s">
        <v>8</v>
      </c>
      <c r="W20" s="1574">
        <f>J20</f>
        <v>100</v>
      </c>
      <c r="X20" s="1567"/>
      <c r="Y20" s="341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2"/>
      <c r="M21" s="2134"/>
      <c r="N21" s="2134"/>
      <c r="O21" s="2141"/>
      <c r="P21" s="3411"/>
      <c r="Q21" s="1572"/>
      <c r="R21" s="1573"/>
      <c r="S21" s="1574"/>
      <c r="T21" s="1573"/>
      <c r="U21" s="1574"/>
      <c r="V21" s="1573"/>
      <c r="W21" s="1574"/>
      <c r="X21" s="1567"/>
      <c r="Y21" s="3411"/>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1"/>
      <c r="Q22" s="1572" t="str">
        <f>B22</f>
        <v>楼层</v>
      </c>
      <c r="R22" s="1573" t="s">
        <v>8</v>
      </c>
      <c r="S22" s="1574">
        <f>F22</f>
        <v>100</v>
      </c>
      <c r="T22" s="1573" t="s">
        <v>8</v>
      </c>
      <c r="U22" s="1574">
        <f>H22</f>
        <v>100</v>
      </c>
      <c r="V22" s="1573" t="s">
        <v>8</v>
      </c>
      <c r="W22" s="1574">
        <f>J22</f>
        <v>100</v>
      </c>
      <c r="X22" s="1567"/>
      <c r="Y22" s="3411"/>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1"/>
      <c r="Q23" s="1572">
        <f>B23</f>
        <v>111</v>
      </c>
      <c r="R23" s="1573" t="s">
        <v>8</v>
      </c>
      <c r="S23" s="1574">
        <f>F23</f>
        <v>100</v>
      </c>
      <c r="T23" s="1573" t="s">
        <v>8</v>
      </c>
      <c r="U23" s="1574">
        <f>H23</f>
        <v>100</v>
      </c>
      <c r="V23" s="1573" t="s">
        <v>8</v>
      </c>
      <c r="W23" s="1574">
        <f>J23</f>
        <v>100</v>
      </c>
      <c r="X23" s="1567"/>
      <c r="Y23" s="3411"/>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1"/>
      <c r="Q24" s="1572">
        <f t="shared" ref="Q24:Q36" si="11">B24</f>
        <v>111</v>
      </c>
      <c r="R24" s="1573" t="s">
        <v>8</v>
      </c>
      <c r="S24" s="1574">
        <f>F24</f>
        <v>100</v>
      </c>
      <c r="T24" s="1573" t="s">
        <v>8</v>
      </c>
      <c r="U24" s="1574">
        <f>H24</f>
        <v>100</v>
      </c>
      <c r="V24" s="1573" t="s">
        <v>8</v>
      </c>
      <c r="W24" s="1574">
        <f>J24</f>
        <v>100</v>
      </c>
      <c r="X24" s="1567"/>
      <c r="Y24" s="3411"/>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11"/>
      <c r="Q25" s="1150">
        <f t="shared" si="11"/>
        <v>111</v>
      </c>
      <c r="R25" s="1568" t="s">
        <v>8</v>
      </c>
      <c r="S25" s="1569">
        <f>F25</f>
        <v>100</v>
      </c>
      <c r="T25" s="1568" t="s">
        <v>8</v>
      </c>
      <c r="U25" s="1569">
        <f>H25</f>
        <v>100</v>
      </c>
      <c r="V25" s="1568" t="s">
        <v>8</v>
      </c>
      <c r="W25" s="1569">
        <f>J25</f>
        <v>100</v>
      </c>
      <c r="X25" s="1570"/>
      <c r="Y25" s="3411"/>
      <c r="Z25" s="1149">
        <f>Q25</f>
        <v>111</v>
      </c>
      <c r="AA25" s="1576">
        <f>D25/F25</f>
        <v>1</v>
      </c>
      <c r="AB25" s="1576">
        <f>D25/H25</f>
        <v>1</v>
      </c>
      <c r="AC25" s="1576">
        <f>D25/J25</f>
        <v>1</v>
      </c>
    </row>
    <row r="26" spans="1:29" ht="15">
      <c r="A26" s="2886"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3"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13"/>
      <c r="Q27" s="1605" t="str">
        <f t="shared" si="11"/>
        <v>项目停车位配比</v>
      </c>
      <c r="R27" s="1577" t="s">
        <v>8</v>
      </c>
      <c r="S27" s="1578">
        <f t="shared" si="12"/>
        <v>100</v>
      </c>
      <c r="T27" s="1577" t="s">
        <v>8</v>
      </c>
      <c r="U27" s="1578">
        <f t="shared" si="13"/>
        <v>100</v>
      </c>
      <c r="V27" s="1577" t="s">
        <v>8</v>
      </c>
      <c r="W27" s="1578">
        <f t="shared" si="14"/>
        <v>100</v>
      </c>
      <c r="X27" s="1579"/>
      <c r="Y27" s="3413"/>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3"/>
      <c r="Q28" s="1572" t="str">
        <f t="shared" si="11"/>
        <v>公共部分装修</v>
      </c>
      <c r="R28" s="1573" t="s">
        <v>8</v>
      </c>
      <c r="S28" s="1574">
        <f t="shared" si="12"/>
        <v>100</v>
      </c>
      <c r="T28" s="1573" t="s">
        <v>8</v>
      </c>
      <c r="U28" s="1574">
        <f t="shared" si="13"/>
        <v>100</v>
      </c>
      <c r="V28" s="1573" t="s">
        <v>8</v>
      </c>
      <c r="W28" s="1574">
        <f t="shared" si="14"/>
        <v>100</v>
      </c>
      <c r="X28" s="1567"/>
      <c r="Y28" s="3413"/>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13"/>
      <c r="Q29" s="1572" t="str">
        <f t="shared" si="11"/>
        <v>成新率</v>
      </c>
      <c r="R29" s="1573" t="s">
        <v>8</v>
      </c>
      <c r="S29" s="1574" t="e">
        <f t="shared" si="12"/>
        <v>#N/A</v>
      </c>
      <c r="T29" s="1573" t="s">
        <v>8</v>
      </c>
      <c r="U29" s="1574" t="e">
        <f t="shared" si="13"/>
        <v>#N/A</v>
      </c>
      <c r="V29" s="1573" t="s">
        <v>8</v>
      </c>
      <c r="W29" s="1574" t="e">
        <f t="shared" si="14"/>
        <v>#N/A</v>
      </c>
      <c r="X29" s="1567"/>
      <c r="Y29" s="3413"/>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13"/>
      <c r="Q30" s="1572" t="str">
        <f t="shared" si="11"/>
        <v>物业等级</v>
      </c>
      <c r="R30" s="1573" t="s">
        <v>8</v>
      </c>
      <c r="S30" s="1574">
        <f t="shared" si="12"/>
        <v>100</v>
      </c>
      <c r="T30" s="1573" t="s">
        <v>8</v>
      </c>
      <c r="U30" s="1574">
        <f t="shared" si="13"/>
        <v>100</v>
      </c>
      <c r="V30" s="1573" t="s">
        <v>8</v>
      </c>
      <c r="W30" s="1574">
        <f t="shared" si="14"/>
        <v>100</v>
      </c>
      <c r="X30" s="1567"/>
      <c r="Y30" s="3413"/>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413"/>
      <c r="Q31" s="1150" t="str">
        <f t="shared" si="11"/>
        <v>停车位面积</v>
      </c>
      <c r="R31" s="1568" t="s">
        <v>8</v>
      </c>
      <c r="S31" s="1569" t="e">
        <f t="shared" si="12"/>
        <v>#N/A</v>
      </c>
      <c r="T31" s="1568" t="s">
        <v>8</v>
      </c>
      <c r="U31" s="1569" t="e">
        <f t="shared" si="13"/>
        <v>#N/A</v>
      </c>
      <c r="V31" s="1568" t="s">
        <v>8</v>
      </c>
      <c r="W31" s="1569" t="e">
        <f t="shared" si="14"/>
        <v>#N/A</v>
      </c>
      <c r="X31" s="1570"/>
      <c r="Y31" s="3413"/>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3" t="s">
        <v>550</v>
      </c>
      <c r="Q32" s="1572" t="str">
        <f t="shared" si="11"/>
        <v>车位类型</v>
      </c>
      <c r="R32" s="1573" t="s">
        <v>8</v>
      </c>
      <c r="S32" s="1574">
        <f t="shared" si="12"/>
        <v>100</v>
      </c>
      <c r="T32" s="1573" t="s">
        <v>8</v>
      </c>
      <c r="U32" s="1574">
        <f t="shared" si="13"/>
        <v>100</v>
      </c>
      <c r="V32" s="1573" t="s">
        <v>8</v>
      </c>
      <c r="W32" s="1574">
        <f t="shared" si="14"/>
        <v>100</v>
      </c>
      <c r="X32" s="1567"/>
      <c r="Y32" s="3413"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3"/>
      <c r="Q33" s="1572" t="str">
        <f t="shared" si="11"/>
        <v>是否直接入户</v>
      </c>
      <c r="R33" s="1573" t="s">
        <v>8</v>
      </c>
      <c r="S33" s="1574">
        <f t="shared" si="12"/>
        <v>100</v>
      </c>
      <c r="T33" s="1573" t="s">
        <v>8</v>
      </c>
      <c r="U33" s="1574">
        <f t="shared" si="13"/>
        <v>100</v>
      </c>
      <c r="V33" s="1573" t="s">
        <v>8</v>
      </c>
      <c r="W33" s="1574">
        <f t="shared" si="14"/>
        <v>100</v>
      </c>
      <c r="X33" s="1567"/>
      <c r="Y33" s="3413"/>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3"/>
      <c r="Q34" s="1572">
        <f t="shared" si="11"/>
        <v>111</v>
      </c>
      <c r="R34" s="1573" t="s">
        <v>8</v>
      </c>
      <c r="S34" s="1574">
        <f t="shared" si="12"/>
        <v>100</v>
      </c>
      <c r="T34" s="1573" t="s">
        <v>8</v>
      </c>
      <c r="U34" s="1574">
        <f t="shared" si="13"/>
        <v>100</v>
      </c>
      <c r="V34" s="1573" t="s">
        <v>8</v>
      </c>
      <c r="W34" s="1574">
        <f t="shared" si="14"/>
        <v>100</v>
      </c>
      <c r="X34" s="1567"/>
      <c r="Y34" s="3413"/>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3"/>
      <c r="Q35" s="1605">
        <f t="shared" si="11"/>
        <v>111</v>
      </c>
      <c r="R35" s="1577" t="s">
        <v>8</v>
      </c>
      <c r="S35" s="1578">
        <f t="shared" si="12"/>
        <v>100</v>
      </c>
      <c r="T35" s="1577" t="s">
        <v>8</v>
      </c>
      <c r="U35" s="1578">
        <f t="shared" si="13"/>
        <v>100</v>
      </c>
      <c r="V35" s="1577" t="s">
        <v>8</v>
      </c>
      <c r="W35" s="1578">
        <f t="shared" si="14"/>
        <v>100</v>
      </c>
      <c r="X35" s="1579"/>
      <c r="Y35" s="3413"/>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3"/>
      <c r="Q36" s="1572">
        <f t="shared" si="11"/>
        <v>111</v>
      </c>
      <c r="R36" s="1573" t="s">
        <v>8</v>
      </c>
      <c r="S36" s="1574">
        <f t="shared" si="12"/>
        <v>100</v>
      </c>
      <c r="T36" s="1573" t="s">
        <v>8</v>
      </c>
      <c r="U36" s="1574">
        <f t="shared" si="13"/>
        <v>100</v>
      </c>
      <c r="V36" s="1573" t="s">
        <v>8</v>
      </c>
      <c r="W36" s="1574">
        <f t="shared" si="14"/>
        <v>100</v>
      </c>
      <c r="X36" s="1567"/>
      <c r="Y36" s="3413"/>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374" t="str">
        <f>A37</f>
        <v>成交单价</v>
      </c>
      <c r="Q37" s="3374"/>
      <c r="R37" s="3490">
        <f>E37</f>
        <v>0</v>
      </c>
      <c r="S37" s="3490"/>
      <c r="T37" s="3490">
        <f>G37</f>
        <v>0</v>
      </c>
      <c r="U37" s="3490"/>
      <c r="V37" s="3490">
        <f>I37</f>
        <v>0</v>
      </c>
      <c r="W37" s="3490"/>
      <c r="X37" s="1559"/>
      <c r="Y37" s="1581"/>
      <c r="Z37" s="1559"/>
      <c r="AA37" s="1559"/>
      <c r="AB37" s="1559"/>
      <c r="AC37" s="1559"/>
    </row>
    <row r="38" spans="1:29" ht="15.75" thickBot="1">
      <c r="A38" s="615" t="s">
        <v>2761</v>
      </c>
      <c r="B38" s="887"/>
      <c r="C38" s="2612" t="e">
        <f>R39</f>
        <v>#DIV/0!</v>
      </c>
      <c r="D38" s="2613"/>
      <c r="E38" s="2614" t="e">
        <f>R38</f>
        <v>#DIV/0!</v>
      </c>
      <c r="F38" s="2614"/>
      <c r="G38" s="2612" t="e">
        <f>T38</f>
        <v>#DIV/0!</v>
      </c>
      <c r="H38" s="2613"/>
      <c r="I38" s="2614" t="e">
        <f>V38</f>
        <v>#DIV/0!</v>
      </c>
      <c r="J38" s="2613"/>
      <c r="K38" s="1612"/>
      <c r="L38" s="2144"/>
      <c r="M38" s="2145"/>
      <c r="N38" s="2145"/>
      <c r="O38" s="2145"/>
      <c r="P38" s="3374" t="str">
        <f>A38</f>
        <v>比较价格（元/平方米）</v>
      </c>
      <c r="Q38" s="3374"/>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9"/>
      <c r="Y38" s="1559"/>
      <c r="Z38" s="1559"/>
      <c r="AA38" s="1559"/>
      <c r="AB38" s="1559"/>
      <c r="AC38" s="1559"/>
    </row>
    <row r="39" spans="1:29" ht="15.75" thickBot="1">
      <c r="A39" s="621" t="s">
        <v>2935</v>
      </c>
      <c r="B39" s="622"/>
      <c r="C39" s="2615" t="e">
        <f>R39</f>
        <v>#DIV/0!</v>
      </c>
      <c r="D39" s="2615"/>
      <c r="E39" s="2615"/>
      <c r="F39" s="2615"/>
      <c r="G39" s="2615"/>
      <c r="H39" s="2615"/>
      <c r="I39" s="2615"/>
      <c r="J39" s="2615"/>
      <c r="K39" s="1613"/>
      <c r="L39" s="2144"/>
      <c r="M39" s="2145"/>
      <c r="N39" s="2145"/>
      <c r="O39" s="2145"/>
      <c r="P39" s="3371" t="str">
        <f>A39</f>
        <v>估价对象XX用房的比较价格（楼面单价，元/平方米）</v>
      </c>
      <c r="Q39" s="3372"/>
      <c r="R39" s="3489" t="e">
        <f>IF(F1="售价",ROUND(AVERAGE(R38:V38),0),ROUND(AVERAGE(R38:V38),1))</f>
        <v>#DIV/0!</v>
      </c>
      <c r="S39" s="3489"/>
      <c r="T39" s="3489"/>
      <c r="U39" s="3489"/>
      <c r="V39" s="3489"/>
      <c r="W39" s="3489"/>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781" t="str">
        <f>YEAR(C7)&amp;"-"&amp;MONTH(C7)</f>
        <v>2018-12</v>
      </c>
      <c r="D48" s="2783">
        <f>EDATE(C48,-1)</f>
        <v>43405</v>
      </c>
      <c r="E48" s="2783">
        <f t="shared" ref="E48:O48" si="16">EDATE(D48,-1)</f>
        <v>43374</v>
      </c>
      <c r="F48" s="2783">
        <f t="shared" si="16"/>
        <v>43344</v>
      </c>
      <c r="G48" s="2783">
        <f t="shared" si="16"/>
        <v>43313</v>
      </c>
      <c r="H48" s="2783">
        <f t="shared" si="16"/>
        <v>43282</v>
      </c>
      <c r="I48" s="2783">
        <f t="shared" si="16"/>
        <v>43252</v>
      </c>
      <c r="J48" s="2783">
        <f t="shared" si="16"/>
        <v>43221</v>
      </c>
      <c r="K48" s="2783">
        <f t="shared" si="16"/>
        <v>43191</v>
      </c>
      <c r="L48" s="2783">
        <f t="shared" si="16"/>
        <v>43160</v>
      </c>
      <c r="M48" s="2783">
        <f t="shared" si="16"/>
        <v>43132</v>
      </c>
      <c r="N48" s="2783">
        <f t="shared" si="16"/>
        <v>43101</v>
      </c>
      <c r="O48" s="2783">
        <f t="shared" si="16"/>
        <v>43070</v>
      </c>
      <c r="P48" s="2160"/>
      <c r="Q48" s="2161"/>
      <c r="R48" s="2161"/>
      <c r="S48" s="2161"/>
      <c r="T48" s="2161"/>
      <c r="U48" s="2161"/>
      <c r="V48" s="2161"/>
      <c r="W48" s="2161"/>
      <c r="X48" s="2161"/>
      <c r="Y48" s="2161"/>
      <c r="Z48" s="2161"/>
      <c r="AA48" s="2161"/>
      <c r="AB48" s="2161"/>
      <c r="AC48" s="2161"/>
    </row>
    <row r="49" spans="1:29" s="1219" customFormat="1" ht="15">
      <c r="A49" s="647"/>
      <c r="B49" s="648"/>
      <c r="C49" s="2782">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80" t="s">
        <v>798</v>
      </c>
      <c r="D4" s="3381"/>
      <c r="E4" s="3417" t="s">
        <v>799</v>
      </c>
      <c r="F4" s="3418"/>
      <c r="G4" s="3380" t="s">
        <v>800</v>
      </c>
      <c r="H4" s="3381"/>
      <c r="I4" s="3380" t="s">
        <v>801</v>
      </c>
      <c r="J4" s="3381"/>
      <c r="K4" s="514" t="s">
        <v>802</v>
      </c>
      <c r="L4" s="2133"/>
      <c r="M4" s="2134"/>
      <c r="N4" s="2134"/>
      <c r="O4" s="2134"/>
      <c r="P4" s="3382" t="s">
        <v>803</v>
      </c>
      <c r="Q4" s="3383"/>
      <c r="R4" s="3388" t="s">
        <v>799</v>
      </c>
      <c r="S4" s="3389"/>
      <c r="T4" s="3388" t="s">
        <v>800</v>
      </c>
      <c r="U4" s="3389"/>
      <c r="V4" s="3375" t="s">
        <v>801</v>
      </c>
      <c r="W4" s="3375"/>
      <c r="X4" s="1567"/>
      <c r="Y4" s="3388" t="s">
        <v>803</v>
      </c>
      <c r="Z4" s="3389"/>
      <c r="AA4" s="3377" t="s">
        <v>799</v>
      </c>
      <c r="AB4" s="3378" t="s">
        <v>800</v>
      </c>
      <c r="AC4" s="3377" t="s">
        <v>801</v>
      </c>
    </row>
    <row r="5" spans="1:29" ht="15">
      <c r="A5" s="515"/>
      <c r="B5" s="516"/>
      <c r="C5" s="3414" t="s">
        <v>2929</v>
      </c>
      <c r="D5" s="3397"/>
      <c r="E5" s="3419" t="s">
        <v>2930</v>
      </c>
      <c r="F5" s="3420"/>
      <c r="G5" s="3414" t="s">
        <v>2931</v>
      </c>
      <c r="H5" s="3397"/>
      <c r="I5" s="3414" t="s">
        <v>2932</v>
      </c>
      <c r="J5" s="3397"/>
      <c r="K5" s="514"/>
      <c r="L5" s="2133"/>
      <c r="M5" s="2134"/>
      <c r="N5" s="2134"/>
      <c r="O5" s="2134"/>
      <c r="P5" s="3384"/>
      <c r="Q5" s="3385"/>
      <c r="R5" s="3390"/>
      <c r="S5" s="3391"/>
      <c r="T5" s="3390"/>
      <c r="U5" s="3391"/>
      <c r="V5" s="3375"/>
      <c r="W5" s="3375"/>
      <c r="X5" s="1567"/>
      <c r="Y5" s="3390"/>
      <c r="Z5" s="3391"/>
      <c r="AA5" s="3378"/>
      <c r="AB5" s="3378"/>
      <c r="AC5" s="3378"/>
    </row>
    <row r="6" spans="1:29" ht="15.75" thickBot="1">
      <c r="A6" s="517"/>
      <c r="B6" s="518"/>
      <c r="C6" s="3394" t="s">
        <v>2933</v>
      </c>
      <c r="D6" s="3395"/>
      <c r="E6" s="3415" t="s">
        <v>2933</v>
      </c>
      <c r="F6" s="3416"/>
      <c r="G6" s="3394" t="s">
        <v>2933</v>
      </c>
      <c r="H6" s="3395"/>
      <c r="I6" s="3394" t="s">
        <v>2933</v>
      </c>
      <c r="J6" s="3395"/>
      <c r="K6" s="514" t="s">
        <v>528</v>
      </c>
      <c r="L6" s="2133"/>
      <c r="M6" s="2134"/>
      <c r="N6" s="2134"/>
      <c r="O6" s="2134"/>
      <c r="P6" s="3386"/>
      <c r="Q6" s="3387"/>
      <c r="R6" s="3390"/>
      <c r="S6" s="3391"/>
      <c r="T6" s="3392"/>
      <c r="U6" s="3393"/>
      <c r="V6" s="3375"/>
      <c r="W6" s="3375"/>
      <c r="X6" s="1567"/>
      <c r="Y6" s="3392"/>
      <c r="Z6" s="3393"/>
      <c r="AA6" s="3379"/>
      <c r="AB6" s="3379"/>
      <c r="AC6" s="3379"/>
    </row>
    <row r="7" spans="1:29" s="1219" customFormat="1" ht="15.75" thickBot="1">
      <c r="A7" s="2891"/>
      <c r="B7" s="2898" t="s">
        <v>529</v>
      </c>
      <c r="C7" s="519">
        <f>'数据-取费表'!B2</f>
        <v>43438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7" t="s">
        <v>530</v>
      </c>
      <c r="Q7" s="3409"/>
      <c r="R7" s="1568" t="s">
        <v>8</v>
      </c>
      <c r="S7" s="1569">
        <f t="shared" ref="S7:S14" si="0">F7</f>
        <v>0</v>
      </c>
      <c r="T7" s="1568" t="s">
        <v>8</v>
      </c>
      <c r="U7" s="1569">
        <f t="shared" ref="U7:U14" si="1">H7</f>
        <v>0</v>
      </c>
      <c r="V7" s="1568" t="s">
        <v>8</v>
      </c>
      <c r="W7" s="1569">
        <f t="shared" ref="W7:W14" si="2">J7</f>
        <v>0</v>
      </c>
      <c r="X7" s="1570"/>
      <c r="Y7" s="3407" t="s">
        <v>530</v>
      </c>
      <c r="Z7" s="3408"/>
      <c r="AA7" s="1571" t="e">
        <f>D7/F7</f>
        <v>#DIV/0!</v>
      </c>
      <c r="AB7" s="1571" t="e">
        <f>D7/H7</f>
        <v>#DIV/0!</v>
      </c>
      <c r="AC7" s="1571" t="e">
        <f>D7/J7</f>
        <v>#DIV/0!</v>
      </c>
    </row>
    <row r="8" spans="1:29" s="1219"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7" t="s">
        <v>533</v>
      </c>
      <c r="Q8" s="3408"/>
      <c r="R8" s="1568" t="s">
        <v>8</v>
      </c>
      <c r="S8" s="1569">
        <f t="shared" si="0"/>
        <v>0</v>
      </c>
      <c r="T8" s="1568" t="s">
        <v>8</v>
      </c>
      <c r="U8" s="1569">
        <f t="shared" si="1"/>
        <v>0</v>
      </c>
      <c r="V8" s="1568" t="s">
        <v>8</v>
      </c>
      <c r="W8" s="1569">
        <f t="shared" si="2"/>
        <v>0</v>
      </c>
      <c r="X8" s="1570"/>
      <c r="Y8" s="3407" t="s">
        <v>533</v>
      </c>
      <c r="Z8" s="3408"/>
      <c r="AA8" s="1571" t="e">
        <f t="shared" ref="AA8:AA34" si="3">D8/F8</f>
        <v>#DIV/0!</v>
      </c>
      <c r="AB8" s="1571" t="e">
        <f t="shared" ref="AB8:AB34" si="4">D8/H8</f>
        <v>#DIV/0!</v>
      </c>
      <c r="AC8" s="1571" t="e">
        <f t="shared" ref="AC8:AC34" si="5">D8/J8</f>
        <v>#DIV/0!</v>
      </c>
    </row>
    <row r="9" spans="1:29" s="1219"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4" t="s">
        <v>535</v>
      </c>
      <c r="Q9" s="1150" t="str">
        <f t="shared" ref="Q9:Q14" si="6">B9</f>
        <v>用途</v>
      </c>
      <c r="R9" s="1568" t="s">
        <v>8</v>
      </c>
      <c r="S9" s="1569">
        <f t="shared" si="0"/>
        <v>100</v>
      </c>
      <c r="T9" s="1568" t="s">
        <v>8</v>
      </c>
      <c r="U9" s="1569">
        <f t="shared" si="1"/>
        <v>100</v>
      </c>
      <c r="V9" s="1568" t="s">
        <v>8</v>
      </c>
      <c r="W9" s="1569">
        <f t="shared" si="2"/>
        <v>100</v>
      </c>
      <c r="X9" s="1570"/>
      <c r="Y9" s="3320" t="s">
        <v>536</v>
      </c>
      <c r="Z9" s="1149" t="str">
        <f t="shared" ref="Z9:Z14" si="7">Q9</f>
        <v>用途</v>
      </c>
      <c r="AA9" s="1571">
        <f t="shared" si="3"/>
        <v>1</v>
      </c>
      <c r="AB9" s="1571">
        <f t="shared" si="4"/>
        <v>1</v>
      </c>
      <c r="AC9" s="1571">
        <f t="shared" si="5"/>
        <v>1</v>
      </c>
    </row>
    <row r="10" spans="1:29" s="1337"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4"/>
      <c r="Q10" s="1150" t="str">
        <f t="shared" si="6"/>
        <v>土地使用年限（年）</v>
      </c>
      <c r="R10" s="1568" t="s">
        <v>8</v>
      </c>
      <c r="S10" s="1569">
        <f t="shared" si="0"/>
        <v>100</v>
      </c>
      <c r="T10" s="1568" t="s">
        <v>8</v>
      </c>
      <c r="U10" s="1569">
        <f t="shared" si="1"/>
        <v>100</v>
      </c>
      <c r="V10" s="1568" t="s">
        <v>8</v>
      </c>
      <c r="W10" s="1569">
        <f t="shared" si="2"/>
        <v>100</v>
      </c>
      <c r="X10" s="1570"/>
      <c r="Y10" s="3320"/>
      <c r="Z10" s="1149" t="str">
        <f t="shared" si="7"/>
        <v>土地使用年限（年）</v>
      </c>
      <c r="AA10" s="1571">
        <f t="shared" si="3"/>
        <v>1</v>
      </c>
      <c r="AB10" s="1571">
        <f t="shared" si="4"/>
        <v>1</v>
      </c>
      <c r="AC10" s="1571">
        <f t="shared" si="5"/>
        <v>1</v>
      </c>
    </row>
    <row r="11" spans="1:29" ht="15">
      <c r="A11" s="2896"/>
      <c r="B11" s="2902">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374"/>
      <c r="Q11" s="1150">
        <f t="shared" si="6"/>
        <v>111</v>
      </c>
      <c r="R11" s="1568" t="s">
        <v>8</v>
      </c>
      <c r="S11" s="1569">
        <f t="shared" si="0"/>
        <v>100</v>
      </c>
      <c r="T11" s="1568" t="s">
        <v>8</v>
      </c>
      <c r="U11" s="1569">
        <f t="shared" si="1"/>
        <v>100</v>
      </c>
      <c r="V11" s="1568" t="s">
        <v>8</v>
      </c>
      <c r="W11" s="1569">
        <f t="shared" si="2"/>
        <v>100</v>
      </c>
      <c r="X11" s="1570"/>
      <c r="Y11" s="3320"/>
      <c r="Z11" s="1149">
        <f t="shared" si="7"/>
        <v>111</v>
      </c>
      <c r="AA11" s="1571">
        <f t="shared" si="3"/>
        <v>1</v>
      </c>
      <c r="AB11" s="1571">
        <f t="shared" si="4"/>
        <v>1</v>
      </c>
      <c r="AC11" s="1571">
        <f t="shared" si="5"/>
        <v>1</v>
      </c>
    </row>
    <row r="12" spans="1:29" s="1219" customFormat="1" ht="15">
      <c r="A12" s="2896"/>
      <c r="B12" s="2902">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374"/>
      <c r="Q12" s="1150">
        <f t="shared" si="6"/>
        <v>111</v>
      </c>
      <c r="R12" s="1568" t="s">
        <v>8</v>
      </c>
      <c r="S12" s="1569">
        <f t="shared" si="0"/>
        <v>100</v>
      </c>
      <c r="T12" s="1568" t="s">
        <v>8</v>
      </c>
      <c r="U12" s="1569">
        <f t="shared" si="1"/>
        <v>100</v>
      </c>
      <c r="V12" s="1568" t="s">
        <v>8</v>
      </c>
      <c r="W12" s="1569">
        <f t="shared" si="2"/>
        <v>100</v>
      </c>
      <c r="X12" s="1570"/>
      <c r="Y12" s="3320"/>
      <c r="Z12" s="1149">
        <f t="shared" si="7"/>
        <v>111</v>
      </c>
      <c r="AA12" s="1571">
        <f>D12/F12</f>
        <v>1</v>
      </c>
      <c r="AB12" s="1571">
        <f>D12/H12</f>
        <v>1</v>
      </c>
      <c r="AC12" s="1571">
        <f>D12/J12</f>
        <v>1</v>
      </c>
    </row>
    <row r="13" spans="1:29" ht="15.75" thickBot="1">
      <c r="A13" s="2897"/>
      <c r="B13" s="2903">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374"/>
      <c r="Q13" s="1150">
        <f t="shared" si="6"/>
        <v>111</v>
      </c>
      <c r="R13" s="1568" t="s">
        <v>8</v>
      </c>
      <c r="S13" s="1569">
        <f t="shared" si="0"/>
        <v>100</v>
      </c>
      <c r="T13" s="1568" t="s">
        <v>8</v>
      </c>
      <c r="U13" s="1569">
        <f t="shared" si="1"/>
        <v>100</v>
      </c>
      <c r="V13" s="1568" t="s">
        <v>8</v>
      </c>
      <c r="W13" s="1569">
        <f t="shared" si="2"/>
        <v>100</v>
      </c>
      <c r="X13" s="1570"/>
      <c r="Y13" s="3320"/>
      <c r="Z13" s="1149">
        <f t="shared" si="7"/>
        <v>111</v>
      </c>
      <c r="AA13" s="1571">
        <f t="shared" si="3"/>
        <v>1</v>
      </c>
      <c r="AB13" s="1571">
        <f t="shared" si="4"/>
        <v>1</v>
      </c>
      <c r="AC13" s="1571">
        <f t="shared" si="5"/>
        <v>1</v>
      </c>
    </row>
    <row r="14" spans="1:29" ht="114">
      <c r="A14" s="2889" t="s">
        <v>2755</v>
      </c>
      <c r="B14" s="166" t="s">
        <v>543</v>
      </c>
      <c r="C14" s="920" t="str">
        <f>IF(B1="工业",估价对象房地状况!G4,估价对象房地状况!C6)</f>
        <v>估价对象有主干道东山路和次干道金马大道、有12、13、108等公交车经停、停车便捷程度较好，综合评价交通便捷度较好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10" t="s">
        <v>540</v>
      </c>
      <c r="Q14" s="1572" t="str">
        <f t="shared" si="6"/>
        <v>交通便捷度</v>
      </c>
      <c r="R14" s="1573" t="s">
        <v>8</v>
      </c>
      <c r="S14" s="1574">
        <f t="shared" si="0"/>
        <v>100</v>
      </c>
      <c r="T14" s="1573" t="s">
        <v>8</v>
      </c>
      <c r="U14" s="1574">
        <f t="shared" si="1"/>
        <v>100</v>
      </c>
      <c r="V14" s="1573" t="s">
        <v>8</v>
      </c>
      <c r="W14" s="1574">
        <f t="shared" si="2"/>
        <v>100</v>
      </c>
      <c r="X14" s="1567"/>
      <c r="Y14" s="3410"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2"/>
      <c r="M15" s="2134"/>
      <c r="N15" s="2134"/>
      <c r="O15" s="2141"/>
      <c r="P15" s="3411"/>
      <c r="Q15" s="1572"/>
      <c r="R15" s="1573"/>
      <c r="S15" s="1574"/>
      <c r="T15" s="1573"/>
      <c r="U15" s="1574"/>
      <c r="V15" s="1573"/>
      <c r="W15" s="1574"/>
      <c r="X15" s="1567"/>
      <c r="Y15" s="3411"/>
      <c r="Z15" s="1575"/>
      <c r="AA15" s="1576">
        <v>1</v>
      </c>
      <c r="AB15" s="1576">
        <v>1</v>
      </c>
      <c r="AC15" s="1576">
        <v>1</v>
      </c>
    </row>
    <row r="16" spans="1:29" ht="85.5">
      <c r="A16" s="532"/>
      <c r="B16" s="2582" t="s">
        <v>2547</v>
      </c>
      <c r="C16" s="872" t="str">
        <f>IF(B1="工业",估价对象房地状况!G5,估价对象房地状况!C7)</f>
        <v>估价对象所在区域公共配套设施齐备较齐全（有金山中学、中国银行、韩溪眼科医院）</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11"/>
      <c r="Q16" s="1572" t="str">
        <f>B16</f>
        <v>公共配套设施</v>
      </c>
      <c r="R16" s="1573" t="s">
        <v>8</v>
      </c>
      <c r="S16" s="1574">
        <f>F16</f>
        <v>100</v>
      </c>
      <c r="T16" s="1573" t="s">
        <v>8</v>
      </c>
      <c r="U16" s="1574">
        <f>H16</f>
        <v>100</v>
      </c>
      <c r="V16" s="1573" t="s">
        <v>8</v>
      </c>
      <c r="W16" s="1574">
        <f>J16</f>
        <v>100</v>
      </c>
      <c r="X16" s="1567"/>
      <c r="Y16" s="341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2"/>
      <c r="M17" s="2134"/>
      <c r="N17" s="2134"/>
      <c r="O17" s="2141"/>
      <c r="P17" s="3411"/>
      <c r="Q17" s="1572"/>
      <c r="R17" s="1573"/>
      <c r="S17" s="1574"/>
      <c r="T17" s="1573"/>
      <c r="U17" s="1574"/>
      <c r="V17" s="1573"/>
      <c r="W17" s="1574"/>
      <c r="X17" s="1567"/>
      <c r="Y17" s="3411"/>
      <c r="Z17" s="1575"/>
      <c r="AA17" s="1576">
        <v>1</v>
      </c>
      <c r="AB17" s="1576">
        <v>1</v>
      </c>
      <c r="AC17" s="1576">
        <v>1</v>
      </c>
    </row>
    <row r="18" spans="1:29" ht="42.75">
      <c r="A18" s="532"/>
      <c r="B18" s="2570" t="s">
        <v>2559</v>
      </c>
      <c r="C18" s="872" t="str">
        <f>IF(B1="工业",估价对象房地状况!G6,估价对象房地状况!C8)</f>
        <v>估价对象所在区域基础设施水平较高</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11"/>
      <c r="Q18" s="2558" t="str">
        <f>B18</f>
        <v>基础设施水平</v>
      </c>
      <c r="R18" s="1573" t="s">
        <v>8</v>
      </c>
      <c r="S18" s="1574">
        <f>F18</f>
        <v>100</v>
      </c>
      <c r="T18" s="1573" t="s">
        <v>8</v>
      </c>
      <c r="U18" s="1574">
        <f>H18</f>
        <v>100</v>
      </c>
      <c r="V18" s="1573" t="s">
        <v>8</v>
      </c>
      <c r="W18" s="1574">
        <f>J18</f>
        <v>100</v>
      </c>
      <c r="X18" s="2560"/>
      <c r="Y18" s="3411"/>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411"/>
      <c r="Q19" s="2558"/>
      <c r="R19" s="1573"/>
      <c r="S19" s="1574"/>
      <c r="T19" s="1573"/>
      <c r="U19" s="1574"/>
      <c r="V19" s="1573"/>
      <c r="W19" s="1574"/>
      <c r="X19" s="2560"/>
      <c r="Y19" s="3411"/>
      <c r="Z19" s="2559"/>
      <c r="AA19" s="1576">
        <v>1</v>
      </c>
      <c r="AB19" s="1576">
        <v>1</v>
      </c>
      <c r="AC19" s="1576">
        <v>1</v>
      </c>
    </row>
    <row r="20" spans="1:29" ht="85.5">
      <c r="A20" s="532"/>
      <c r="B20" s="871" t="s">
        <v>804</v>
      </c>
      <c r="C20" s="872" t="str">
        <f>IF(B1="工业",估价对象房地状况!G7,估价对象房地状况!C9)</f>
        <v>区域自然环境：；人文环境（潮州市行政学院、慧如公园）；综合评价环境状况较好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11"/>
      <c r="Q20" s="1572" t="str">
        <f>B20</f>
        <v>自然及人文环境</v>
      </c>
      <c r="R20" s="1573" t="s">
        <v>8</v>
      </c>
      <c r="S20" s="1574">
        <f>F20</f>
        <v>100</v>
      </c>
      <c r="T20" s="1573" t="s">
        <v>8</v>
      </c>
      <c r="U20" s="1574">
        <f>H20</f>
        <v>100</v>
      </c>
      <c r="V20" s="1573" t="s">
        <v>8</v>
      </c>
      <c r="W20" s="1574">
        <f>J20</f>
        <v>100</v>
      </c>
      <c r="X20" s="1567"/>
      <c r="Y20" s="341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2"/>
      <c r="M21" s="2134"/>
      <c r="N21" s="2134"/>
      <c r="O21" s="2141"/>
      <c r="P21" s="3411"/>
      <c r="Q21" s="1572"/>
      <c r="R21" s="1573"/>
      <c r="S21" s="1574"/>
      <c r="T21" s="1573"/>
      <c r="U21" s="1574"/>
      <c r="V21" s="1573"/>
      <c r="W21" s="1574"/>
      <c r="X21" s="1567"/>
      <c r="Y21" s="3411"/>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1"/>
      <c r="Q22" s="1572" t="str">
        <f>B22</f>
        <v>楼层</v>
      </c>
      <c r="R22" s="1573" t="s">
        <v>8</v>
      </c>
      <c r="S22" s="1574">
        <f>F22</f>
        <v>100</v>
      </c>
      <c r="T22" s="1573" t="s">
        <v>8</v>
      </c>
      <c r="U22" s="1574">
        <f>H22</f>
        <v>100</v>
      </c>
      <c r="V22" s="1573" t="s">
        <v>8</v>
      </c>
      <c r="W22" s="1574">
        <f>J22</f>
        <v>100</v>
      </c>
      <c r="X22" s="1567"/>
      <c r="Y22" s="341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1"/>
      <c r="Q23" s="1572">
        <f>B23</f>
        <v>111</v>
      </c>
      <c r="R23" s="1573" t="s">
        <v>8</v>
      </c>
      <c r="S23" s="1574">
        <f>F23</f>
        <v>100</v>
      </c>
      <c r="T23" s="1573" t="s">
        <v>8</v>
      </c>
      <c r="U23" s="1574">
        <f>H23</f>
        <v>100</v>
      </c>
      <c r="V23" s="1573" t="s">
        <v>8</v>
      </c>
      <c r="W23" s="1574">
        <f>J23</f>
        <v>100</v>
      </c>
      <c r="X23" s="1567"/>
      <c r="Y23" s="341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1"/>
      <c r="Q24" s="1572">
        <f t="shared" ref="Q24:Q34" si="11">B24</f>
        <v>111</v>
      </c>
      <c r="R24" s="1573" t="s">
        <v>8</v>
      </c>
      <c r="S24" s="1574">
        <f>F24</f>
        <v>100</v>
      </c>
      <c r="T24" s="1573" t="s">
        <v>8</v>
      </c>
      <c r="U24" s="1574">
        <f>H24</f>
        <v>100</v>
      </c>
      <c r="V24" s="1573" t="s">
        <v>8</v>
      </c>
      <c r="W24" s="1574">
        <f>J24</f>
        <v>100</v>
      </c>
      <c r="X24" s="1567"/>
      <c r="Y24" s="3411"/>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11"/>
      <c r="Q25" s="1150">
        <f t="shared" si="11"/>
        <v>111</v>
      </c>
      <c r="R25" s="1568" t="s">
        <v>8</v>
      </c>
      <c r="S25" s="1569">
        <f>F25</f>
        <v>100</v>
      </c>
      <c r="T25" s="1568" t="s">
        <v>8</v>
      </c>
      <c r="U25" s="1569">
        <f>H25</f>
        <v>100</v>
      </c>
      <c r="V25" s="1568" t="s">
        <v>8</v>
      </c>
      <c r="W25" s="1569">
        <f>J25</f>
        <v>100</v>
      </c>
      <c r="X25" s="1570"/>
      <c r="Y25" s="3411"/>
      <c r="Z25" s="1149">
        <f>Q25</f>
        <v>111</v>
      </c>
      <c r="AA25" s="1576">
        <f>D25/F25</f>
        <v>1</v>
      </c>
      <c r="AB25" s="1576">
        <f>D25/H25</f>
        <v>1</v>
      </c>
      <c r="AC25" s="1576">
        <f>D25/J25</f>
        <v>1</v>
      </c>
    </row>
    <row r="26" spans="1:29" ht="15">
      <c r="A26" s="2886"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1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3"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13"/>
      <c r="Q27" s="1605" t="str">
        <f t="shared" si="11"/>
        <v>成新率</v>
      </c>
      <c r="R27" s="1577" t="s">
        <v>8</v>
      </c>
      <c r="S27" s="1578" t="e">
        <f t="shared" si="12"/>
        <v>#N/A</v>
      </c>
      <c r="T27" s="1577" t="s">
        <v>8</v>
      </c>
      <c r="U27" s="1578" t="e">
        <f t="shared" si="13"/>
        <v>#N/A</v>
      </c>
      <c r="V27" s="1577" t="s">
        <v>8</v>
      </c>
      <c r="W27" s="1578" t="e">
        <f t="shared" si="14"/>
        <v>#N/A</v>
      </c>
      <c r="X27" s="1579"/>
      <c r="Y27" s="3413"/>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3"/>
      <c r="Q28" s="1572" t="str">
        <f t="shared" si="11"/>
        <v>物业等级</v>
      </c>
      <c r="R28" s="1573" t="s">
        <v>8</v>
      </c>
      <c r="S28" s="1574">
        <f t="shared" si="12"/>
        <v>100</v>
      </c>
      <c r="T28" s="1573" t="s">
        <v>8</v>
      </c>
      <c r="U28" s="1574">
        <f t="shared" si="13"/>
        <v>100</v>
      </c>
      <c r="V28" s="1573" t="s">
        <v>8</v>
      </c>
      <c r="W28" s="1574">
        <f t="shared" si="14"/>
        <v>100</v>
      </c>
      <c r="X28" s="1567"/>
      <c r="Y28" s="3413"/>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13"/>
      <c r="Q29" s="1572" t="str">
        <f t="shared" si="11"/>
        <v>有无电梯</v>
      </c>
      <c r="R29" s="1573" t="s">
        <v>8</v>
      </c>
      <c r="S29" s="1574">
        <f t="shared" si="12"/>
        <v>100</v>
      </c>
      <c r="T29" s="1573" t="s">
        <v>8</v>
      </c>
      <c r="U29" s="1574">
        <f t="shared" si="13"/>
        <v>100</v>
      </c>
      <c r="V29" s="1573" t="s">
        <v>8</v>
      </c>
      <c r="W29" s="1574">
        <f t="shared" si="14"/>
        <v>100</v>
      </c>
      <c r="X29" s="1567"/>
      <c r="Y29" s="3413"/>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413"/>
      <c r="Q30" s="1572" t="str">
        <f t="shared" si="11"/>
        <v>建筑面积</v>
      </c>
      <c r="R30" s="1573" t="s">
        <v>8</v>
      </c>
      <c r="S30" s="1574" t="e">
        <f t="shared" si="12"/>
        <v>#N/A</v>
      </c>
      <c r="T30" s="1573" t="s">
        <v>8</v>
      </c>
      <c r="U30" s="1574" t="e">
        <f t="shared" si="13"/>
        <v>#N/A</v>
      </c>
      <c r="V30" s="1573" t="s">
        <v>8</v>
      </c>
      <c r="W30" s="1574" t="e">
        <f t="shared" si="14"/>
        <v>#N/A</v>
      </c>
      <c r="X30" s="1567"/>
      <c r="Y30" s="3413"/>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13"/>
      <c r="Q31" s="1150" t="str">
        <f t="shared" si="11"/>
        <v>是否封闭</v>
      </c>
      <c r="R31" s="1568" t="s">
        <v>8</v>
      </c>
      <c r="S31" s="1569">
        <f t="shared" si="12"/>
        <v>100</v>
      </c>
      <c r="T31" s="1568" t="s">
        <v>8</v>
      </c>
      <c r="U31" s="1569">
        <f t="shared" si="13"/>
        <v>100</v>
      </c>
      <c r="V31" s="1568" t="s">
        <v>8</v>
      </c>
      <c r="W31" s="1569">
        <f t="shared" si="14"/>
        <v>100</v>
      </c>
      <c r="X31" s="1570"/>
      <c r="Y31" s="3413"/>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413" t="s">
        <v>550</v>
      </c>
      <c r="Q32" s="1572">
        <f t="shared" si="11"/>
        <v>111</v>
      </c>
      <c r="R32" s="1573" t="s">
        <v>8</v>
      </c>
      <c r="S32" s="1574">
        <f t="shared" si="12"/>
        <v>100</v>
      </c>
      <c r="T32" s="1573" t="s">
        <v>8</v>
      </c>
      <c r="U32" s="1574">
        <f t="shared" si="13"/>
        <v>100</v>
      </c>
      <c r="V32" s="1573" t="s">
        <v>8</v>
      </c>
      <c r="W32" s="1574">
        <f t="shared" si="14"/>
        <v>100</v>
      </c>
      <c r="X32" s="1567"/>
      <c r="Y32" s="3413"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413"/>
      <c r="Q33" s="1572">
        <f t="shared" si="11"/>
        <v>111</v>
      </c>
      <c r="R33" s="1573" t="s">
        <v>8</v>
      </c>
      <c r="S33" s="1574">
        <f t="shared" si="12"/>
        <v>100</v>
      </c>
      <c r="T33" s="1573" t="s">
        <v>8</v>
      </c>
      <c r="U33" s="1574">
        <f t="shared" si="13"/>
        <v>100</v>
      </c>
      <c r="V33" s="1573" t="s">
        <v>8</v>
      </c>
      <c r="W33" s="1574">
        <f t="shared" si="14"/>
        <v>100</v>
      </c>
      <c r="X33" s="1567"/>
      <c r="Y33" s="3413"/>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13"/>
      <c r="Q34" s="1572">
        <f t="shared" si="11"/>
        <v>111</v>
      </c>
      <c r="R34" s="1573" t="s">
        <v>8</v>
      </c>
      <c r="S34" s="1574">
        <f t="shared" si="12"/>
        <v>100</v>
      </c>
      <c r="T34" s="1573" t="s">
        <v>8</v>
      </c>
      <c r="U34" s="1574">
        <f t="shared" si="13"/>
        <v>100</v>
      </c>
      <c r="V34" s="1573" t="s">
        <v>8</v>
      </c>
      <c r="W34" s="1574">
        <f t="shared" si="14"/>
        <v>100</v>
      </c>
      <c r="X34" s="1567"/>
      <c r="Y34" s="3413"/>
      <c r="Z34" s="1575">
        <f t="shared" si="15"/>
        <v>111</v>
      </c>
      <c r="AA34" s="1576">
        <f t="shared" si="3"/>
        <v>1</v>
      </c>
      <c r="AB34" s="1576">
        <f t="shared" si="4"/>
        <v>1</v>
      </c>
      <c r="AC34" s="1576">
        <f t="shared" si="5"/>
        <v>1</v>
      </c>
    </row>
    <row r="35" spans="1:29" ht="15">
      <c r="A35" s="607" t="s">
        <v>736</v>
      </c>
      <c r="B35" s="886"/>
      <c r="C35" s="2606" t="s">
        <v>1</v>
      </c>
      <c r="D35" s="2607"/>
      <c r="E35" s="2608"/>
      <c r="F35" s="2609"/>
      <c r="G35" s="2610"/>
      <c r="H35" s="2611"/>
      <c r="I35" s="2608"/>
      <c r="J35" s="2611"/>
      <c r="K35" s="1611"/>
      <c r="L35" s="2144"/>
      <c r="M35" s="2145"/>
      <c r="N35" s="2134"/>
      <c r="O35" s="2145"/>
      <c r="P35" s="3374" t="str">
        <f>A35</f>
        <v>成交单价（元/平方米）</v>
      </c>
      <c r="Q35" s="3374"/>
      <c r="R35" s="3490">
        <f>E35</f>
        <v>0</v>
      </c>
      <c r="S35" s="3490"/>
      <c r="T35" s="3490">
        <f>G35</f>
        <v>0</v>
      </c>
      <c r="U35" s="3490"/>
      <c r="V35" s="3490">
        <f>I35</f>
        <v>0</v>
      </c>
      <c r="W35" s="3490"/>
      <c r="X35" s="1559"/>
      <c r="Y35" s="1581"/>
      <c r="Z35" s="1559"/>
      <c r="AA35" s="1559"/>
      <c r="AB35" s="1559"/>
      <c r="AC35" s="1559"/>
    </row>
    <row r="36" spans="1:29" ht="15.75" thickBot="1">
      <c r="A36" s="615" t="s">
        <v>2761</v>
      </c>
      <c r="B36" s="887"/>
      <c r="C36" s="2612" t="e">
        <f>R37</f>
        <v>#DIV/0!</v>
      </c>
      <c r="D36" s="2613"/>
      <c r="E36" s="2614" t="e">
        <f>R36</f>
        <v>#DIV/0!</v>
      </c>
      <c r="F36" s="2614"/>
      <c r="G36" s="2612" t="e">
        <f>T36</f>
        <v>#DIV/0!</v>
      </c>
      <c r="H36" s="2613"/>
      <c r="I36" s="2614" t="e">
        <f>V36</f>
        <v>#DIV/0!</v>
      </c>
      <c r="J36" s="2613"/>
      <c r="K36" s="1612"/>
      <c r="L36" s="2144"/>
      <c r="M36" s="2145"/>
      <c r="N36" s="2134"/>
      <c r="O36" s="2145"/>
      <c r="P36" s="3374" t="str">
        <f>A36</f>
        <v>比较价格（元/平方米）</v>
      </c>
      <c r="Q36" s="3374"/>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9"/>
      <c r="Y36" s="1559"/>
      <c r="Z36" s="1559"/>
      <c r="AA36" s="1559"/>
      <c r="AB36" s="1559"/>
      <c r="AC36" s="1559"/>
    </row>
    <row r="37" spans="1:29" ht="15.75" thickBot="1">
      <c r="A37" s="621" t="s">
        <v>2935</v>
      </c>
      <c r="B37" s="622"/>
      <c r="C37" s="2615" t="e">
        <f>R37</f>
        <v>#DIV/0!</v>
      </c>
      <c r="D37" s="2615"/>
      <c r="E37" s="2615"/>
      <c r="F37" s="2615"/>
      <c r="G37" s="2615"/>
      <c r="H37" s="2615"/>
      <c r="I37" s="2615"/>
      <c r="J37" s="2615"/>
      <c r="K37" s="1613"/>
      <c r="L37" s="2144"/>
      <c r="M37" s="2145"/>
      <c r="N37" s="2145"/>
      <c r="O37" s="2145"/>
      <c r="P37" s="3371" t="str">
        <f>A37</f>
        <v>估价对象XX用房的比较价格（楼面单价，元/平方米）</v>
      </c>
      <c r="Q37" s="3372"/>
      <c r="R37" s="3489" t="e">
        <f>IF(F1="售价",ROUND(AVERAGE(R36:V36),0),ROUND(AVERAGE(R36:V36),1))</f>
        <v>#DIV/0!</v>
      </c>
      <c r="S37" s="3489"/>
      <c r="T37" s="3489"/>
      <c r="U37" s="3489"/>
      <c r="V37" s="3489"/>
      <c r="W37" s="3489"/>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529</v>
      </c>
      <c r="B46" s="646"/>
      <c r="C46" s="2781" t="str">
        <f>YEAR(C7)&amp;"-"&amp;MONTH(C7)</f>
        <v>2018-12</v>
      </c>
      <c r="D46" s="2783">
        <f>EDATE(C46,-1)</f>
        <v>43405</v>
      </c>
      <c r="E46" s="2783">
        <f t="shared" ref="E46:O46" si="16">EDATE(D46,-1)</f>
        <v>43374</v>
      </c>
      <c r="F46" s="2783">
        <f t="shared" si="16"/>
        <v>43344</v>
      </c>
      <c r="G46" s="2783">
        <f t="shared" si="16"/>
        <v>43313</v>
      </c>
      <c r="H46" s="2783">
        <f t="shared" si="16"/>
        <v>43282</v>
      </c>
      <c r="I46" s="2783">
        <f t="shared" si="16"/>
        <v>43252</v>
      </c>
      <c r="J46" s="2783">
        <f t="shared" si="16"/>
        <v>43221</v>
      </c>
      <c r="K46" s="2783">
        <f t="shared" si="16"/>
        <v>43191</v>
      </c>
      <c r="L46" s="2783">
        <f t="shared" si="16"/>
        <v>43160</v>
      </c>
      <c r="M46" s="2783">
        <f t="shared" si="16"/>
        <v>43132</v>
      </c>
      <c r="N46" s="2783">
        <f t="shared" si="16"/>
        <v>43101</v>
      </c>
      <c r="O46" s="2783">
        <f t="shared" si="16"/>
        <v>43070</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2304</v>
      </c>
      <c r="C1" s="3502" t="s">
        <v>2305</v>
      </c>
      <c r="D1" s="3503"/>
      <c r="E1" s="3503"/>
      <c r="F1" s="3503"/>
      <c r="G1" s="3503"/>
      <c r="H1" s="3503"/>
      <c r="I1" s="3503"/>
      <c r="J1" s="3503"/>
      <c r="K1" s="3503"/>
      <c r="L1" s="3503"/>
      <c r="M1" s="3503"/>
      <c r="N1" s="3503"/>
      <c r="O1" s="3503"/>
      <c r="P1" s="3503"/>
      <c r="Q1" s="3503"/>
      <c r="R1" s="3503"/>
      <c r="S1" s="3504"/>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99" t="s">
        <v>20</v>
      </c>
      <c r="D22" s="3500"/>
      <c r="E22" s="3500"/>
      <c r="F22" s="3500"/>
      <c r="G22" s="3500"/>
      <c r="H22" s="3500"/>
      <c r="I22" s="3500"/>
      <c r="J22" s="3500"/>
      <c r="K22" s="3500"/>
      <c r="L22" s="3500"/>
      <c r="M22" s="3500"/>
      <c r="N22" s="3500"/>
      <c r="O22" s="3500"/>
      <c r="P22" s="3500"/>
      <c r="Q22" s="3501"/>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受贵公司委托，我公司对广东省潮州市潮州市东山旅游度假区A6、B7出让国有建设用地使用权抵押价格进行了预评估。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潮州市景德房地产有限公司使用的、位于广东省潮州市潮州市东山旅游度假区A6、B7出让国有建设用地使用权。根据《国有土地使用证》[]，估价对象（分摊）出让国有建设用地使用权面积为46806.26平方米。根据《建设工程规划许可证》[]、《出让合同》[]，估价对象规划建筑面积为245520.35平方米。</v>
      </c>
    </row>
    <row r="7" spans="1:4" ht="93.75">
      <c r="A7" s="2852" t="s">
        <v>2749</v>
      </c>
    </row>
    <row r="8" spans="1:4" ht="18.75">
      <c r="A8" s="1794" t="s">
        <v>1907</v>
      </c>
    </row>
    <row r="9" spans="1:4" ht="75">
      <c r="A9" s="1796" t="str">
        <f>IF(项目基本情况!B8="抵押",IF(项目基本情况!B5=项目基本情况!B6,定义!C51,定义!B51),定义!D51)</f>
        <v>拟使用广东省潮州市潮州市东山旅游度假区A6、B7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2018年12月4日（评估专业人员勘察现场之日）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根据《国有土地使用证》[粤（2018）潮州市不动产权第0004594号]，本次评估估价对象证载（地类）用途为城镇住宅用地。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根据《国有土地使用证》[]，估价对象（分摊）出让国有建设用地使用权面积为46806.26平方米。根据《建设工程规划许可证》[]、《出让合同》[]，估价对象规划建筑面积为245520.35平方米。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4"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43438</v>
      </c>
      <c r="H1" s="2917">
        <f>IF(C1&gt;C13,0,MATCH(C1,C$13:C$100,-1))+IF(SUMIF(C13:C100,C1,D13:D100)=0,13,12)</f>
        <v>13</v>
      </c>
      <c r="I1" s="2917">
        <f ca="1">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3</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8"/>
  <sheetViews>
    <sheetView workbookViewId="0">
      <selection activeCell="L29" sqref="L29"/>
    </sheetView>
  </sheetViews>
  <sheetFormatPr defaultRowHeight="13.5"/>
  <cols>
    <col min="1" max="1" width="20.5" style="2918" customWidth="1"/>
    <col min="2" max="2" width="6.25" style="2918" customWidth="1"/>
    <col min="3" max="3" width="7.875" style="2918" customWidth="1"/>
    <col min="4" max="4" width="6.25" style="2918" customWidth="1"/>
    <col min="5" max="5" width="4.625" style="2918" hidden="1" customWidth="1"/>
    <col min="6" max="6" width="21.875" style="2918" customWidth="1"/>
    <col min="7" max="7" width="7.875" style="2918" hidden="1" customWidth="1"/>
    <col min="8" max="8" width="15.625" style="2918" hidden="1" customWidth="1"/>
    <col min="9" max="9" width="8.5" style="2918" hidden="1" customWidth="1"/>
    <col min="10" max="11" width="8.5" style="2918" customWidth="1"/>
    <col min="12" max="12" width="18.75" style="2918" customWidth="1"/>
    <col min="13" max="13" width="7.875" style="2918" hidden="1" customWidth="1"/>
    <col min="14" max="15" width="11.25" style="2918" hidden="1" customWidth="1"/>
    <col min="16" max="16" width="9.625" style="2918" hidden="1" customWidth="1"/>
    <col min="17" max="18" width="15.5" style="2918" hidden="1" customWidth="1"/>
    <col min="19" max="19" width="12.875" style="2918" hidden="1" customWidth="1"/>
    <col min="20" max="21" width="11.25" style="2918" hidden="1" customWidth="1"/>
    <col min="22" max="22" width="17.75" style="2918" hidden="1" customWidth="1"/>
    <col min="23" max="23" width="7.875" style="2918" hidden="1" customWidth="1"/>
    <col min="24" max="26" width="9" style="2918" hidden="1" customWidth="1"/>
    <col min="27" max="27" width="9" style="2918" customWidth="1"/>
    <col min="28" max="28" width="19.5" style="2918" hidden="1" customWidth="1"/>
    <col min="29" max="29" width="7.875" style="2918" hidden="1" customWidth="1"/>
    <col min="30" max="30" width="29.5" style="2918" hidden="1" customWidth="1"/>
    <col min="31" max="32" width="10.625" style="2918" hidden="1" customWidth="1"/>
    <col min="33" max="33" width="8.75" style="2918" customWidth="1"/>
    <col min="34" max="34" width="11.375" style="2918" hidden="1" customWidth="1"/>
    <col min="35" max="35" width="8.125" style="2918" customWidth="1"/>
    <col min="36" max="36" width="14.25" style="2918" hidden="1" customWidth="1"/>
    <col min="37" max="37" width="8.5" style="2918" customWidth="1"/>
    <col min="38" max="39" width="21.875" style="2918" hidden="1" customWidth="1"/>
    <col min="40" max="40" width="5.5" style="2918" customWidth="1"/>
    <col min="41" max="41" width="4" style="2918" customWidth="1"/>
    <col min="42" max="42" width="16.875" style="2918" hidden="1" customWidth="1"/>
    <col min="43" max="44" width="20.125" style="2918" hidden="1" customWidth="1"/>
    <col min="45" max="256" width="9" style="2918"/>
    <col min="257" max="257" width="20.5" style="2918" customWidth="1"/>
    <col min="258" max="258" width="6.25" style="2918" customWidth="1"/>
    <col min="259" max="259" width="7.875" style="2918" customWidth="1"/>
    <col min="260" max="260" width="6.25" style="2918" customWidth="1"/>
    <col min="261" max="261" width="0" style="2918" hidden="1" customWidth="1"/>
    <col min="262" max="262" width="21.875" style="2918" customWidth="1"/>
    <col min="263" max="265" width="0" style="2918" hidden="1" customWidth="1"/>
    <col min="266" max="267" width="8.5" style="2918" customWidth="1"/>
    <col min="268" max="268" width="18.75" style="2918" customWidth="1"/>
    <col min="269" max="282" width="0" style="2918" hidden="1" customWidth="1"/>
    <col min="283" max="283" width="9" style="2918" customWidth="1"/>
    <col min="284" max="288" width="0" style="2918" hidden="1" customWidth="1"/>
    <col min="289" max="289" width="8.75" style="2918" customWidth="1"/>
    <col min="290" max="290" width="0" style="2918" hidden="1" customWidth="1"/>
    <col min="291" max="291" width="8.125" style="2918" customWidth="1"/>
    <col min="292" max="292" width="0" style="2918" hidden="1" customWidth="1"/>
    <col min="293" max="293" width="8.5" style="2918" customWidth="1"/>
    <col min="294" max="295" width="0" style="2918" hidden="1" customWidth="1"/>
    <col min="296" max="296" width="5.5" style="2918" customWidth="1"/>
    <col min="297" max="297" width="4" style="2918" customWidth="1"/>
    <col min="298" max="300" width="0" style="2918" hidden="1" customWidth="1"/>
    <col min="301" max="512" width="9" style="2918"/>
    <col min="513" max="513" width="20.5" style="2918" customWidth="1"/>
    <col min="514" max="514" width="6.25" style="2918" customWidth="1"/>
    <col min="515" max="515" width="7.875" style="2918" customWidth="1"/>
    <col min="516" max="516" width="6.25" style="2918" customWidth="1"/>
    <col min="517" max="517" width="0" style="2918" hidden="1" customWidth="1"/>
    <col min="518" max="518" width="21.875" style="2918" customWidth="1"/>
    <col min="519" max="521" width="0" style="2918" hidden="1" customWidth="1"/>
    <col min="522" max="523" width="8.5" style="2918" customWidth="1"/>
    <col min="524" max="524" width="18.75" style="2918" customWidth="1"/>
    <col min="525" max="538" width="0" style="2918" hidden="1" customWidth="1"/>
    <col min="539" max="539" width="9" style="2918" customWidth="1"/>
    <col min="540" max="544" width="0" style="2918" hidden="1" customWidth="1"/>
    <col min="545" max="545" width="8.75" style="2918" customWidth="1"/>
    <col min="546" max="546" width="0" style="2918" hidden="1" customWidth="1"/>
    <col min="547" max="547" width="8.125" style="2918" customWidth="1"/>
    <col min="548" max="548" width="0" style="2918" hidden="1" customWidth="1"/>
    <col min="549" max="549" width="8.5" style="2918" customWidth="1"/>
    <col min="550" max="551" width="0" style="2918" hidden="1" customWidth="1"/>
    <col min="552" max="552" width="5.5" style="2918" customWidth="1"/>
    <col min="553" max="553" width="4" style="2918" customWidth="1"/>
    <col min="554" max="556" width="0" style="2918" hidden="1" customWidth="1"/>
    <col min="557" max="768" width="9" style="2918"/>
    <col min="769" max="769" width="20.5" style="2918" customWidth="1"/>
    <col min="770" max="770" width="6.25" style="2918" customWidth="1"/>
    <col min="771" max="771" width="7.875" style="2918" customWidth="1"/>
    <col min="772" max="772" width="6.25" style="2918" customWidth="1"/>
    <col min="773" max="773" width="0" style="2918" hidden="1" customWidth="1"/>
    <col min="774" max="774" width="21.875" style="2918" customWidth="1"/>
    <col min="775" max="777" width="0" style="2918" hidden="1" customWidth="1"/>
    <col min="778" max="779" width="8.5" style="2918" customWidth="1"/>
    <col min="780" max="780" width="18.75" style="2918" customWidth="1"/>
    <col min="781" max="794" width="0" style="2918" hidden="1" customWidth="1"/>
    <col min="795" max="795" width="9" style="2918" customWidth="1"/>
    <col min="796" max="800" width="0" style="2918" hidden="1" customWidth="1"/>
    <col min="801" max="801" width="8.75" style="2918" customWidth="1"/>
    <col min="802" max="802" width="0" style="2918" hidden="1" customWidth="1"/>
    <col min="803" max="803" width="8.125" style="2918" customWidth="1"/>
    <col min="804" max="804" width="0" style="2918" hidden="1" customWidth="1"/>
    <col min="805" max="805" width="8.5" style="2918" customWidth="1"/>
    <col min="806" max="807" width="0" style="2918" hidden="1" customWidth="1"/>
    <col min="808" max="808" width="5.5" style="2918" customWidth="1"/>
    <col min="809" max="809" width="4" style="2918" customWidth="1"/>
    <col min="810" max="812" width="0" style="2918" hidden="1" customWidth="1"/>
    <col min="813" max="1024" width="9" style="2918"/>
    <col min="1025" max="1025" width="20.5" style="2918" customWidth="1"/>
    <col min="1026" max="1026" width="6.25" style="2918" customWidth="1"/>
    <col min="1027" max="1027" width="7.875" style="2918" customWidth="1"/>
    <col min="1028" max="1028" width="6.25" style="2918" customWidth="1"/>
    <col min="1029" max="1029" width="0" style="2918" hidden="1" customWidth="1"/>
    <col min="1030" max="1030" width="21.875" style="2918" customWidth="1"/>
    <col min="1031" max="1033" width="0" style="2918" hidden="1" customWidth="1"/>
    <col min="1034" max="1035" width="8.5" style="2918" customWidth="1"/>
    <col min="1036" max="1036" width="18.75" style="2918" customWidth="1"/>
    <col min="1037" max="1050" width="0" style="2918" hidden="1" customWidth="1"/>
    <col min="1051" max="1051" width="9" style="2918" customWidth="1"/>
    <col min="1052" max="1056" width="0" style="2918" hidden="1" customWidth="1"/>
    <col min="1057" max="1057" width="8.75" style="2918" customWidth="1"/>
    <col min="1058" max="1058" width="0" style="2918" hidden="1" customWidth="1"/>
    <col min="1059" max="1059" width="8.125" style="2918" customWidth="1"/>
    <col min="1060" max="1060" width="0" style="2918" hidden="1" customWidth="1"/>
    <col min="1061" max="1061" width="8.5" style="2918" customWidth="1"/>
    <col min="1062" max="1063" width="0" style="2918" hidden="1" customWidth="1"/>
    <col min="1064" max="1064" width="5.5" style="2918" customWidth="1"/>
    <col min="1065" max="1065" width="4" style="2918" customWidth="1"/>
    <col min="1066" max="1068" width="0" style="2918" hidden="1" customWidth="1"/>
    <col min="1069" max="1280" width="9" style="2918"/>
    <col min="1281" max="1281" width="20.5" style="2918" customWidth="1"/>
    <col min="1282" max="1282" width="6.25" style="2918" customWidth="1"/>
    <col min="1283" max="1283" width="7.875" style="2918" customWidth="1"/>
    <col min="1284" max="1284" width="6.25" style="2918" customWidth="1"/>
    <col min="1285" max="1285" width="0" style="2918" hidden="1" customWidth="1"/>
    <col min="1286" max="1286" width="21.875" style="2918" customWidth="1"/>
    <col min="1287" max="1289" width="0" style="2918" hidden="1" customWidth="1"/>
    <col min="1290" max="1291" width="8.5" style="2918" customWidth="1"/>
    <col min="1292" max="1292" width="18.75" style="2918" customWidth="1"/>
    <col min="1293" max="1306" width="0" style="2918" hidden="1" customWidth="1"/>
    <col min="1307" max="1307" width="9" style="2918" customWidth="1"/>
    <col min="1308" max="1312" width="0" style="2918" hidden="1" customWidth="1"/>
    <col min="1313" max="1313" width="8.75" style="2918" customWidth="1"/>
    <col min="1314" max="1314" width="0" style="2918" hidden="1" customWidth="1"/>
    <col min="1315" max="1315" width="8.125" style="2918" customWidth="1"/>
    <col min="1316" max="1316" width="0" style="2918" hidden="1" customWidth="1"/>
    <col min="1317" max="1317" width="8.5" style="2918" customWidth="1"/>
    <col min="1318" max="1319" width="0" style="2918" hidden="1" customWidth="1"/>
    <col min="1320" max="1320" width="5.5" style="2918" customWidth="1"/>
    <col min="1321" max="1321" width="4" style="2918" customWidth="1"/>
    <col min="1322" max="1324" width="0" style="2918" hidden="1" customWidth="1"/>
    <col min="1325" max="1536" width="9" style="2918"/>
    <col min="1537" max="1537" width="20.5" style="2918" customWidth="1"/>
    <col min="1538" max="1538" width="6.25" style="2918" customWidth="1"/>
    <col min="1539" max="1539" width="7.875" style="2918" customWidth="1"/>
    <col min="1540" max="1540" width="6.25" style="2918" customWidth="1"/>
    <col min="1541" max="1541" width="0" style="2918" hidden="1" customWidth="1"/>
    <col min="1542" max="1542" width="21.875" style="2918" customWidth="1"/>
    <col min="1543" max="1545" width="0" style="2918" hidden="1" customWidth="1"/>
    <col min="1546" max="1547" width="8.5" style="2918" customWidth="1"/>
    <col min="1548" max="1548" width="18.75" style="2918" customWidth="1"/>
    <col min="1549" max="1562" width="0" style="2918" hidden="1" customWidth="1"/>
    <col min="1563" max="1563" width="9" style="2918" customWidth="1"/>
    <col min="1564" max="1568" width="0" style="2918" hidden="1" customWidth="1"/>
    <col min="1569" max="1569" width="8.75" style="2918" customWidth="1"/>
    <col min="1570" max="1570" width="0" style="2918" hidden="1" customWidth="1"/>
    <col min="1571" max="1571" width="8.125" style="2918" customWidth="1"/>
    <col min="1572" max="1572" width="0" style="2918" hidden="1" customWidth="1"/>
    <col min="1573" max="1573" width="8.5" style="2918" customWidth="1"/>
    <col min="1574" max="1575" width="0" style="2918" hidden="1" customWidth="1"/>
    <col min="1576" max="1576" width="5.5" style="2918" customWidth="1"/>
    <col min="1577" max="1577" width="4" style="2918" customWidth="1"/>
    <col min="1578" max="1580" width="0" style="2918" hidden="1" customWidth="1"/>
    <col min="1581" max="1792" width="9" style="2918"/>
    <col min="1793" max="1793" width="20.5" style="2918" customWidth="1"/>
    <col min="1794" max="1794" width="6.25" style="2918" customWidth="1"/>
    <col min="1795" max="1795" width="7.875" style="2918" customWidth="1"/>
    <col min="1796" max="1796" width="6.25" style="2918" customWidth="1"/>
    <col min="1797" max="1797" width="0" style="2918" hidden="1" customWidth="1"/>
    <col min="1798" max="1798" width="21.875" style="2918" customWidth="1"/>
    <col min="1799" max="1801" width="0" style="2918" hidden="1" customWidth="1"/>
    <col min="1802" max="1803" width="8.5" style="2918" customWidth="1"/>
    <col min="1804" max="1804" width="18.75" style="2918" customWidth="1"/>
    <col min="1805" max="1818" width="0" style="2918" hidden="1" customWidth="1"/>
    <col min="1819" max="1819" width="9" style="2918" customWidth="1"/>
    <col min="1820" max="1824" width="0" style="2918" hidden="1" customWidth="1"/>
    <col min="1825" max="1825" width="8.75" style="2918" customWidth="1"/>
    <col min="1826" max="1826" width="0" style="2918" hidden="1" customWidth="1"/>
    <col min="1827" max="1827" width="8.125" style="2918" customWidth="1"/>
    <col min="1828" max="1828" width="0" style="2918" hidden="1" customWidth="1"/>
    <col min="1829" max="1829" width="8.5" style="2918" customWidth="1"/>
    <col min="1830" max="1831" width="0" style="2918" hidden="1" customWidth="1"/>
    <col min="1832" max="1832" width="5.5" style="2918" customWidth="1"/>
    <col min="1833" max="1833" width="4" style="2918" customWidth="1"/>
    <col min="1834" max="1836" width="0" style="2918" hidden="1" customWidth="1"/>
    <col min="1837" max="2048" width="9" style="2918"/>
    <col min="2049" max="2049" width="20.5" style="2918" customWidth="1"/>
    <col min="2050" max="2050" width="6.25" style="2918" customWidth="1"/>
    <col min="2051" max="2051" width="7.875" style="2918" customWidth="1"/>
    <col min="2052" max="2052" width="6.25" style="2918" customWidth="1"/>
    <col min="2053" max="2053" width="0" style="2918" hidden="1" customWidth="1"/>
    <col min="2054" max="2054" width="21.875" style="2918" customWidth="1"/>
    <col min="2055" max="2057" width="0" style="2918" hidden="1" customWidth="1"/>
    <col min="2058" max="2059" width="8.5" style="2918" customWidth="1"/>
    <col min="2060" max="2060" width="18.75" style="2918" customWidth="1"/>
    <col min="2061" max="2074" width="0" style="2918" hidden="1" customWidth="1"/>
    <col min="2075" max="2075" width="9" style="2918" customWidth="1"/>
    <col min="2076" max="2080" width="0" style="2918" hidden="1" customWidth="1"/>
    <col min="2081" max="2081" width="8.75" style="2918" customWidth="1"/>
    <col min="2082" max="2082" width="0" style="2918" hidden="1" customWidth="1"/>
    <col min="2083" max="2083" width="8.125" style="2918" customWidth="1"/>
    <col min="2084" max="2084" width="0" style="2918" hidden="1" customWidth="1"/>
    <col min="2085" max="2085" width="8.5" style="2918" customWidth="1"/>
    <col min="2086" max="2087" width="0" style="2918" hidden="1" customWidth="1"/>
    <col min="2088" max="2088" width="5.5" style="2918" customWidth="1"/>
    <col min="2089" max="2089" width="4" style="2918" customWidth="1"/>
    <col min="2090" max="2092" width="0" style="2918" hidden="1" customWidth="1"/>
    <col min="2093" max="2304" width="9" style="2918"/>
    <col min="2305" max="2305" width="20.5" style="2918" customWidth="1"/>
    <col min="2306" max="2306" width="6.25" style="2918" customWidth="1"/>
    <col min="2307" max="2307" width="7.875" style="2918" customWidth="1"/>
    <col min="2308" max="2308" width="6.25" style="2918" customWidth="1"/>
    <col min="2309" max="2309" width="0" style="2918" hidden="1" customWidth="1"/>
    <col min="2310" max="2310" width="21.875" style="2918" customWidth="1"/>
    <col min="2311" max="2313" width="0" style="2918" hidden="1" customWidth="1"/>
    <col min="2314" max="2315" width="8.5" style="2918" customWidth="1"/>
    <col min="2316" max="2316" width="18.75" style="2918" customWidth="1"/>
    <col min="2317" max="2330" width="0" style="2918" hidden="1" customWidth="1"/>
    <col min="2331" max="2331" width="9" style="2918" customWidth="1"/>
    <col min="2332" max="2336" width="0" style="2918" hidden="1" customWidth="1"/>
    <col min="2337" max="2337" width="8.75" style="2918" customWidth="1"/>
    <col min="2338" max="2338" width="0" style="2918" hidden="1" customWidth="1"/>
    <col min="2339" max="2339" width="8.125" style="2918" customWidth="1"/>
    <col min="2340" max="2340" width="0" style="2918" hidden="1" customWidth="1"/>
    <col min="2341" max="2341" width="8.5" style="2918" customWidth="1"/>
    <col min="2342" max="2343" width="0" style="2918" hidden="1" customWidth="1"/>
    <col min="2344" max="2344" width="5.5" style="2918" customWidth="1"/>
    <col min="2345" max="2345" width="4" style="2918" customWidth="1"/>
    <col min="2346" max="2348" width="0" style="2918" hidden="1" customWidth="1"/>
    <col min="2349" max="2560" width="9" style="2918"/>
    <col min="2561" max="2561" width="20.5" style="2918" customWidth="1"/>
    <col min="2562" max="2562" width="6.25" style="2918" customWidth="1"/>
    <col min="2563" max="2563" width="7.875" style="2918" customWidth="1"/>
    <col min="2564" max="2564" width="6.25" style="2918" customWidth="1"/>
    <col min="2565" max="2565" width="0" style="2918" hidden="1" customWidth="1"/>
    <col min="2566" max="2566" width="21.875" style="2918" customWidth="1"/>
    <col min="2567" max="2569" width="0" style="2918" hidden="1" customWidth="1"/>
    <col min="2570" max="2571" width="8.5" style="2918" customWidth="1"/>
    <col min="2572" max="2572" width="18.75" style="2918" customWidth="1"/>
    <col min="2573" max="2586" width="0" style="2918" hidden="1" customWidth="1"/>
    <col min="2587" max="2587" width="9" style="2918" customWidth="1"/>
    <col min="2588" max="2592" width="0" style="2918" hidden="1" customWidth="1"/>
    <col min="2593" max="2593" width="8.75" style="2918" customWidth="1"/>
    <col min="2594" max="2594" width="0" style="2918" hidden="1" customWidth="1"/>
    <col min="2595" max="2595" width="8.125" style="2918" customWidth="1"/>
    <col min="2596" max="2596" width="0" style="2918" hidden="1" customWidth="1"/>
    <col min="2597" max="2597" width="8.5" style="2918" customWidth="1"/>
    <col min="2598" max="2599" width="0" style="2918" hidden="1" customWidth="1"/>
    <col min="2600" max="2600" width="5.5" style="2918" customWidth="1"/>
    <col min="2601" max="2601" width="4" style="2918" customWidth="1"/>
    <col min="2602" max="2604" width="0" style="2918" hidden="1" customWidth="1"/>
    <col min="2605" max="2816" width="9" style="2918"/>
    <col min="2817" max="2817" width="20.5" style="2918" customWidth="1"/>
    <col min="2818" max="2818" width="6.25" style="2918" customWidth="1"/>
    <col min="2819" max="2819" width="7.875" style="2918" customWidth="1"/>
    <col min="2820" max="2820" width="6.25" style="2918" customWidth="1"/>
    <col min="2821" max="2821" width="0" style="2918" hidden="1" customWidth="1"/>
    <col min="2822" max="2822" width="21.875" style="2918" customWidth="1"/>
    <col min="2823" max="2825" width="0" style="2918" hidden="1" customWidth="1"/>
    <col min="2826" max="2827" width="8.5" style="2918" customWidth="1"/>
    <col min="2828" max="2828" width="18.75" style="2918" customWidth="1"/>
    <col min="2829" max="2842" width="0" style="2918" hidden="1" customWidth="1"/>
    <col min="2843" max="2843" width="9" style="2918" customWidth="1"/>
    <col min="2844" max="2848" width="0" style="2918" hidden="1" customWidth="1"/>
    <col min="2849" max="2849" width="8.75" style="2918" customWidth="1"/>
    <col min="2850" max="2850" width="0" style="2918" hidden="1" customWidth="1"/>
    <col min="2851" max="2851" width="8.125" style="2918" customWidth="1"/>
    <col min="2852" max="2852" width="0" style="2918" hidden="1" customWidth="1"/>
    <col min="2853" max="2853" width="8.5" style="2918" customWidth="1"/>
    <col min="2854" max="2855" width="0" style="2918" hidden="1" customWidth="1"/>
    <col min="2856" max="2856" width="5.5" style="2918" customWidth="1"/>
    <col min="2857" max="2857" width="4" style="2918" customWidth="1"/>
    <col min="2858" max="2860" width="0" style="2918" hidden="1" customWidth="1"/>
    <col min="2861" max="3072" width="9" style="2918"/>
    <col min="3073" max="3073" width="20.5" style="2918" customWidth="1"/>
    <col min="3074" max="3074" width="6.25" style="2918" customWidth="1"/>
    <col min="3075" max="3075" width="7.875" style="2918" customWidth="1"/>
    <col min="3076" max="3076" width="6.25" style="2918" customWidth="1"/>
    <col min="3077" max="3077" width="0" style="2918" hidden="1" customWidth="1"/>
    <col min="3078" max="3078" width="21.875" style="2918" customWidth="1"/>
    <col min="3079" max="3081" width="0" style="2918" hidden="1" customWidth="1"/>
    <col min="3082" max="3083" width="8.5" style="2918" customWidth="1"/>
    <col min="3084" max="3084" width="18.75" style="2918" customWidth="1"/>
    <col min="3085" max="3098" width="0" style="2918" hidden="1" customWidth="1"/>
    <col min="3099" max="3099" width="9" style="2918" customWidth="1"/>
    <col min="3100" max="3104" width="0" style="2918" hidden="1" customWidth="1"/>
    <col min="3105" max="3105" width="8.75" style="2918" customWidth="1"/>
    <col min="3106" max="3106" width="0" style="2918" hidden="1" customWidth="1"/>
    <col min="3107" max="3107" width="8.125" style="2918" customWidth="1"/>
    <col min="3108" max="3108" width="0" style="2918" hidden="1" customWidth="1"/>
    <col min="3109" max="3109" width="8.5" style="2918" customWidth="1"/>
    <col min="3110" max="3111" width="0" style="2918" hidden="1" customWidth="1"/>
    <col min="3112" max="3112" width="5.5" style="2918" customWidth="1"/>
    <col min="3113" max="3113" width="4" style="2918" customWidth="1"/>
    <col min="3114" max="3116" width="0" style="2918" hidden="1" customWidth="1"/>
    <col min="3117" max="3328" width="9" style="2918"/>
    <col min="3329" max="3329" width="20.5" style="2918" customWidth="1"/>
    <col min="3330" max="3330" width="6.25" style="2918" customWidth="1"/>
    <col min="3331" max="3331" width="7.875" style="2918" customWidth="1"/>
    <col min="3332" max="3332" width="6.25" style="2918" customWidth="1"/>
    <col min="3333" max="3333" width="0" style="2918" hidden="1" customWidth="1"/>
    <col min="3334" max="3334" width="21.875" style="2918" customWidth="1"/>
    <col min="3335" max="3337" width="0" style="2918" hidden="1" customWidth="1"/>
    <col min="3338" max="3339" width="8.5" style="2918" customWidth="1"/>
    <col min="3340" max="3340" width="18.75" style="2918" customWidth="1"/>
    <col min="3341" max="3354" width="0" style="2918" hidden="1" customWidth="1"/>
    <col min="3355" max="3355" width="9" style="2918" customWidth="1"/>
    <col min="3356" max="3360" width="0" style="2918" hidden="1" customWidth="1"/>
    <col min="3361" max="3361" width="8.75" style="2918" customWidth="1"/>
    <col min="3362" max="3362" width="0" style="2918" hidden="1" customWidth="1"/>
    <col min="3363" max="3363" width="8.125" style="2918" customWidth="1"/>
    <col min="3364" max="3364" width="0" style="2918" hidden="1" customWidth="1"/>
    <col min="3365" max="3365" width="8.5" style="2918" customWidth="1"/>
    <col min="3366" max="3367" width="0" style="2918" hidden="1" customWidth="1"/>
    <col min="3368" max="3368" width="5.5" style="2918" customWidth="1"/>
    <col min="3369" max="3369" width="4" style="2918" customWidth="1"/>
    <col min="3370" max="3372" width="0" style="2918" hidden="1" customWidth="1"/>
    <col min="3373" max="3584" width="9" style="2918"/>
    <col min="3585" max="3585" width="20.5" style="2918" customWidth="1"/>
    <col min="3586" max="3586" width="6.25" style="2918" customWidth="1"/>
    <col min="3587" max="3587" width="7.875" style="2918" customWidth="1"/>
    <col min="3588" max="3588" width="6.25" style="2918" customWidth="1"/>
    <col min="3589" max="3589" width="0" style="2918" hidden="1" customWidth="1"/>
    <col min="3590" max="3590" width="21.875" style="2918" customWidth="1"/>
    <col min="3591" max="3593" width="0" style="2918" hidden="1" customWidth="1"/>
    <col min="3594" max="3595" width="8.5" style="2918" customWidth="1"/>
    <col min="3596" max="3596" width="18.75" style="2918" customWidth="1"/>
    <col min="3597" max="3610" width="0" style="2918" hidden="1" customWidth="1"/>
    <col min="3611" max="3611" width="9" style="2918" customWidth="1"/>
    <col min="3612" max="3616" width="0" style="2918" hidden="1" customWidth="1"/>
    <col min="3617" max="3617" width="8.75" style="2918" customWidth="1"/>
    <col min="3618" max="3618" width="0" style="2918" hidden="1" customWidth="1"/>
    <col min="3619" max="3619" width="8.125" style="2918" customWidth="1"/>
    <col min="3620" max="3620" width="0" style="2918" hidden="1" customWidth="1"/>
    <col min="3621" max="3621" width="8.5" style="2918" customWidth="1"/>
    <col min="3622" max="3623" width="0" style="2918" hidden="1" customWidth="1"/>
    <col min="3624" max="3624" width="5.5" style="2918" customWidth="1"/>
    <col min="3625" max="3625" width="4" style="2918" customWidth="1"/>
    <col min="3626" max="3628" width="0" style="2918" hidden="1" customWidth="1"/>
    <col min="3629" max="3840" width="9" style="2918"/>
    <col min="3841" max="3841" width="20.5" style="2918" customWidth="1"/>
    <col min="3842" max="3842" width="6.25" style="2918" customWidth="1"/>
    <col min="3843" max="3843" width="7.875" style="2918" customWidth="1"/>
    <col min="3844" max="3844" width="6.25" style="2918" customWidth="1"/>
    <col min="3845" max="3845" width="0" style="2918" hidden="1" customWidth="1"/>
    <col min="3846" max="3846" width="21.875" style="2918" customWidth="1"/>
    <col min="3847" max="3849" width="0" style="2918" hidden="1" customWidth="1"/>
    <col min="3850" max="3851" width="8.5" style="2918" customWidth="1"/>
    <col min="3852" max="3852" width="18.75" style="2918" customWidth="1"/>
    <col min="3853" max="3866" width="0" style="2918" hidden="1" customWidth="1"/>
    <col min="3867" max="3867" width="9" style="2918" customWidth="1"/>
    <col min="3868" max="3872" width="0" style="2918" hidden="1" customWidth="1"/>
    <col min="3873" max="3873" width="8.75" style="2918" customWidth="1"/>
    <col min="3874" max="3874" width="0" style="2918" hidden="1" customWidth="1"/>
    <col min="3875" max="3875" width="8.125" style="2918" customWidth="1"/>
    <col min="3876" max="3876" width="0" style="2918" hidden="1" customWidth="1"/>
    <col min="3877" max="3877" width="8.5" style="2918" customWidth="1"/>
    <col min="3878" max="3879" width="0" style="2918" hidden="1" customWidth="1"/>
    <col min="3880" max="3880" width="5.5" style="2918" customWidth="1"/>
    <col min="3881" max="3881" width="4" style="2918" customWidth="1"/>
    <col min="3882" max="3884" width="0" style="2918" hidden="1" customWidth="1"/>
    <col min="3885" max="4096" width="9" style="2918"/>
    <col min="4097" max="4097" width="20.5" style="2918" customWidth="1"/>
    <col min="4098" max="4098" width="6.25" style="2918" customWidth="1"/>
    <col min="4099" max="4099" width="7.875" style="2918" customWidth="1"/>
    <col min="4100" max="4100" width="6.25" style="2918" customWidth="1"/>
    <col min="4101" max="4101" width="0" style="2918" hidden="1" customWidth="1"/>
    <col min="4102" max="4102" width="21.875" style="2918" customWidth="1"/>
    <col min="4103" max="4105" width="0" style="2918" hidden="1" customWidth="1"/>
    <col min="4106" max="4107" width="8.5" style="2918" customWidth="1"/>
    <col min="4108" max="4108" width="18.75" style="2918" customWidth="1"/>
    <col min="4109" max="4122" width="0" style="2918" hidden="1" customWidth="1"/>
    <col min="4123" max="4123" width="9" style="2918" customWidth="1"/>
    <col min="4124" max="4128" width="0" style="2918" hidden="1" customWidth="1"/>
    <col min="4129" max="4129" width="8.75" style="2918" customWidth="1"/>
    <col min="4130" max="4130" width="0" style="2918" hidden="1" customWidth="1"/>
    <col min="4131" max="4131" width="8.125" style="2918" customWidth="1"/>
    <col min="4132" max="4132" width="0" style="2918" hidden="1" customWidth="1"/>
    <col min="4133" max="4133" width="8.5" style="2918" customWidth="1"/>
    <col min="4134" max="4135" width="0" style="2918" hidden="1" customWidth="1"/>
    <col min="4136" max="4136" width="5.5" style="2918" customWidth="1"/>
    <col min="4137" max="4137" width="4" style="2918" customWidth="1"/>
    <col min="4138" max="4140" width="0" style="2918" hidden="1" customWidth="1"/>
    <col min="4141" max="4352" width="9" style="2918"/>
    <col min="4353" max="4353" width="20.5" style="2918" customWidth="1"/>
    <col min="4354" max="4354" width="6.25" style="2918" customWidth="1"/>
    <col min="4355" max="4355" width="7.875" style="2918" customWidth="1"/>
    <col min="4356" max="4356" width="6.25" style="2918" customWidth="1"/>
    <col min="4357" max="4357" width="0" style="2918" hidden="1" customWidth="1"/>
    <col min="4358" max="4358" width="21.875" style="2918" customWidth="1"/>
    <col min="4359" max="4361" width="0" style="2918" hidden="1" customWidth="1"/>
    <col min="4362" max="4363" width="8.5" style="2918" customWidth="1"/>
    <col min="4364" max="4364" width="18.75" style="2918" customWidth="1"/>
    <col min="4365" max="4378" width="0" style="2918" hidden="1" customWidth="1"/>
    <col min="4379" max="4379" width="9" style="2918" customWidth="1"/>
    <col min="4380" max="4384" width="0" style="2918" hidden="1" customWidth="1"/>
    <col min="4385" max="4385" width="8.75" style="2918" customWidth="1"/>
    <col min="4386" max="4386" width="0" style="2918" hidden="1" customWidth="1"/>
    <col min="4387" max="4387" width="8.125" style="2918" customWidth="1"/>
    <col min="4388" max="4388" width="0" style="2918" hidden="1" customWidth="1"/>
    <col min="4389" max="4389" width="8.5" style="2918" customWidth="1"/>
    <col min="4390" max="4391" width="0" style="2918" hidden="1" customWidth="1"/>
    <col min="4392" max="4392" width="5.5" style="2918" customWidth="1"/>
    <col min="4393" max="4393" width="4" style="2918" customWidth="1"/>
    <col min="4394" max="4396" width="0" style="2918" hidden="1" customWidth="1"/>
    <col min="4397" max="4608" width="9" style="2918"/>
    <col min="4609" max="4609" width="20.5" style="2918" customWidth="1"/>
    <col min="4610" max="4610" width="6.25" style="2918" customWidth="1"/>
    <col min="4611" max="4611" width="7.875" style="2918" customWidth="1"/>
    <col min="4612" max="4612" width="6.25" style="2918" customWidth="1"/>
    <col min="4613" max="4613" width="0" style="2918" hidden="1" customWidth="1"/>
    <col min="4614" max="4614" width="21.875" style="2918" customWidth="1"/>
    <col min="4615" max="4617" width="0" style="2918" hidden="1" customWidth="1"/>
    <col min="4618" max="4619" width="8.5" style="2918" customWidth="1"/>
    <col min="4620" max="4620" width="18.75" style="2918" customWidth="1"/>
    <col min="4621" max="4634" width="0" style="2918" hidden="1" customWidth="1"/>
    <col min="4635" max="4635" width="9" style="2918" customWidth="1"/>
    <col min="4636" max="4640" width="0" style="2918" hidden="1" customWidth="1"/>
    <col min="4641" max="4641" width="8.75" style="2918" customWidth="1"/>
    <col min="4642" max="4642" width="0" style="2918" hidden="1" customWidth="1"/>
    <col min="4643" max="4643" width="8.125" style="2918" customWidth="1"/>
    <col min="4644" max="4644" width="0" style="2918" hidden="1" customWidth="1"/>
    <col min="4645" max="4645" width="8.5" style="2918" customWidth="1"/>
    <col min="4646" max="4647" width="0" style="2918" hidden="1" customWidth="1"/>
    <col min="4648" max="4648" width="5.5" style="2918" customWidth="1"/>
    <col min="4649" max="4649" width="4" style="2918" customWidth="1"/>
    <col min="4650" max="4652" width="0" style="2918" hidden="1" customWidth="1"/>
    <col min="4653" max="4864" width="9" style="2918"/>
    <col min="4865" max="4865" width="20.5" style="2918" customWidth="1"/>
    <col min="4866" max="4866" width="6.25" style="2918" customWidth="1"/>
    <col min="4867" max="4867" width="7.875" style="2918" customWidth="1"/>
    <col min="4868" max="4868" width="6.25" style="2918" customWidth="1"/>
    <col min="4869" max="4869" width="0" style="2918" hidden="1" customWidth="1"/>
    <col min="4870" max="4870" width="21.875" style="2918" customWidth="1"/>
    <col min="4871" max="4873" width="0" style="2918" hidden="1" customWidth="1"/>
    <col min="4874" max="4875" width="8.5" style="2918" customWidth="1"/>
    <col min="4876" max="4876" width="18.75" style="2918" customWidth="1"/>
    <col min="4877" max="4890" width="0" style="2918" hidden="1" customWidth="1"/>
    <col min="4891" max="4891" width="9" style="2918" customWidth="1"/>
    <col min="4892" max="4896" width="0" style="2918" hidden="1" customWidth="1"/>
    <col min="4897" max="4897" width="8.75" style="2918" customWidth="1"/>
    <col min="4898" max="4898" width="0" style="2918" hidden="1" customWidth="1"/>
    <col min="4899" max="4899" width="8.125" style="2918" customWidth="1"/>
    <col min="4900" max="4900" width="0" style="2918" hidden="1" customWidth="1"/>
    <col min="4901" max="4901" width="8.5" style="2918" customWidth="1"/>
    <col min="4902" max="4903" width="0" style="2918" hidden="1" customWidth="1"/>
    <col min="4904" max="4904" width="5.5" style="2918" customWidth="1"/>
    <col min="4905" max="4905" width="4" style="2918" customWidth="1"/>
    <col min="4906" max="4908" width="0" style="2918" hidden="1" customWidth="1"/>
    <col min="4909" max="5120" width="9" style="2918"/>
    <col min="5121" max="5121" width="20.5" style="2918" customWidth="1"/>
    <col min="5122" max="5122" width="6.25" style="2918" customWidth="1"/>
    <col min="5123" max="5123" width="7.875" style="2918" customWidth="1"/>
    <col min="5124" max="5124" width="6.25" style="2918" customWidth="1"/>
    <col min="5125" max="5125" width="0" style="2918" hidden="1" customWidth="1"/>
    <col min="5126" max="5126" width="21.875" style="2918" customWidth="1"/>
    <col min="5127" max="5129" width="0" style="2918" hidden="1" customWidth="1"/>
    <col min="5130" max="5131" width="8.5" style="2918" customWidth="1"/>
    <col min="5132" max="5132" width="18.75" style="2918" customWidth="1"/>
    <col min="5133" max="5146" width="0" style="2918" hidden="1" customWidth="1"/>
    <col min="5147" max="5147" width="9" style="2918" customWidth="1"/>
    <col min="5148" max="5152" width="0" style="2918" hidden="1" customWidth="1"/>
    <col min="5153" max="5153" width="8.75" style="2918" customWidth="1"/>
    <col min="5154" max="5154" width="0" style="2918" hidden="1" customWidth="1"/>
    <col min="5155" max="5155" width="8.125" style="2918" customWidth="1"/>
    <col min="5156" max="5156" width="0" style="2918" hidden="1" customWidth="1"/>
    <col min="5157" max="5157" width="8.5" style="2918" customWidth="1"/>
    <col min="5158" max="5159" width="0" style="2918" hidden="1" customWidth="1"/>
    <col min="5160" max="5160" width="5.5" style="2918" customWidth="1"/>
    <col min="5161" max="5161" width="4" style="2918" customWidth="1"/>
    <col min="5162" max="5164" width="0" style="2918" hidden="1" customWidth="1"/>
    <col min="5165" max="5376" width="9" style="2918"/>
    <col min="5377" max="5377" width="20.5" style="2918" customWidth="1"/>
    <col min="5378" max="5378" width="6.25" style="2918" customWidth="1"/>
    <col min="5379" max="5379" width="7.875" style="2918" customWidth="1"/>
    <col min="5380" max="5380" width="6.25" style="2918" customWidth="1"/>
    <col min="5381" max="5381" width="0" style="2918" hidden="1" customWidth="1"/>
    <col min="5382" max="5382" width="21.875" style="2918" customWidth="1"/>
    <col min="5383" max="5385" width="0" style="2918" hidden="1" customWidth="1"/>
    <col min="5386" max="5387" width="8.5" style="2918" customWidth="1"/>
    <col min="5388" max="5388" width="18.75" style="2918" customWidth="1"/>
    <col min="5389" max="5402" width="0" style="2918" hidden="1" customWidth="1"/>
    <col min="5403" max="5403" width="9" style="2918" customWidth="1"/>
    <col min="5404" max="5408" width="0" style="2918" hidden="1" customWidth="1"/>
    <col min="5409" max="5409" width="8.75" style="2918" customWidth="1"/>
    <col min="5410" max="5410" width="0" style="2918" hidden="1" customWidth="1"/>
    <col min="5411" max="5411" width="8.125" style="2918" customWidth="1"/>
    <col min="5412" max="5412" width="0" style="2918" hidden="1" customWidth="1"/>
    <col min="5413" max="5413" width="8.5" style="2918" customWidth="1"/>
    <col min="5414" max="5415" width="0" style="2918" hidden="1" customWidth="1"/>
    <col min="5416" max="5416" width="5.5" style="2918" customWidth="1"/>
    <col min="5417" max="5417" width="4" style="2918" customWidth="1"/>
    <col min="5418" max="5420" width="0" style="2918" hidden="1" customWidth="1"/>
    <col min="5421" max="5632" width="9" style="2918"/>
    <col min="5633" max="5633" width="20.5" style="2918" customWidth="1"/>
    <col min="5634" max="5634" width="6.25" style="2918" customWidth="1"/>
    <col min="5635" max="5635" width="7.875" style="2918" customWidth="1"/>
    <col min="5636" max="5636" width="6.25" style="2918" customWidth="1"/>
    <col min="5637" max="5637" width="0" style="2918" hidden="1" customWidth="1"/>
    <col min="5638" max="5638" width="21.875" style="2918" customWidth="1"/>
    <col min="5639" max="5641" width="0" style="2918" hidden="1" customWidth="1"/>
    <col min="5642" max="5643" width="8.5" style="2918" customWidth="1"/>
    <col min="5644" max="5644" width="18.75" style="2918" customWidth="1"/>
    <col min="5645" max="5658" width="0" style="2918" hidden="1" customWidth="1"/>
    <col min="5659" max="5659" width="9" style="2918" customWidth="1"/>
    <col min="5660" max="5664" width="0" style="2918" hidden="1" customWidth="1"/>
    <col min="5665" max="5665" width="8.75" style="2918" customWidth="1"/>
    <col min="5666" max="5666" width="0" style="2918" hidden="1" customWidth="1"/>
    <col min="5667" max="5667" width="8.125" style="2918" customWidth="1"/>
    <col min="5668" max="5668" width="0" style="2918" hidden="1" customWidth="1"/>
    <col min="5669" max="5669" width="8.5" style="2918" customWidth="1"/>
    <col min="5670" max="5671" width="0" style="2918" hidden="1" customWidth="1"/>
    <col min="5672" max="5672" width="5.5" style="2918" customWidth="1"/>
    <col min="5673" max="5673" width="4" style="2918" customWidth="1"/>
    <col min="5674" max="5676" width="0" style="2918" hidden="1" customWidth="1"/>
    <col min="5677" max="5888" width="9" style="2918"/>
    <col min="5889" max="5889" width="20.5" style="2918" customWidth="1"/>
    <col min="5890" max="5890" width="6.25" style="2918" customWidth="1"/>
    <col min="5891" max="5891" width="7.875" style="2918" customWidth="1"/>
    <col min="5892" max="5892" width="6.25" style="2918" customWidth="1"/>
    <col min="5893" max="5893" width="0" style="2918" hidden="1" customWidth="1"/>
    <col min="5894" max="5894" width="21.875" style="2918" customWidth="1"/>
    <col min="5895" max="5897" width="0" style="2918" hidden="1" customWidth="1"/>
    <col min="5898" max="5899" width="8.5" style="2918" customWidth="1"/>
    <col min="5900" max="5900" width="18.75" style="2918" customWidth="1"/>
    <col min="5901" max="5914" width="0" style="2918" hidden="1" customWidth="1"/>
    <col min="5915" max="5915" width="9" style="2918" customWidth="1"/>
    <col min="5916" max="5920" width="0" style="2918" hidden="1" customWidth="1"/>
    <col min="5921" max="5921" width="8.75" style="2918" customWidth="1"/>
    <col min="5922" max="5922" width="0" style="2918" hidden="1" customWidth="1"/>
    <col min="5923" max="5923" width="8.125" style="2918" customWidth="1"/>
    <col min="5924" max="5924" width="0" style="2918" hidden="1" customWidth="1"/>
    <col min="5925" max="5925" width="8.5" style="2918" customWidth="1"/>
    <col min="5926" max="5927" width="0" style="2918" hidden="1" customWidth="1"/>
    <col min="5928" max="5928" width="5.5" style="2918" customWidth="1"/>
    <col min="5929" max="5929" width="4" style="2918" customWidth="1"/>
    <col min="5930" max="5932" width="0" style="2918" hidden="1" customWidth="1"/>
    <col min="5933" max="6144" width="9" style="2918"/>
    <col min="6145" max="6145" width="20.5" style="2918" customWidth="1"/>
    <col min="6146" max="6146" width="6.25" style="2918" customWidth="1"/>
    <col min="6147" max="6147" width="7.875" style="2918" customWidth="1"/>
    <col min="6148" max="6148" width="6.25" style="2918" customWidth="1"/>
    <col min="6149" max="6149" width="0" style="2918" hidden="1" customWidth="1"/>
    <col min="6150" max="6150" width="21.875" style="2918" customWidth="1"/>
    <col min="6151" max="6153" width="0" style="2918" hidden="1" customWidth="1"/>
    <col min="6154" max="6155" width="8.5" style="2918" customWidth="1"/>
    <col min="6156" max="6156" width="18.75" style="2918" customWidth="1"/>
    <col min="6157" max="6170" width="0" style="2918" hidden="1" customWidth="1"/>
    <col min="6171" max="6171" width="9" style="2918" customWidth="1"/>
    <col min="6172" max="6176" width="0" style="2918" hidden="1" customWidth="1"/>
    <col min="6177" max="6177" width="8.75" style="2918" customWidth="1"/>
    <col min="6178" max="6178" width="0" style="2918" hidden="1" customWidth="1"/>
    <col min="6179" max="6179" width="8.125" style="2918" customWidth="1"/>
    <col min="6180" max="6180" width="0" style="2918" hidden="1" customWidth="1"/>
    <col min="6181" max="6181" width="8.5" style="2918" customWidth="1"/>
    <col min="6182" max="6183" width="0" style="2918" hidden="1" customWidth="1"/>
    <col min="6184" max="6184" width="5.5" style="2918" customWidth="1"/>
    <col min="6185" max="6185" width="4" style="2918" customWidth="1"/>
    <col min="6186" max="6188" width="0" style="2918" hidden="1" customWidth="1"/>
    <col min="6189" max="6400" width="9" style="2918"/>
    <col min="6401" max="6401" width="20.5" style="2918" customWidth="1"/>
    <col min="6402" max="6402" width="6.25" style="2918" customWidth="1"/>
    <col min="6403" max="6403" width="7.875" style="2918" customWidth="1"/>
    <col min="6404" max="6404" width="6.25" style="2918" customWidth="1"/>
    <col min="6405" max="6405" width="0" style="2918" hidden="1" customWidth="1"/>
    <col min="6406" max="6406" width="21.875" style="2918" customWidth="1"/>
    <col min="6407" max="6409" width="0" style="2918" hidden="1" customWidth="1"/>
    <col min="6410" max="6411" width="8.5" style="2918" customWidth="1"/>
    <col min="6412" max="6412" width="18.75" style="2918" customWidth="1"/>
    <col min="6413" max="6426" width="0" style="2918" hidden="1" customWidth="1"/>
    <col min="6427" max="6427" width="9" style="2918" customWidth="1"/>
    <col min="6428" max="6432" width="0" style="2918" hidden="1" customWidth="1"/>
    <col min="6433" max="6433" width="8.75" style="2918" customWidth="1"/>
    <col min="6434" max="6434" width="0" style="2918" hidden="1" customWidth="1"/>
    <col min="6435" max="6435" width="8.125" style="2918" customWidth="1"/>
    <col min="6436" max="6436" width="0" style="2918" hidden="1" customWidth="1"/>
    <col min="6437" max="6437" width="8.5" style="2918" customWidth="1"/>
    <col min="6438" max="6439" width="0" style="2918" hidden="1" customWidth="1"/>
    <col min="6440" max="6440" width="5.5" style="2918" customWidth="1"/>
    <col min="6441" max="6441" width="4" style="2918" customWidth="1"/>
    <col min="6442" max="6444" width="0" style="2918" hidden="1" customWidth="1"/>
    <col min="6445" max="6656" width="9" style="2918"/>
    <col min="6657" max="6657" width="20.5" style="2918" customWidth="1"/>
    <col min="6658" max="6658" width="6.25" style="2918" customWidth="1"/>
    <col min="6659" max="6659" width="7.875" style="2918" customWidth="1"/>
    <col min="6660" max="6660" width="6.25" style="2918" customWidth="1"/>
    <col min="6661" max="6661" width="0" style="2918" hidden="1" customWidth="1"/>
    <col min="6662" max="6662" width="21.875" style="2918" customWidth="1"/>
    <col min="6663" max="6665" width="0" style="2918" hidden="1" customWidth="1"/>
    <col min="6666" max="6667" width="8.5" style="2918" customWidth="1"/>
    <col min="6668" max="6668" width="18.75" style="2918" customWidth="1"/>
    <col min="6669" max="6682" width="0" style="2918" hidden="1" customWidth="1"/>
    <col min="6683" max="6683" width="9" style="2918" customWidth="1"/>
    <col min="6684" max="6688" width="0" style="2918" hidden="1" customWidth="1"/>
    <col min="6689" max="6689" width="8.75" style="2918" customWidth="1"/>
    <col min="6690" max="6690" width="0" style="2918" hidden="1" customWidth="1"/>
    <col min="6691" max="6691" width="8.125" style="2918" customWidth="1"/>
    <col min="6692" max="6692" width="0" style="2918" hidden="1" customWidth="1"/>
    <col min="6693" max="6693" width="8.5" style="2918" customWidth="1"/>
    <col min="6694" max="6695" width="0" style="2918" hidden="1" customWidth="1"/>
    <col min="6696" max="6696" width="5.5" style="2918" customWidth="1"/>
    <col min="6697" max="6697" width="4" style="2918" customWidth="1"/>
    <col min="6698" max="6700" width="0" style="2918" hidden="1" customWidth="1"/>
    <col min="6701" max="6912" width="9" style="2918"/>
    <col min="6913" max="6913" width="20.5" style="2918" customWidth="1"/>
    <col min="6914" max="6914" width="6.25" style="2918" customWidth="1"/>
    <col min="6915" max="6915" width="7.875" style="2918" customWidth="1"/>
    <col min="6916" max="6916" width="6.25" style="2918" customWidth="1"/>
    <col min="6917" max="6917" width="0" style="2918" hidden="1" customWidth="1"/>
    <col min="6918" max="6918" width="21.875" style="2918" customWidth="1"/>
    <col min="6919" max="6921" width="0" style="2918" hidden="1" customWidth="1"/>
    <col min="6922" max="6923" width="8.5" style="2918" customWidth="1"/>
    <col min="6924" max="6924" width="18.75" style="2918" customWidth="1"/>
    <col min="6925" max="6938" width="0" style="2918" hidden="1" customWidth="1"/>
    <col min="6939" max="6939" width="9" style="2918" customWidth="1"/>
    <col min="6940" max="6944" width="0" style="2918" hidden="1" customWidth="1"/>
    <col min="6945" max="6945" width="8.75" style="2918" customWidth="1"/>
    <col min="6946" max="6946" width="0" style="2918" hidden="1" customWidth="1"/>
    <col min="6947" max="6947" width="8.125" style="2918" customWidth="1"/>
    <col min="6948" max="6948" width="0" style="2918" hidden="1" customWidth="1"/>
    <col min="6949" max="6949" width="8.5" style="2918" customWidth="1"/>
    <col min="6950" max="6951" width="0" style="2918" hidden="1" customWidth="1"/>
    <col min="6952" max="6952" width="5.5" style="2918" customWidth="1"/>
    <col min="6953" max="6953" width="4" style="2918" customWidth="1"/>
    <col min="6954" max="6956" width="0" style="2918" hidden="1" customWidth="1"/>
    <col min="6957" max="7168" width="9" style="2918"/>
    <col min="7169" max="7169" width="20.5" style="2918" customWidth="1"/>
    <col min="7170" max="7170" width="6.25" style="2918" customWidth="1"/>
    <col min="7171" max="7171" width="7.875" style="2918" customWidth="1"/>
    <col min="7172" max="7172" width="6.25" style="2918" customWidth="1"/>
    <col min="7173" max="7173" width="0" style="2918" hidden="1" customWidth="1"/>
    <col min="7174" max="7174" width="21.875" style="2918" customWidth="1"/>
    <col min="7175" max="7177" width="0" style="2918" hidden="1" customWidth="1"/>
    <col min="7178" max="7179" width="8.5" style="2918" customWidth="1"/>
    <col min="7180" max="7180" width="18.75" style="2918" customWidth="1"/>
    <col min="7181" max="7194" width="0" style="2918" hidden="1" customWidth="1"/>
    <col min="7195" max="7195" width="9" style="2918" customWidth="1"/>
    <col min="7196" max="7200" width="0" style="2918" hidden="1" customWidth="1"/>
    <col min="7201" max="7201" width="8.75" style="2918" customWidth="1"/>
    <col min="7202" max="7202" width="0" style="2918" hidden="1" customWidth="1"/>
    <col min="7203" max="7203" width="8.125" style="2918" customWidth="1"/>
    <col min="7204" max="7204" width="0" style="2918" hidden="1" customWidth="1"/>
    <col min="7205" max="7205" width="8.5" style="2918" customWidth="1"/>
    <col min="7206" max="7207" width="0" style="2918" hidden="1" customWidth="1"/>
    <col min="7208" max="7208" width="5.5" style="2918" customWidth="1"/>
    <col min="7209" max="7209" width="4" style="2918" customWidth="1"/>
    <col min="7210" max="7212" width="0" style="2918" hidden="1" customWidth="1"/>
    <col min="7213" max="7424" width="9" style="2918"/>
    <col min="7425" max="7425" width="20.5" style="2918" customWidth="1"/>
    <col min="7426" max="7426" width="6.25" style="2918" customWidth="1"/>
    <col min="7427" max="7427" width="7.875" style="2918" customWidth="1"/>
    <col min="7428" max="7428" width="6.25" style="2918" customWidth="1"/>
    <col min="7429" max="7429" width="0" style="2918" hidden="1" customWidth="1"/>
    <col min="7430" max="7430" width="21.875" style="2918" customWidth="1"/>
    <col min="7431" max="7433" width="0" style="2918" hidden="1" customWidth="1"/>
    <col min="7434" max="7435" width="8.5" style="2918" customWidth="1"/>
    <col min="7436" max="7436" width="18.75" style="2918" customWidth="1"/>
    <col min="7437" max="7450" width="0" style="2918" hidden="1" customWidth="1"/>
    <col min="7451" max="7451" width="9" style="2918" customWidth="1"/>
    <col min="7452" max="7456" width="0" style="2918" hidden="1" customWidth="1"/>
    <col min="7457" max="7457" width="8.75" style="2918" customWidth="1"/>
    <col min="7458" max="7458" width="0" style="2918" hidden="1" customWidth="1"/>
    <col min="7459" max="7459" width="8.125" style="2918" customWidth="1"/>
    <col min="7460" max="7460" width="0" style="2918" hidden="1" customWidth="1"/>
    <col min="7461" max="7461" width="8.5" style="2918" customWidth="1"/>
    <col min="7462" max="7463" width="0" style="2918" hidden="1" customWidth="1"/>
    <col min="7464" max="7464" width="5.5" style="2918" customWidth="1"/>
    <col min="7465" max="7465" width="4" style="2918" customWidth="1"/>
    <col min="7466" max="7468" width="0" style="2918" hidden="1" customWidth="1"/>
    <col min="7469" max="7680" width="9" style="2918"/>
    <col min="7681" max="7681" width="20.5" style="2918" customWidth="1"/>
    <col min="7682" max="7682" width="6.25" style="2918" customWidth="1"/>
    <col min="7683" max="7683" width="7.875" style="2918" customWidth="1"/>
    <col min="7684" max="7684" width="6.25" style="2918" customWidth="1"/>
    <col min="7685" max="7685" width="0" style="2918" hidden="1" customWidth="1"/>
    <col min="7686" max="7686" width="21.875" style="2918" customWidth="1"/>
    <col min="7687" max="7689" width="0" style="2918" hidden="1" customWidth="1"/>
    <col min="7690" max="7691" width="8.5" style="2918" customWidth="1"/>
    <col min="7692" max="7692" width="18.75" style="2918" customWidth="1"/>
    <col min="7693" max="7706" width="0" style="2918" hidden="1" customWidth="1"/>
    <col min="7707" max="7707" width="9" style="2918" customWidth="1"/>
    <col min="7708" max="7712" width="0" style="2918" hidden="1" customWidth="1"/>
    <col min="7713" max="7713" width="8.75" style="2918" customWidth="1"/>
    <col min="7714" max="7714" width="0" style="2918" hidden="1" customWidth="1"/>
    <col min="7715" max="7715" width="8.125" style="2918" customWidth="1"/>
    <col min="7716" max="7716" width="0" style="2918" hidden="1" customWidth="1"/>
    <col min="7717" max="7717" width="8.5" style="2918" customWidth="1"/>
    <col min="7718" max="7719" width="0" style="2918" hidden="1" customWidth="1"/>
    <col min="7720" max="7720" width="5.5" style="2918" customWidth="1"/>
    <col min="7721" max="7721" width="4" style="2918" customWidth="1"/>
    <col min="7722" max="7724" width="0" style="2918" hidden="1" customWidth="1"/>
    <col min="7725" max="7936" width="9" style="2918"/>
    <col min="7937" max="7937" width="20.5" style="2918" customWidth="1"/>
    <col min="7938" max="7938" width="6.25" style="2918" customWidth="1"/>
    <col min="7939" max="7939" width="7.875" style="2918" customWidth="1"/>
    <col min="7940" max="7940" width="6.25" style="2918" customWidth="1"/>
    <col min="7941" max="7941" width="0" style="2918" hidden="1" customWidth="1"/>
    <col min="7942" max="7942" width="21.875" style="2918" customWidth="1"/>
    <col min="7943" max="7945" width="0" style="2918" hidden="1" customWidth="1"/>
    <col min="7946" max="7947" width="8.5" style="2918" customWidth="1"/>
    <col min="7948" max="7948" width="18.75" style="2918" customWidth="1"/>
    <col min="7949" max="7962" width="0" style="2918" hidden="1" customWidth="1"/>
    <col min="7963" max="7963" width="9" style="2918" customWidth="1"/>
    <col min="7964" max="7968" width="0" style="2918" hidden="1" customWidth="1"/>
    <col min="7969" max="7969" width="8.75" style="2918" customWidth="1"/>
    <col min="7970" max="7970" width="0" style="2918" hidden="1" customWidth="1"/>
    <col min="7971" max="7971" width="8.125" style="2918" customWidth="1"/>
    <col min="7972" max="7972" width="0" style="2918" hidden="1" customWidth="1"/>
    <col min="7973" max="7973" width="8.5" style="2918" customWidth="1"/>
    <col min="7974" max="7975" width="0" style="2918" hidden="1" customWidth="1"/>
    <col min="7976" max="7976" width="5.5" style="2918" customWidth="1"/>
    <col min="7977" max="7977" width="4" style="2918" customWidth="1"/>
    <col min="7978" max="7980" width="0" style="2918" hidden="1" customWidth="1"/>
    <col min="7981" max="8192" width="9" style="2918"/>
    <col min="8193" max="8193" width="20.5" style="2918" customWidth="1"/>
    <col min="8194" max="8194" width="6.25" style="2918" customWidth="1"/>
    <col min="8195" max="8195" width="7.875" style="2918" customWidth="1"/>
    <col min="8196" max="8196" width="6.25" style="2918" customWidth="1"/>
    <col min="8197" max="8197" width="0" style="2918" hidden="1" customWidth="1"/>
    <col min="8198" max="8198" width="21.875" style="2918" customWidth="1"/>
    <col min="8199" max="8201" width="0" style="2918" hidden="1" customWidth="1"/>
    <col min="8202" max="8203" width="8.5" style="2918" customWidth="1"/>
    <col min="8204" max="8204" width="18.75" style="2918" customWidth="1"/>
    <col min="8205" max="8218" width="0" style="2918" hidden="1" customWidth="1"/>
    <col min="8219" max="8219" width="9" style="2918" customWidth="1"/>
    <col min="8220" max="8224" width="0" style="2918" hidden="1" customWidth="1"/>
    <col min="8225" max="8225" width="8.75" style="2918" customWidth="1"/>
    <col min="8226" max="8226" width="0" style="2918" hidden="1" customWidth="1"/>
    <col min="8227" max="8227" width="8.125" style="2918" customWidth="1"/>
    <col min="8228" max="8228" width="0" style="2918" hidden="1" customWidth="1"/>
    <col min="8229" max="8229" width="8.5" style="2918" customWidth="1"/>
    <col min="8230" max="8231" width="0" style="2918" hidden="1" customWidth="1"/>
    <col min="8232" max="8232" width="5.5" style="2918" customWidth="1"/>
    <col min="8233" max="8233" width="4" style="2918" customWidth="1"/>
    <col min="8234" max="8236" width="0" style="2918" hidden="1" customWidth="1"/>
    <col min="8237" max="8448" width="9" style="2918"/>
    <col min="8449" max="8449" width="20.5" style="2918" customWidth="1"/>
    <col min="8450" max="8450" width="6.25" style="2918" customWidth="1"/>
    <col min="8451" max="8451" width="7.875" style="2918" customWidth="1"/>
    <col min="8452" max="8452" width="6.25" style="2918" customWidth="1"/>
    <col min="8453" max="8453" width="0" style="2918" hidden="1" customWidth="1"/>
    <col min="8454" max="8454" width="21.875" style="2918" customWidth="1"/>
    <col min="8455" max="8457" width="0" style="2918" hidden="1" customWidth="1"/>
    <col min="8458" max="8459" width="8.5" style="2918" customWidth="1"/>
    <col min="8460" max="8460" width="18.75" style="2918" customWidth="1"/>
    <col min="8461" max="8474" width="0" style="2918" hidden="1" customWidth="1"/>
    <col min="8475" max="8475" width="9" style="2918" customWidth="1"/>
    <col min="8476" max="8480" width="0" style="2918" hidden="1" customWidth="1"/>
    <col min="8481" max="8481" width="8.75" style="2918" customWidth="1"/>
    <col min="8482" max="8482" width="0" style="2918" hidden="1" customWidth="1"/>
    <col min="8483" max="8483" width="8.125" style="2918" customWidth="1"/>
    <col min="8484" max="8484" width="0" style="2918" hidden="1" customWidth="1"/>
    <col min="8485" max="8485" width="8.5" style="2918" customWidth="1"/>
    <col min="8486" max="8487" width="0" style="2918" hidden="1" customWidth="1"/>
    <col min="8488" max="8488" width="5.5" style="2918" customWidth="1"/>
    <col min="8489" max="8489" width="4" style="2918" customWidth="1"/>
    <col min="8490" max="8492" width="0" style="2918" hidden="1" customWidth="1"/>
    <col min="8493" max="8704" width="9" style="2918"/>
    <col min="8705" max="8705" width="20.5" style="2918" customWidth="1"/>
    <col min="8706" max="8706" width="6.25" style="2918" customWidth="1"/>
    <col min="8707" max="8707" width="7.875" style="2918" customWidth="1"/>
    <col min="8708" max="8708" width="6.25" style="2918" customWidth="1"/>
    <col min="8709" max="8709" width="0" style="2918" hidden="1" customWidth="1"/>
    <col min="8710" max="8710" width="21.875" style="2918" customWidth="1"/>
    <col min="8711" max="8713" width="0" style="2918" hidden="1" customWidth="1"/>
    <col min="8714" max="8715" width="8.5" style="2918" customWidth="1"/>
    <col min="8716" max="8716" width="18.75" style="2918" customWidth="1"/>
    <col min="8717" max="8730" width="0" style="2918" hidden="1" customWidth="1"/>
    <col min="8731" max="8731" width="9" style="2918" customWidth="1"/>
    <col min="8732" max="8736" width="0" style="2918" hidden="1" customWidth="1"/>
    <col min="8737" max="8737" width="8.75" style="2918" customWidth="1"/>
    <col min="8738" max="8738" width="0" style="2918" hidden="1" customWidth="1"/>
    <col min="8739" max="8739" width="8.125" style="2918" customWidth="1"/>
    <col min="8740" max="8740" width="0" style="2918" hidden="1" customWidth="1"/>
    <col min="8741" max="8741" width="8.5" style="2918" customWidth="1"/>
    <col min="8742" max="8743" width="0" style="2918" hidden="1" customWidth="1"/>
    <col min="8744" max="8744" width="5.5" style="2918" customWidth="1"/>
    <col min="8745" max="8745" width="4" style="2918" customWidth="1"/>
    <col min="8746" max="8748" width="0" style="2918" hidden="1" customWidth="1"/>
    <col min="8749" max="8960" width="9" style="2918"/>
    <col min="8961" max="8961" width="20.5" style="2918" customWidth="1"/>
    <col min="8962" max="8962" width="6.25" style="2918" customWidth="1"/>
    <col min="8963" max="8963" width="7.875" style="2918" customWidth="1"/>
    <col min="8964" max="8964" width="6.25" style="2918" customWidth="1"/>
    <col min="8965" max="8965" width="0" style="2918" hidden="1" customWidth="1"/>
    <col min="8966" max="8966" width="21.875" style="2918" customWidth="1"/>
    <col min="8967" max="8969" width="0" style="2918" hidden="1" customWidth="1"/>
    <col min="8970" max="8971" width="8.5" style="2918" customWidth="1"/>
    <col min="8972" max="8972" width="18.75" style="2918" customWidth="1"/>
    <col min="8973" max="8986" width="0" style="2918" hidden="1" customWidth="1"/>
    <col min="8987" max="8987" width="9" style="2918" customWidth="1"/>
    <col min="8988" max="8992" width="0" style="2918" hidden="1" customWidth="1"/>
    <col min="8993" max="8993" width="8.75" style="2918" customWidth="1"/>
    <col min="8994" max="8994" width="0" style="2918" hidden="1" customWidth="1"/>
    <col min="8995" max="8995" width="8.125" style="2918" customWidth="1"/>
    <col min="8996" max="8996" width="0" style="2918" hidden="1" customWidth="1"/>
    <col min="8997" max="8997" width="8.5" style="2918" customWidth="1"/>
    <col min="8998" max="8999" width="0" style="2918" hidden="1" customWidth="1"/>
    <col min="9000" max="9000" width="5.5" style="2918" customWidth="1"/>
    <col min="9001" max="9001" width="4" style="2918" customWidth="1"/>
    <col min="9002" max="9004" width="0" style="2918" hidden="1" customWidth="1"/>
    <col min="9005" max="9216" width="9" style="2918"/>
    <col min="9217" max="9217" width="20.5" style="2918" customWidth="1"/>
    <col min="9218" max="9218" width="6.25" style="2918" customWidth="1"/>
    <col min="9219" max="9219" width="7.875" style="2918" customWidth="1"/>
    <col min="9220" max="9220" width="6.25" style="2918" customWidth="1"/>
    <col min="9221" max="9221" width="0" style="2918" hidden="1" customWidth="1"/>
    <col min="9222" max="9222" width="21.875" style="2918" customWidth="1"/>
    <col min="9223" max="9225" width="0" style="2918" hidden="1" customWidth="1"/>
    <col min="9226" max="9227" width="8.5" style="2918" customWidth="1"/>
    <col min="9228" max="9228" width="18.75" style="2918" customWidth="1"/>
    <col min="9229" max="9242" width="0" style="2918" hidden="1" customWidth="1"/>
    <col min="9243" max="9243" width="9" style="2918" customWidth="1"/>
    <col min="9244" max="9248" width="0" style="2918" hidden="1" customWidth="1"/>
    <col min="9249" max="9249" width="8.75" style="2918" customWidth="1"/>
    <col min="9250" max="9250" width="0" style="2918" hidden="1" customWidth="1"/>
    <col min="9251" max="9251" width="8.125" style="2918" customWidth="1"/>
    <col min="9252" max="9252" width="0" style="2918" hidden="1" customWidth="1"/>
    <col min="9253" max="9253" width="8.5" style="2918" customWidth="1"/>
    <col min="9254" max="9255" width="0" style="2918" hidden="1" customWidth="1"/>
    <col min="9256" max="9256" width="5.5" style="2918" customWidth="1"/>
    <col min="9257" max="9257" width="4" style="2918" customWidth="1"/>
    <col min="9258" max="9260" width="0" style="2918" hidden="1" customWidth="1"/>
    <col min="9261" max="9472" width="9" style="2918"/>
    <col min="9473" max="9473" width="20.5" style="2918" customWidth="1"/>
    <col min="9474" max="9474" width="6.25" style="2918" customWidth="1"/>
    <col min="9475" max="9475" width="7.875" style="2918" customWidth="1"/>
    <col min="9476" max="9476" width="6.25" style="2918" customWidth="1"/>
    <col min="9477" max="9477" width="0" style="2918" hidden="1" customWidth="1"/>
    <col min="9478" max="9478" width="21.875" style="2918" customWidth="1"/>
    <col min="9479" max="9481" width="0" style="2918" hidden="1" customWidth="1"/>
    <col min="9482" max="9483" width="8.5" style="2918" customWidth="1"/>
    <col min="9484" max="9484" width="18.75" style="2918" customWidth="1"/>
    <col min="9485" max="9498" width="0" style="2918" hidden="1" customWidth="1"/>
    <col min="9499" max="9499" width="9" style="2918" customWidth="1"/>
    <col min="9500" max="9504" width="0" style="2918" hidden="1" customWidth="1"/>
    <col min="9505" max="9505" width="8.75" style="2918" customWidth="1"/>
    <col min="9506" max="9506" width="0" style="2918" hidden="1" customWidth="1"/>
    <col min="9507" max="9507" width="8.125" style="2918" customWidth="1"/>
    <col min="9508" max="9508" width="0" style="2918" hidden="1" customWidth="1"/>
    <col min="9509" max="9509" width="8.5" style="2918" customWidth="1"/>
    <col min="9510" max="9511" width="0" style="2918" hidden="1" customWidth="1"/>
    <col min="9512" max="9512" width="5.5" style="2918" customWidth="1"/>
    <col min="9513" max="9513" width="4" style="2918" customWidth="1"/>
    <col min="9514" max="9516" width="0" style="2918" hidden="1" customWidth="1"/>
    <col min="9517" max="9728" width="9" style="2918"/>
    <col min="9729" max="9729" width="20.5" style="2918" customWidth="1"/>
    <col min="9730" max="9730" width="6.25" style="2918" customWidth="1"/>
    <col min="9731" max="9731" width="7.875" style="2918" customWidth="1"/>
    <col min="9732" max="9732" width="6.25" style="2918" customWidth="1"/>
    <col min="9733" max="9733" width="0" style="2918" hidden="1" customWidth="1"/>
    <col min="9734" max="9734" width="21.875" style="2918" customWidth="1"/>
    <col min="9735" max="9737" width="0" style="2918" hidden="1" customWidth="1"/>
    <col min="9738" max="9739" width="8.5" style="2918" customWidth="1"/>
    <col min="9740" max="9740" width="18.75" style="2918" customWidth="1"/>
    <col min="9741" max="9754" width="0" style="2918" hidden="1" customWidth="1"/>
    <col min="9755" max="9755" width="9" style="2918" customWidth="1"/>
    <col min="9756" max="9760" width="0" style="2918" hidden="1" customWidth="1"/>
    <col min="9761" max="9761" width="8.75" style="2918" customWidth="1"/>
    <col min="9762" max="9762" width="0" style="2918" hidden="1" customWidth="1"/>
    <col min="9763" max="9763" width="8.125" style="2918" customWidth="1"/>
    <col min="9764" max="9764" width="0" style="2918" hidden="1" customWidth="1"/>
    <col min="9765" max="9765" width="8.5" style="2918" customWidth="1"/>
    <col min="9766" max="9767" width="0" style="2918" hidden="1" customWidth="1"/>
    <col min="9768" max="9768" width="5.5" style="2918" customWidth="1"/>
    <col min="9769" max="9769" width="4" style="2918" customWidth="1"/>
    <col min="9770" max="9772" width="0" style="2918" hidden="1" customWidth="1"/>
    <col min="9773" max="9984" width="9" style="2918"/>
    <col min="9985" max="9985" width="20.5" style="2918" customWidth="1"/>
    <col min="9986" max="9986" width="6.25" style="2918" customWidth="1"/>
    <col min="9987" max="9987" width="7.875" style="2918" customWidth="1"/>
    <col min="9988" max="9988" width="6.25" style="2918" customWidth="1"/>
    <col min="9989" max="9989" width="0" style="2918" hidden="1" customWidth="1"/>
    <col min="9990" max="9990" width="21.875" style="2918" customWidth="1"/>
    <col min="9991" max="9993" width="0" style="2918" hidden="1" customWidth="1"/>
    <col min="9994" max="9995" width="8.5" style="2918" customWidth="1"/>
    <col min="9996" max="9996" width="18.75" style="2918" customWidth="1"/>
    <col min="9997" max="10010" width="0" style="2918" hidden="1" customWidth="1"/>
    <col min="10011" max="10011" width="9" style="2918" customWidth="1"/>
    <col min="10012" max="10016" width="0" style="2918" hidden="1" customWidth="1"/>
    <col min="10017" max="10017" width="8.75" style="2918" customWidth="1"/>
    <col min="10018" max="10018" width="0" style="2918" hidden="1" customWidth="1"/>
    <col min="10019" max="10019" width="8.125" style="2918" customWidth="1"/>
    <col min="10020" max="10020" width="0" style="2918" hidden="1" customWidth="1"/>
    <col min="10021" max="10021" width="8.5" style="2918" customWidth="1"/>
    <col min="10022" max="10023" width="0" style="2918" hidden="1" customWidth="1"/>
    <col min="10024" max="10024" width="5.5" style="2918" customWidth="1"/>
    <col min="10025" max="10025" width="4" style="2918" customWidth="1"/>
    <col min="10026" max="10028" width="0" style="2918" hidden="1" customWidth="1"/>
    <col min="10029" max="10240" width="9" style="2918"/>
    <col min="10241" max="10241" width="20.5" style="2918" customWidth="1"/>
    <col min="10242" max="10242" width="6.25" style="2918" customWidth="1"/>
    <col min="10243" max="10243" width="7.875" style="2918" customWidth="1"/>
    <col min="10244" max="10244" width="6.25" style="2918" customWidth="1"/>
    <col min="10245" max="10245" width="0" style="2918" hidden="1" customWidth="1"/>
    <col min="10246" max="10246" width="21.875" style="2918" customWidth="1"/>
    <col min="10247" max="10249" width="0" style="2918" hidden="1" customWidth="1"/>
    <col min="10250" max="10251" width="8.5" style="2918" customWidth="1"/>
    <col min="10252" max="10252" width="18.75" style="2918" customWidth="1"/>
    <col min="10253" max="10266" width="0" style="2918" hidden="1" customWidth="1"/>
    <col min="10267" max="10267" width="9" style="2918" customWidth="1"/>
    <col min="10268" max="10272" width="0" style="2918" hidden="1" customWidth="1"/>
    <col min="10273" max="10273" width="8.75" style="2918" customWidth="1"/>
    <col min="10274" max="10274" width="0" style="2918" hidden="1" customWidth="1"/>
    <col min="10275" max="10275" width="8.125" style="2918" customWidth="1"/>
    <col min="10276" max="10276" width="0" style="2918" hidden="1" customWidth="1"/>
    <col min="10277" max="10277" width="8.5" style="2918" customWidth="1"/>
    <col min="10278" max="10279" width="0" style="2918" hidden="1" customWidth="1"/>
    <col min="10280" max="10280" width="5.5" style="2918" customWidth="1"/>
    <col min="10281" max="10281" width="4" style="2918" customWidth="1"/>
    <col min="10282" max="10284" width="0" style="2918" hidden="1" customWidth="1"/>
    <col min="10285" max="10496" width="9" style="2918"/>
    <col min="10497" max="10497" width="20.5" style="2918" customWidth="1"/>
    <col min="10498" max="10498" width="6.25" style="2918" customWidth="1"/>
    <col min="10499" max="10499" width="7.875" style="2918" customWidth="1"/>
    <col min="10500" max="10500" width="6.25" style="2918" customWidth="1"/>
    <col min="10501" max="10501" width="0" style="2918" hidden="1" customWidth="1"/>
    <col min="10502" max="10502" width="21.875" style="2918" customWidth="1"/>
    <col min="10503" max="10505" width="0" style="2918" hidden="1" customWidth="1"/>
    <col min="10506" max="10507" width="8.5" style="2918" customWidth="1"/>
    <col min="10508" max="10508" width="18.75" style="2918" customWidth="1"/>
    <col min="10509" max="10522" width="0" style="2918" hidden="1" customWidth="1"/>
    <col min="10523" max="10523" width="9" style="2918" customWidth="1"/>
    <col min="10524" max="10528" width="0" style="2918" hidden="1" customWidth="1"/>
    <col min="10529" max="10529" width="8.75" style="2918" customWidth="1"/>
    <col min="10530" max="10530" width="0" style="2918" hidden="1" customWidth="1"/>
    <col min="10531" max="10531" width="8.125" style="2918" customWidth="1"/>
    <col min="10532" max="10532" width="0" style="2918" hidden="1" customWidth="1"/>
    <col min="10533" max="10533" width="8.5" style="2918" customWidth="1"/>
    <col min="10534" max="10535" width="0" style="2918" hidden="1" customWidth="1"/>
    <col min="10536" max="10536" width="5.5" style="2918" customWidth="1"/>
    <col min="10537" max="10537" width="4" style="2918" customWidth="1"/>
    <col min="10538" max="10540" width="0" style="2918" hidden="1" customWidth="1"/>
    <col min="10541" max="10752" width="9" style="2918"/>
    <col min="10753" max="10753" width="20.5" style="2918" customWidth="1"/>
    <col min="10754" max="10754" width="6.25" style="2918" customWidth="1"/>
    <col min="10755" max="10755" width="7.875" style="2918" customWidth="1"/>
    <col min="10756" max="10756" width="6.25" style="2918" customWidth="1"/>
    <col min="10757" max="10757" width="0" style="2918" hidden="1" customWidth="1"/>
    <col min="10758" max="10758" width="21.875" style="2918" customWidth="1"/>
    <col min="10759" max="10761" width="0" style="2918" hidden="1" customWidth="1"/>
    <col min="10762" max="10763" width="8.5" style="2918" customWidth="1"/>
    <col min="10764" max="10764" width="18.75" style="2918" customWidth="1"/>
    <col min="10765" max="10778" width="0" style="2918" hidden="1" customWidth="1"/>
    <col min="10779" max="10779" width="9" style="2918" customWidth="1"/>
    <col min="10780" max="10784" width="0" style="2918" hidden="1" customWidth="1"/>
    <col min="10785" max="10785" width="8.75" style="2918" customWidth="1"/>
    <col min="10786" max="10786" width="0" style="2918" hidden="1" customWidth="1"/>
    <col min="10787" max="10787" width="8.125" style="2918" customWidth="1"/>
    <col min="10788" max="10788" width="0" style="2918" hidden="1" customWidth="1"/>
    <col min="10789" max="10789" width="8.5" style="2918" customWidth="1"/>
    <col min="10790" max="10791" width="0" style="2918" hidden="1" customWidth="1"/>
    <col min="10792" max="10792" width="5.5" style="2918" customWidth="1"/>
    <col min="10793" max="10793" width="4" style="2918" customWidth="1"/>
    <col min="10794" max="10796" width="0" style="2918" hidden="1" customWidth="1"/>
    <col min="10797" max="11008" width="9" style="2918"/>
    <col min="11009" max="11009" width="20.5" style="2918" customWidth="1"/>
    <col min="11010" max="11010" width="6.25" style="2918" customWidth="1"/>
    <col min="11011" max="11011" width="7.875" style="2918" customWidth="1"/>
    <col min="11012" max="11012" width="6.25" style="2918" customWidth="1"/>
    <col min="11013" max="11013" width="0" style="2918" hidden="1" customWidth="1"/>
    <col min="11014" max="11014" width="21.875" style="2918" customWidth="1"/>
    <col min="11015" max="11017" width="0" style="2918" hidden="1" customWidth="1"/>
    <col min="11018" max="11019" width="8.5" style="2918" customWidth="1"/>
    <col min="11020" max="11020" width="18.75" style="2918" customWidth="1"/>
    <col min="11021" max="11034" width="0" style="2918" hidden="1" customWidth="1"/>
    <col min="11035" max="11035" width="9" style="2918" customWidth="1"/>
    <col min="11036" max="11040" width="0" style="2918" hidden="1" customWidth="1"/>
    <col min="11041" max="11041" width="8.75" style="2918" customWidth="1"/>
    <col min="11042" max="11042" width="0" style="2918" hidden="1" customWidth="1"/>
    <col min="11043" max="11043" width="8.125" style="2918" customWidth="1"/>
    <col min="11044" max="11044" width="0" style="2918" hidden="1" customWidth="1"/>
    <col min="11045" max="11045" width="8.5" style="2918" customWidth="1"/>
    <col min="11046" max="11047" width="0" style="2918" hidden="1" customWidth="1"/>
    <col min="11048" max="11048" width="5.5" style="2918" customWidth="1"/>
    <col min="11049" max="11049" width="4" style="2918" customWidth="1"/>
    <col min="11050" max="11052" width="0" style="2918" hidden="1" customWidth="1"/>
    <col min="11053" max="11264" width="9" style="2918"/>
    <col min="11265" max="11265" width="20.5" style="2918" customWidth="1"/>
    <col min="11266" max="11266" width="6.25" style="2918" customWidth="1"/>
    <col min="11267" max="11267" width="7.875" style="2918" customWidth="1"/>
    <col min="11268" max="11268" width="6.25" style="2918" customWidth="1"/>
    <col min="11269" max="11269" width="0" style="2918" hidden="1" customWidth="1"/>
    <col min="11270" max="11270" width="21.875" style="2918" customWidth="1"/>
    <col min="11271" max="11273" width="0" style="2918" hidden="1" customWidth="1"/>
    <col min="11274" max="11275" width="8.5" style="2918" customWidth="1"/>
    <col min="11276" max="11276" width="18.75" style="2918" customWidth="1"/>
    <col min="11277" max="11290" width="0" style="2918" hidden="1" customWidth="1"/>
    <col min="11291" max="11291" width="9" style="2918" customWidth="1"/>
    <col min="11292" max="11296" width="0" style="2918" hidden="1" customWidth="1"/>
    <col min="11297" max="11297" width="8.75" style="2918" customWidth="1"/>
    <col min="11298" max="11298" width="0" style="2918" hidden="1" customWidth="1"/>
    <col min="11299" max="11299" width="8.125" style="2918" customWidth="1"/>
    <col min="11300" max="11300" width="0" style="2918" hidden="1" customWidth="1"/>
    <col min="11301" max="11301" width="8.5" style="2918" customWidth="1"/>
    <col min="11302" max="11303" width="0" style="2918" hidden="1" customWidth="1"/>
    <col min="11304" max="11304" width="5.5" style="2918" customWidth="1"/>
    <col min="11305" max="11305" width="4" style="2918" customWidth="1"/>
    <col min="11306" max="11308" width="0" style="2918" hidden="1" customWidth="1"/>
    <col min="11309" max="11520" width="9" style="2918"/>
    <col min="11521" max="11521" width="20.5" style="2918" customWidth="1"/>
    <col min="11522" max="11522" width="6.25" style="2918" customWidth="1"/>
    <col min="11523" max="11523" width="7.875" style="2918" customWidth="1"/>
    <col min="11524" max="11524" width="6.25" style="2918" customWidth="1"/>
    <col min="11525" max="11525" width="0" style="2918" hidden="1" customWidth="1"/>
    <col min="11526" max="11526" width="21.875" style="2918" customWidth="1"/>
    <col min="11527" max="11529" width="0" style="2918" hidden="1" customWidth="1"/>
    <col min="11530" max="11531" width="8.5" style="2918" customWidth="1"/>
    <col min="11532" max="11532" width="18.75" style="2918" customWidth="1"/>
    <col min="11533" max="11546" width="0" style="2918" hidden="1" customWidth="1"/>
    <col min="11547" max="11547" width="9" style="2918" customWidth="1"/>
    <col min="11548" max="11552" width="0" style="2918" hidden="1" customWidth="1"/>
    <col min="11553" max="11553" width="8.75" style="2918" customWidth="1"/>
    <col min="11554" max="11554" width="0" style="2918" hidden="1" customWidth="1"/>
    <col min="11555" max="11555" width="8.125" style="2918" customWidth="1"/>
    <col min="11556" max="11556" width="0" style="2918" hidden="1" customWidth="1"/>
    <col min="11557" max="11557" width="8.5" style="2918" customWidth="1"/>
    <col min="11558" max="11559" width="0" style="2918" hidden="1" customWidth="1"/>
    <col min="11560" max="11560" width="5.5" style="2918" customWidth="1"/>
    <col min="11561" max="11561" width="4" style="2918" customWidth="1"/>
    <col min="11562" max="11564" width="0" style="2918" hidden="1" customWidth="1"/>
    <col min="11565" max="11776" width="9" style="2918"/>
    <col min="11777" max="11777" width="20.5" style="2918" customWidth="1"/>
    <col min="11778" max="11778" width="6.25" style="2918" customWidth="1"/>
    <col min="11779" max="11779" width="7.875" style="2918" customWidth="1"/>
    <col min="11780" max="11780" width="6.25" style="2918" customWidth="1"/>
    <col min="11781" max="11781" width="0" style="2918" hidden="1" customWidth="1"/>
    <col min="11782" max="11782" width="21.875" style="2918" customWidth="1"/>
    <col min="11783" max="11785" width="0" style="2918" hidden="1" customWidth="1"/>
    <col min="11786" max="11787" width="8.5" style="2918" customWidth="1"/>
    <col min="11788" max="11788" width="18.75" style="2918" customWidth="1"/>
    <col min="11789" max="11802" width="0" style="2918" hidden="1" customWidth="1"/>
    <col min="11803" max="11803" width="9" style="2918" customWidth="1"/>
    <col min="11804" max="11808" width="0" style="2918" hidden="1" customWidth="1"/>
    <col min="11809" max="11809" width="8.75" style="2918" customWidth="1"/>
    <col min="11810" max="11810" width="0" style="2918" hidden="1" customWidth="1"/>
    <col min="11811" max="11811" width="8.125" style="2918" customWidth="1"/>
    <col min="11812" max="11812" width="0" style="2918" hidden="1" customWidth="1"/>
    <col min="11813" max="11813" width="8.5" style="2918" customWidth="1"/>
    <col min="11814" max="11815" width="0" style="2918" hidden="1" customWidth="1"/>
    <col min="11816" max="11816" width="5.5" style="2918" customWidth="1"/>
    <col min="11817" max="11817" width="4" style="2918" customWidth="1"/>
    <col min="11818" max="11820" width="0" style="2918" hidden="1" customWidth="1"/>
    <col min="11821" max="12032" width="9" style="2918"/>
    <col min="12033" max="12033" width="20.5" style="2918" customWidth="1"/>
    <col min="12034" max="12034" width="6.25" style="2918" customWidth="1"/>
    <col min="12035" max="12035" width="7.875" style="2918" customWidth="1"/>
    <col min="12036" max="12036" width="6.25" style="2918" customWidth="1"/>
    <col min="12037" max="12037" width="0" style="2918" hidden="1" customWidth="1"/>
    <col min="12038" max="12038" width="21.875" style="2918" customWidth="1"/>
    <col min="12039" max="12041" width="0" style="2918" hidden="1" customWidth="1"/>
    <col min="12042" max="12043" width="8.5" style="2918" customWidth="1"/>
    <col min="12044" max="12044" width="18.75" style="2918" customWidth="1"/>
    <col min="12045" max="12058" width="0" style="2918" hidden="1" customWidth="1"/>
    <col min="12059" max="12059" width="9" style="2918" customWidth="1"/>
    <col min="12060" max="12064" width="0" style="2918" hidden="1" customWidth="1"/>
    <col min="12065" max="12065" width="8.75" style="2918" customWidth="1"/>
    <col min="12066" max="12066" width="0" style="2918" hidden="1" customWidth="1"/>
    <col min="12067" max="12067" width="8.125" style="2918" customWidth="1"/>
    <col min="12068" max="12068" width="0" style="2918" hidden="1" customWidth="1"/>
    <col min="12069" max="12069" width="8.5" style="2918" customWidth="1"/>
    <col min="12070" max="12071" width="0" style="2918" hidden="1" customWidth="1"/>
    <col min="12072" max="12072" width="5.5" style="2918" customWidth="1"/>
    <col min="12073" max="12073" width="4" style="2918" customWidth="1"/>
    <col min="12074" max="12076" width="0" style="2918" hidden="1" customWidth="1"/>
    <col min="12077" max="12288" width="9" style="2918"/>
    <col min="12289" max="12289" width="20.5" style="2918" customWidth="1"/>
    <col min="12290" max="12290" width="6.25" style="2918" customWidth="1"/>
    <col min="12291" max="12291" width="7.875" style="2918" customWidth="1"/>
    <col min="12292" max="12292" width="6.25" style="2918" customWidth="1"/>
    <col min="12293" max="12293" width="0" style="2918" hidden="1" customWidth="1"/>
    <col min="12294" max="12294" width="21.875" style="2918" customWidth="1"/>
    <col min="12295" max="12297" width="0" style="2918" hidden="1" customWidth="1"/>
    <col min="12298" max="12299" width="8.5" style="2918" customWidth="1"/>
    <col min="12300" max="12300" width="18.75" style="2918" customWidth="1"/>
    <col min="12301" max="12314" width="0" style="2918" hidden="1" customWidth="1"/>
    <col min="12315" max="12315" width="9" style="2918" customWidth="1"/>
    <col min="12316" max="12320" width="0" style="2918" hidden="1" customWidth="1"/>
    <col min="12321" max="12321" width="8.75" style="2918" customWidth="1"/>
    <col min="12322" max="12322" width="0" style="2918" hidden="1" customWidth="1"/>
    <col min="12323" max="12323" width="8.125" style="2918" customWidth="1"/>
    <col min="12324" max="12324" width="0" style="2918" hidden="1" customWidth="1"/>
    <col min="12325" max="12325" width="8.5" style="2918" customWidth="1"/>
    <col min="12326" max="12327" width="0" style="2918" hidden="1" customWidth="1"/>
    <col min="12328" max="12328" width="5.5" style="2918" customWidth="1"/>
    <col min="12329" max="12329" width="4" style="2918" customWidth="1"/>
    <col min="12330" max="12332" width="0" style="2918" hidden="1" customWidth="1"/>
    <col min="12333" max="12544" width="9" style="2918"/>
    <col min="12545" max="12545" width="20.5" style="2918" customWidth="1"/>
    <col min="12546" max="12546" width="6.25" style="2918" customWidth="1"/>
    <col min="12547" max="12547" width="7.875" style="2918" customWidth="1"/>
    <col min="12548" max="12548" width="6.25" style="2918" customWidth="1"/>
    <col min="12549" max="12549" width="0" style="2918" hidden="1" customWidth="1"/>
    <col min="12550" max="12550" width="21.875" style="2918" customWidth="1"/>
    <col min="12551" max="12553" width="0" style="2918" hidden="1" customWidth="1"/>
    <col min="12554" max="12555" width="8.5" style="2918" customWidth="1"/>
    <col min="12556" max="12556" width="18.75" style="2918" customWidth="1"/>
    <col min="12557" max="12570" width="0" style="2918" hidden="1" customWidth="1"/>
    <col min="12571" max="12571" width="9" style="2918" customWidth="1"/>
    <col min="12572" max="12576" width="0" style="2918" hidden="1" customWidth="1"/>
    <col min="12577" max="12577" width="8.75" style="2918" customWidth="1"/>
    <col min="12578" max="12578" width="0" style="2918" hidden="1" customWidth="1"/>
    <col min="12579" max="12579" width="8.125" style="2918" customWidth="1"/>
    <col min="12580" max="12580" width="0" style="2918" hidden="1" customWidth="1"/>
    <col min="12581" max="12581" width="8.5" style="2918" customWidth="1"/>
    <col min="12582" max="12583" width="0" style="2918" hidden="1" customWidth="1"/>
    <col min="12584" max="12584" width="5.5" style="2918" customWidth="1"/>
    <col min="12585" max="12585" width="4" style="2918" customWidth="1"/>
    <col min="12586" max="12588" width="0" style="2918" hidden="1" customWidth="1"/>
    <col min="12589" max="12800" width="9" style="2918"/>
    <col min="12801" max="12801" width="20.5" style="2918" customWidth="1"/>
    <col min="12802" max="12802" width="6.25" style="2918" customWidth="1"/>
    <col min="12803" max="12803" width="7.875" style="2918" customWidth="1"/>
    <col min="12804" max="12804" width="6.25" style="2918" customWidth="1"/>
    <col min="12805" max="12805" width="0" style="2918" hidden="1" customWidth="1"/>
    <col min="12806" max="12806" width="21.875" style="2918" customWidth="1"/>
    <col min="12807" max="12809" width="0" style="2918" hidden="1" customWidth="1"/>
    <col min="12810" max="12811" width="8.5" style="2918" customWidth="1"/>
    <col min="12812" max="12812" width="18.75" style="2918" customWidth="1"/>
    <col min="12813" max="12826" width="0" style="2918" hidden="1" customWidth="1"/>
    <col min="12827" max="12827" width="9" style="2918" customWidth="1"/>
    <col min="12828" max="12832" width="0" style="2918" hidden="1" customWidth="1"/>
    <col min="12833" max="12833" width="8.75" style="2918" customWidth="1"/>
    <col min="12834" max="12834" width="0" style="2918" hidden="1" customWidth="1"/>
    <col min="12835" max="12835" width="8.125" style="2918" customWidth="1"/>
    <col min="12836" max="12836" width="0" style="2918" hidden="1" customWidth="1"/>
    <col min="12837" max="12837" width="8.5" style="2918" customWidth="1"/>
    <col min="12838" max="12839" width="0" style="2918" hidden="1" customWidth="1"/>
    <col min="12840" max="12840" width="5.5" style="2918" customWidth="1"/>
    <col min="12841" max="12841" width="4" style="2918" customWidth="1"/>
    <col min="12842" max="12844" width="0" style="2918" hidden="1" customWidth="1"/>
    <col min="12845" max="13056" width="9" style="2918"/>
    <col min="13057" max="13057" width="20.5" style="2918" customWidth="1"/>
    <col min="13058" max="13058" width="6.25" style="2918" customWidth="1"/>
    <col min="13059" max="13059" width="7.875" style="2918" customWidth="1"/>
    <col min="13060" max="13060" width="6.25" style="2918" customWidth="1"/>
    <col min="13061" max="13061" width="0" style="2918" hidden="1" customWidth="1"/>
    <col min="13062" max="13062" width="21.875" style="2918" customWidth="1"/>
    <col min="13063" max="13065" width="0" style="2918" hidden="1" customWidth="1"/>
    <col min="13066" max="13067" width="8.5" style="2918" customWidth="1"/>
    <col min="13068" max="13068" width="18.75" style="2918" customWidth="1"/>
    <col min="13069" max="13082" width="0" style="2918" hidden="1" customWidth="1"/>
    <col min="13083" max="13083" width="9" style="2918" customWidth="1"/>
    <col min="13084" max="13088" width="0" style="2918" hidden="1" customWidth="1"/>
    <col min="13089" max="13089" width="8.75" style="2918" customWidth="1"/>
    <col min="13090" max="13090" width="0" style="2918" hidden="1" customWidth="1"/>
    <col min="13091" max="13091" width="8.125" style="2918" customWidth="1"/>
    <col min="13092" max="13092" width="0" style="2918" hidden="1" customWidth="1"/>
    <col min="13093" max="13093" width="8.5" style="2918" customWidth="1"/>
    <col min="13094" max="13095" width="0" style="2918" hidden="1" customWidth="1"/>
    <col min="13096" max="13096" width="5.5" style="2918" customWidth="1"/>
    <col min="13097" max="13097" width="4" style="2918" customWidth="1"/>
    <col min="13098" max="13100" width="0" style="2918" hidden="1" customWidth="1"/>
    <col min="13101" max="13312" width="9" style="2918"/>
    <col min="13313" max="13313" width="20.5" style="2918" customWidth="1"/>
    <col min="13314" max="13314" width="6.25" style="2918" customWidth="1"/>
    <col min="13315" max="13315" width="7.875" style="2918" customWidth="1"/>
    <col min="13316" max="13316" width="6.25" style="2918" customWidth="1"/>
    <col min="13317" max="13317" width="0" style="2918" hidden="1" customWidth="1"/>
    <col min="13318" max="13318" width="21.875" style="2918" customWidth="1"/>
    <col min="13319" max="13321" width="0" style="2918" hidden="1" customWidth="1"/>
    <col min="13322" max="13323" width="8.5" style="2918" customWidth="1"/>
    <col min="13324" max="13324" width="18.75" style="2918" customWidth="1"/>
    <col min="13325" max="13338" width="0" style="2918" hidden="1" customWidth="1"/>
    <col min="13339" max="13339" width="9" style="2918" customWidth="1"/>
    <col min="13340" max="13344" width="0" style="2918" hidden="1" customWidth="1"/>
    <col min="13345" max="13345" width="8.75" style="2918" customWidth="1"/>
    <col min="13346" max="13346" width="0" style="2918" hidden="1" customWidth="1"/>
    <col min="13347" max="13347" width="8.125" style="2918" customWidth="1"/>
    <col min="13348" max="13348" width="0" style="2918" hidden="1" customWidth="1"/>
    <col min="13349" max="13349" width="8.5" style="2918" customWidth="1"/>
    <col min="13350" max="13351" width="0" style="2918" hidden="1" customWidth="1"/>
    <col min="13352" max="13352" width="5.5" style="2918" customWidth="1"/>
    <col min="13353" max="13353" width="4" style="2918" customWidth="1"/>
    <col min="13354" max="13356" width="0" style="2918" hidden="1" customWidth="1"/>
    <col min="13357" max="13568" width="9" style="2918"/>
    <col min="13569" max="13569" width="20.5" style="2918" customWidth="1"/>
    <col min="13570" max="13570" width="6.25" style="2918" customWidth="1"/>
    <col min="13571" max="13571" width="7.875" style="2918" customWidth="1"/>
    <col min="13572" max="13572" width="6.25" style="2918" customWidth="1"/>
    <col min="13573" max="13573" width="0" style="2918" hidden="1" customWidth="1"/>
    <col min="13574" max="13574" width="21.875" style="2918" customWidth="1"/>
    <col min="13575" max="13577" width="0" style="2918" hidden="1" customWidth="1"/>
    <col min="13578" max="13579" width="8.5" style="2918" customWidth="1"/>
    <col min="13580" max="13580" width="18.75" style="2918" customWidth="1"/>
    <col min="13581" max="13594" width="0" style="2918" hidden="1" customWidth="1"/>
    <col min="13595" max="13595" width="9" style="2918" customWidth="1"/>
    <col min="13596" max="13600" width="0" style="2918" hidden="1" customWidth="1"/>
    <col min="13601" max="13601" width="8.75" style="2918" customWidth="1"/>
    <col min="13602" max="13602" width="0" style="2918" hidden="1" customWidth="1"/>
    <col min="13603" max="13603" width="8.125" style="2918" customWidth="1"/>
    <col min="13604" max="13604" width="0" style="2918" hidden="1" customWidth="1"/>
    <col min="13605" max="13605" width="8.5" style="2918" customWidth="1"/>
    <col min="13606" max="13607" width="0" style="2918" hidden="1" customWidth="1"/>
    <col min="13608" max="13608" width="5.5" style="2918" customWidth="1"/>
    <col min="13609" max="13609" width="4" style="2918" customWidth="1"/>
    <col min="13610" max="13612" width="0" style="2918" hidden="1" customWidth="1"/>
    <col min="13613" max="13824" width="9" style="2918"/>
    <col min="13825" max="13825" width="20.5" style="2918" customWidth="1"/>
    <col min="13826" max="13826" width="6.25" style="2918" customWidth="1"/>
    <col min="13827" max="13827" width="7.875" style="2918" customWidth="1"/>
    <col min="13828" max="13828" width="6.25" style="2918" customWidth="1"/>
    <col min="13829" max="13829" width="0" style="2918" hidden="1" customWidth="1"/>
    <col min="13830" max="13830" width="21.875" style="2918" customWidth="1"/>
    <col min="13831" max="13833" width="0" style="2918" hidden="1" customWidth="1"/>
    <col min="13834" max="13835" width="8.5" style="2918" customWidth="1"/>
    <col min="13836" max="13836" width="18.75" style="2918" customWidth="1"/>
    <col min="13837" max="13850" width="0" style="2918" hidden="1" customWidth="1"/>
    <col min="13851" max="13851" width="9" style="2918" customWidth="1"/>
    <col min="13852" max="13856" width="0" style="2918" hidden="1" customWidth="1"/>
    <col min="13857" max="13857" width="8.75" style="2918" customWidth="1"/>
    <col min="13858" max="13858" width="0" style="2918" hidden="1" customWidth="1"/>
    <col min="13859" max="13859" width="8.125" style="2918" customWidth="1"/>
    <col min="13860" max="13860" width="0" style="2918" hidden="1" customWidth="1"/>
    <col min="13861" max="13861" width="8.5" style="2918" customWidth="1"/>
    <col min="13862" max="13863" width="0" style="2918" hidden="1" customWidth="1"/>
    <col min="13864" max="13864" width="5.5" style="2918" customWidth="1"/>
    <col min="13865" max="13865" width="4" style="2918" customWidth="1"/>
    <col min="13866" max="13868" width="0" style="2918" hidden="1" customWidth="1"/>
    <col min="13869" max="14080" width="9" style="2918"/>
    <col min="14081" max="14081" width="20.5" style="2918" customWidth="1"/>
    <col min="14082" max="14082" width="6.25" style="2918" customWidth="1"/>
    <col min="14083" max="14083" width="7.875" style="2918" customWidth="1"/>
    <col min="14084" max="14084" width="6.25" style="2918" customWidth="1"/>
    <col min="14085" max="14085" width="0" style="2918" hidden="1" customWidth="1"/>
    <col min="14086" max="14086" width="21.875" style="2918" customWidth="1"/>
    <col min="14087" max="14089" width="0" style="2918" hidden="1" customWidth="1"/>
    <col min="14090" max="14091" width="8.5" style="2918" customWidth="1"/>
    <col min="14092" max="14092" width="18.75" style="2918" customWidth="1"/>
    <col min="14093" max="14106" width="0" style="2918" hidden="1" customWidth="1"/>
    <col min="14107" max="14107" width="9" style="2918" customWidth="1"/>
    <col min="14108" max="14112" width="0" style="2918" hidden="1" customWidth="1"/>
    <col min="14113" max="14113" width="8.75" style="2918" customWidth="1"/>
    <col min="14114" max="14114" width="0" style="2918" hidden="1" customWidth="1"/>
    <col min="14115" max="14115" width="8.125" style="2918" customWidth="1"/>
    <col min="14116" max="14116" width="0" style="2918" hidden="1" customWidth="1"/>
    <col min="14117" max="14117" width="8.5" style="2918" customWidth="1"/>
    <col min="14118" max="14119" width="0" style="2918" hidden="1" customWidth="1"/>
    <col min="14120" max="14120" width="5.5" style="2918" customWidth="1"/>
    <col min="14121" max="14121" width="4" style="2918" customWidth="1"/>
    <col min="14122" max="14124" width="0" style="2918" hidden="1" customWidth="1"/>
    <col min="14125" max="14336" width="9" style="2918"/>
    <col min="14337" max="14337" width="20.5" style="2918" customWidth="1"/>
    <col min="14338" max="14338" width="6.25" style="2918" customWidth="1"/>
    <col min="14339" max="14339" width="7.875" style="2918" customWidth="1"/>
    <col min="14340" max="14340" width="6.25" style="2918" customWidth="1"/>
    <col min="14341" max="14341" width="0" style="2918" hidden="1" customWidth="1"/>
    <col min="14342" max="14342" width="21.875" style="2918" customWidth="1"/>
    <col min="14343" max="14345" width="0" style="2918" hidden="1" customWidth="1"/>
    <col min="14346" max="14347" width="8.5" style="2918" customWidth="1"/>
    <col min="14348" max="14348" width="18.75" style="2918" customWidth="1"/>
    <col min="14349" max="14362" width="0" style="2918" hidden="1" customWidth="1"/>
    <col min="14363" max="14363" width="9" style="2918" customWidth="1"/>
    <col min="14364" max="14368" width="0" style="2918" hidden="1" customWidth="1"/>
    <col min="14369" max="14369" width="8.75" style="2918" customWidth="1"/>
    <col min="14370" max="14370" width="0" style="2918" hidden="1" customWidth="1"/>
    <col min="14371" max="14371" width="8.125" style="2918" customWidth="1"/>
    <col min="14372" max="14372" width="0" style="2918" hidden="1" customWidth="1"/>
    <col min="14373" max="14373" width="8.5" style="2918" customWidth="1"/>
    <col min="14374" max="14375" width="0" style="2918" hidden="1" customWidth="1"/>
    <col min="14376" max="14376" width="5.5" style="2918" customWidth="1"/>
    <col min="14377" max="14377" width="4" style="2918" customWidth="1"/>
    <col min="14378" max="14380" width="0" style="2918" hidden="1" customWidth="1"/>
    <col min="14381" max="14592" width="9" style="2918"/>
    <col min="14593" max="14593" width="20.5" style="2918" customWidth="1"/>
    <col min="14594" max="14594" width="6.25" style="2918" customWidth="1"/>
    <col min="14595" max="14595" width="7.875" style="2918" customWidth="1"/>
    <col min="14596" max="14596" width="6.25" style="2918" customWidth="1"/>
    <col min="14597" max="14597" width="0" style="2918" hidden="1" customWidth="1"/>
    <col min="14598" max="14598" width="21.875" style="2918" customWidth="1"/>
    <col min="14599" max="14601" width="0" style="2918" hidden="1" customWidth="1"/>
    <col min="14602" max="14603" width="8.5" style="2918" customWidth="1"/>
    <col min="14604" max="14604" width="18.75" style="2918" customWidth="1"/>
    <col min="14605" max="14618" width="0" style="2918" hidden="1" customWidth="1"/>
    <col min="14619" max="14619" width="9" style="2918" customWidth="1"/>
    <col min="14620" max="14624" width="0" style="2918" hidden="1" customWidth="1"/>
    <col min="14625" max="14625" width="8.75" style="2918" customWidth="1"/>
    <col min="14626" max="14626" width="0" style="2918" hidden="1" customWidth="1"/>
    <col min="14627" max="14627" width="8.125" style="2918" customWidth="1"/>
    <col min="14628" max="14628" width="0" style="2918" hidden="1" customWidth="1"/>
    <col min="14629" max="14629" width="8.5" style="2918" customWidth="1"/>
    <col min="14630" max="14631" width="0" style="2918" hidden="1" customWidth="1"/>
    <col min="14632" max="14632" width="5.5" style="2918" customWidth="1"/>
    <col min="14633" max="14633" width="4" style="2918" customWidth="1"/>
    <col min="14634" max="14636" width="0" style="2918" hidden="1" customWidth="1"/>
    <col min="14637" max="14848" width="9" style="2918"/>
    <col min="14849" max="14849" width="20.5" style="2918" customWidth="1"/>
    <col min="14850" max="14850" width="6.25" style="2918" customWidth="1"/>
    <col min="14851" max="14851" width="7.875" style="2918" customWidth="1"/>
    <col min="14852" max="14852" width="6.25" style="2918" customWidth="1"/>
    <col min="14853" max="14853" width="0" style="2918" hidden="1" customWidth="1"/>
    <col min="14854" max="14854" width="21.875" style="2918" customWidth="1"/>
    <col min="14855" max="14857" width="0" style="2918" hidden="1" customWidth="1"/>
    <col min="14858" max="14859" width="8.5" style="2918" customWidth="1"/>
    <col min="14860" max="14860" width="18.75" style="2918" customWidth="1"/>
    <col min="14861" max="14874" width="0" style="2918" hidden="1" customWidth="1"/>
    <col min="14875" max="14875" width="9" style="2918" customWidth="1"/>
    <col min="14876" max="14880" width="0" style="2918" hidden="1" customWidth="1"/>
    <col min="14881" max="14881" width="8.75" style="2918" customWidth="1"/>
    <col min="14882" max="14882" width="0" style="2918" hidden="1" customWidth="1"/>
    <col min="14883" max="14883" width="8.125" style="2918" customWidth="1"/>
    <col min="14884" max="14884" width="0" style="2918" hidden="1" customWidth="1"/>
    <col min="14885" max="14885" width="8.5" style="2918" customWidth="1"/>
    <col min="14886" max="14887" width="0" style="2918" hidden="1" customWidth="1"/>
    <col min="14888" max="14888" width="5.5" style="2918" customWidth="1"/>
    <col min="14889" max="14889" width="4" style="2918" customWidth="1"/>
    <col min="14890" max="14892" width="0" style="2918" hidden="1" customWidth="1"/>
    <col min="14893" max="15104" width="9" style="2918"/>
    <col min="15105" max="15105" width="20.5" style="2918" customWidth="1"/>
    <col min="15106" max="15106" width="6.25" style="2918" customWidth="1"/>
    <col min="15107" max="15107" width="7.875" style="2918" customWidth="1"/>
    <col min="15108" max="15108" width="6.25" style="2918" customWidth="1"/>
    <col min="15109" max="15109" width="0" style="2918" hidden="1" customWidth="1"/>
    <col min="15110" max="15110" width="21.875" style="2918" customWidth="1"/>
    <col min="15111" max="15113" width="0" style="2918" hidden="1" customWidth="1"/>
    <col min="15114" max="15115" width="8.5" style="2918" customWidth="1"/>
    <col min="15116" max="15116" width="18.75" style="2918" customWidth="1"/>
    <col min="15117" max="15130" width="0" style="2918" hidden="1" customWidth="1"/>
    <col min="15131" max="15131" width="9" style="2918" customWidth="1"/>
    <col min="15132" max="15136" width="0" style="2918" hidden="1" customWidth="1"/>
    <col min="15137" max="15137" width="8.75" style="2918" customWidth="1"/>
    <col min="15138" max="15138" width="0" style="2918" hidden="1" customWidth="1"/>
    <col min="15139" max="15139" width="8.125" style="2918" customWidth="1"/>
    <col min="15140" max="15140" width="0" style="2918" hidden="1" customWidth="1"/>
    <col min="15141" max="15141" width="8.5" style="2918" customWidth="1"/>
    <col min="15142" max="15143" width="0" style="2918" hidden="1" customWidth="1"/>
    <col min="15144" max="15144" width="5.5" style="2918" customWidth="1"/>
    <col min="15145" max="15145" width="4" style="2918" customWidth="1"/>
    <col min="15146" max="15148" width="0" style="2918" hidden="1" customWidth="1"/>
    <col min="15149" max="15360" width="9" style="2918"/>
    <col min="15361" max="15361" width="20.5" style="2918" customWidth="1"/>
    <col min="15362" max="15362" width="6.25" style="2918" customWidth="1"/>
    <col min="15363" max="15363" width="7.875" style="2918" customWidth="1"/>
    <col min="15364" max="15364" width="6.25" style="2918" customWidth="1"/>
    <col min="15365" max="15365" width="0" style="2918" hidden="1" customWidth="1"/>
    <col min="15366" max="15366" width="21.875" style="2918" customWidth="1"/>
    <col min="15367" max="15369" width="0" style="2918" hidden="1" customWidth="1"/>
    <col min="15370" max="15371" width="8.5" style="2918" customWidth="1"/>
    <col min="15372" max="15372" width="18.75" style="2918" customWidth="1"/>
    <col min="15373" max="15386" width="0" style="2918" hidden="1" customWidth="1"/>
    <col min="15387" max="15387" width="9" style="2918" customWidth="1"/>
    <col min="15388" max="15392" width="0" style="2918" hidden="1" customWidth="1"/>
    <col min="15393" max="15393" width="8.75" style="2918" customWidth="1"/>
    <col min="15394" max="15394" width="0" style="2918" hidden="1" customWidth="1"/>
    <col min="15395" max="15395" width="8.125" style="2918" customWidth="1"/>
    <col min="15396" max="15396" width="0" style="2918" hidden="1" customWidth="1"/>
    <col min="15397" max="15397" width="8.5" style="2918" customWidth="1"/>
    <col min="15398" max="15399" width="0" style="2918" hidden="1" customWidth="1"/>
    <col min="15400" max="15400" width="5.5" style="2918" customWidth="1"/>
    <col min="15401" max="15401" width="4" style="2918" customWidth="1"/>
    <col min="15402" max="15404" width="0" style="2918" hidden="1" customWidth="1"/>
    <col min="15405" max="15616" width="9" style="2918"/>
    <col min="15617" max="15617" width="20.5" style="2918" customWidth="1"/>
    <col min="15618" max="15618" width="6.25" style="2918" customWidth="1"/>
    <col min="15619" max="15619" width="7.875" style="2918" customWidth="1"/>
    <col min="15620" max="15620" width="6.25" style="2918" customWidth="1"/>
    <col min="15621" max="15621" width="0" style="2918" hidden="1" customWidth="1"/>
    <col min="15622" max="15622" width="21.875" style="2918" customWidth="1"/>
    <col min="15623" max="15625" width="0" style="2918" hidden="1" customWidth="1"/>
    <col min="15626" max="15627" width="8.5" style="2918" customWidth="1"/>
    <col min="15628" max="15628" width="18.75" style="2918" customWidth="1"/>
    <col min="15629" max="15642" width="0" style="2918" hidden="1" customWidth="1"/>
    <col min="15643" max="15643" width="9" style="2918" customWidth="1"/>
    <col min="15644" max="15648" width="0" style="2918" hidden="1" customWidth="1"/>
    <col min="15649" max="15649" width="8.75" style="2918" customWidth="1"/>
    <col min="15650" max="15650" width="0" style="2918" hidden="1" customWidth="1"/>
    <col min="15651" max="15651" width="8.125" style="2918" customWidth="1"/>
    <col min="15652" max="15652" width="0" style="2918" hidden="1" customWidth="1"/>
    <col min="15653" max="15653" width="8.5" style="2918" customWidth="1"/>
    <col min="15654" max="15655" width="0" style="2918" hidden="1" customWidth="1"/>
    <col min="15656" max="15656" width="5.5" style="2918" customWidth="1"/>
    <col min="15657" max="15657" width="4" style="2918" customWidth="1"/>
    <col min="15658" max="15660" width="0" style="2918" hidden="1" customWidth="1"/>
    <col min="15661" max="15872" width="9" style="2918"/>
    <col min="15873" max="15873" width="20.5" style="2918" customWidth="1"/>
    <col min="15874" max="15874" width="6.25" style="2918" customWidth="1"/>
    <col min="15875" max="15875" width="7.875" style="2918" customWidth="1"/>
    <col min="15876" max="15876" width="6.25" style="2918" customWidth="1"/>
    <col min="15877" max="15877" width="0" style="2918" hidden="1" customWidth="1"/>
    <col min="15878" max="15878" width="21.875" style="2918" customWidth="1"/>
    <col min="15879" max="15881" width="0" style="2918" hidden="1" customWidth="1"/>
    <col min="15882" max="15883" width="8.5" style="2918" customWidth="1"/>
    <col min="15884" max="15884" width="18.75" style="2918" customWidth="1"/>
    <col min="15885" max="15898" width="0" style="2918" hidden="1" customWidth="1"/>
    <col min="15899" max="15899" width="9" style="2918" customWidth="1"/>
    <col min="15900" max="15904" width="0" style="2918" hidden="1" customWidth="1"/>
    <col min="15905" max="15905" width="8.75" style="2918" customWidth="1"/>
    <col min="15906" max="15906" width="0" style="2918" hidden="1" customWidth="1"/>
    <col min="15907" max="15907" width="8.125" style="2918" customWidth="1"/>
    <col min="15908" max="15908" width="0" style="2918" hidden="1" customWidth="1"/>
    <col min="15909" max="15909" width="8.5" style="2918" customWidth="1"/>
    <col min="15910" max="15911" width="0" style="2918" hidden="1" customWidth="1"/>
    <col min="15912" max="15912" width="5.5" style="2918" customWidth="1"/>
    <col min="15913" max="15913" width="4" style="2918" customWidth="1"/>
    <col min="15914" max="15916" width="0" style="2918" hidden="1" customWidth="1"/>
    <col min="15917" max="16128" width="9" style="2918"/>
    <col min="16129" max="16129" width="20.5" style="2918" customWidth="1"/>
    <col min="16130" max="16130" width="6.25" style="2918" customWidth="1"/>
    <col min="16131" max="16131" width="7.875" style="2918" customWidth="1"/>
    <col min="16132" max="16132" width="6.25" style="2918" customWidth="1"/>
    <col min="16133" max="16133" width="0" style="2918" hidden="1" customWidth="1"/>
    <col min="16134" max="16134" width="21.875" style="2918" customWidth="1"/>
    <col min="16135" max="16137" width="0" style="2918" hidden="1" customWidth="1"/>
    <col min="16138" max="16139" width="8.5" style="2918" customWidth="1"/>
    <col min="16140" max="16140" width="18.75" style="2918" customWidth="1"/>
    <col min="16141" max="16154" width="0" style="2918" hidden="1" customWidth="1"/>
    <col min="16155" max="16155" width="9" style="2918" customWidth="1"/>
    <col min="16156" max="16160" width="0" style="2918" hidden="1" customWidth="1"/>
    <col min="16161" max="16161" width="8.75" style="2918" customWidth="1"/>
    <col min="16162" max="16162" width="0" style="2918" hidden="1" customWidth="1"/>
    <col min="16163" max="16163" width="8.125" style="2918" customWidth="1"/>
    <col min="16164" max="16164" width="0" style="2918" hidden="1" customWidth="1"/>
    <col min="16165" max="16165" width="8.5" style="2918" customWidth="1"/>
    <col min="16166" max="16167" width="0" style="2918" hidden="1" customWidth="1"/>
    <col min="16168" max="16168" width="5.5" style="2918" customWidth="1"/>
    <col min="16169" max="16169" width="4" style="2918" customWidth="1"/>
    <col min="16170" max="16172" width="0" style="2918" hidden="1" customWidth="1"/>
    <col min="16173" max="16384" width="9" style="2918"/>
  </cols>
  <sheetData>
    <row r="1" spans="1:44" s="3187" customFormat="1" ht="12.75">
      <c r="A1" s="3187" t="s">
        <v>3080</v>
      </c>
      <c r="B1" s="3187" t="s">
        <v>3081</v>
      </c>
      <c r="C1" s="3187" t="s">
        <v>3082</v>
      </c>
      <c r="D1" s="3187" t="s">
        <v>3083</v>
      </c>
      <c r="E1" s="3187" t="s">
        <v>3084</v>
      </c>
      <c r="F1" s="3187" t="s">
        <v>3085</v>
      </c>
      <c r="G1" s="3187" t="s">
        <v>3086</v>
      </c>
      <c r="H1" s="3187" t="s">
        <v>3087</v>
      </c>
      <c r="I1" s="3187" t="s">
        <v>3088</v>
      </c>
      <c r="J1" s="3187" t="s">
        <v>3089</v>
      </c>
      <c r="K1" s="3187" t="s">
        <v>3090</v>
      </c>
      <c r="L1" s="3187" t="s">
        <v>2033</v>
      </c>
      <c r="M1" s="3187" t="s">
        <v>3091</v>
      </c>
      <c r="N1" s="3187" t="s">
        <v>3092</v>
      </c>
      <c r="O1" s="3187" t="s">
        <v>3093</v>
      </c>
      <c r="P1" s="3187" t="s">
        <v>3094</v>
      </c>
      <c r="Q1" s="3187" t="s">
        <v>3095</v>
      </c>
      <c r="R1" s="3187" t="s">
        <v>3096</v>
      </c>
      <c r="S1" s="3187" t="s">
        <v>3097</v>
      </c>
      <c r="T1" s="3187" t="s">
        <v>3098</v>
      </c>
      <c r="U1" s="3187" t="s">
        <v>3099</v>
      </c>
      <c r="V1" s="3187" t="s">
        <v>3100</v>
      </c>
      <c r="W1" s="3187" t="s">
        <v>3101</v>
      </c>
      <c r="X1" s="3187" t="s">
        <v>3102</v>
      </c>
      <c r="Y1" s="3187" t="s">
        <v>3103</v>
      </c>
      <c r="Z1" s="3187" t="s">
        <v>3104</v>
      </c>
      <c r="AA1" s="3187" t="s">
        <v>3105</v>
      </c>
      <c r="AB1" s="3187" t="s">
        <v>3106</v>
      </c>
      <c r="AC1" s="3187" t="s">
        <v>3107</v>
      </c>
      <c r="AD1" s="3187" t="s">
        <v>3108</v>
      </c>
      <c r="AE1" s="3187" t="s">
        <v>3109</v>
      </c>
      <c r="AF1" s="3187" t="s">
        <v>3110</v>
      </c>
      <c r="AG1" s="3187" t="s">
        <v>3111</v>
      </c>
      <c r="AH1" s="3187" t="s">
        <v>3112</v>
      </c>
      <c r="AI1" s="3187" t="s">
        <v>3113</v>
      </c>
      <c r="AJ1" s="3187" t="s">
        <v>3114</v>
      </c>
      <c r="AK1" s="3187" t="s">
        <v>3115</v>
      </c>
      <c r="AL1" s="3187" t="s">
        <v>3116</v>
      </c>
      <c r="AM1" s="3187" t="s">
        <v>3117</v>
      </c>
      <c r="AN1" s="3187" t="s">
        <v>3118</v>
      </c>
      <c r="AO1" s="3187" t="s">
        <v>3119</v>
      </c>
      <c r="AP1" s="3187" t="s">
        <v>3120</v>
      </c>
      <c r="AQ1" s="3187" t="s">
        <v>3121</v>
      </c>
      <c r="AR1" s="3187" t="s">
        <v>3122</v>
      </c>
    </row>
    <row r="2" spans="1:44" s="3188" customFormat="1" ht="12.75">
      <c r="A2" s="3188" t="s">
        <v>3123</v>
      </c>
      <c r="B2" s="3188" t="s">
        <v>3124</v>
      </c>
      <c r="C2" s="3188" t="s">
        <v>3060</v>
      </c>
      <c r="D2" s="3188" t="s">
        <v>3125</v>
      </c>
      <c r="E2" s="3188" t="s">
        <v>2819</v>
      </c>
      <c r="F2" s="3188" t="s">
        <v>3123</v>
      </c>
      <c r="G2" s="3188" t="s">
        <v>3126</v>
      </c>
      <c r="H2" s="3188" t="s">
        <v>3127</v>
      </c>
      <c r="I2" s="3188" t="s">
        <v>3060</v>
      </c>
      <c r="J2" s="3188">
        <v>24006.34</v>
      </c>
      <c r="K2" s="3188">
        <v>96025.36</v>
      </c>
      <c r="L2" s="3188" t="s">
        <v>3128</v>
      </c>
      <c r="M2" s="3188" t="s">
        <v>2819</v>
      </c>
      <c r="N2" s="3188" t="s">
        <v>3129</v>
      </c>
      <c r="O2" s="3188" t="s">
        <v>3130</v>
      </c>
      <c r="P2" s="3188" t="s">
        <v>2819</v>
      </c>
      <c r="Q2" s="3188" t="s">
        <v>2819</v>
      </c>
      <c r="R2" s="3188" t="s">
        <v>2819</v>
      </c>
      <c r="S2" s="3188" t="s">
        <v>2819</v>
      </c>
      <c r="T2" s="3188" t="s">
        <v>2819</v>
      </c>
      <c r="U2" s="3188" t="s">
        <v>2819</v>
      </c>
      <c r="V2" s="3188" t="s">
        <v>2819</v>
      </c>
      <c r="W2" s="3188" t="s">
        <v>3131</v>
      </c>
      <c r="X2" s="3188" t="s">
        <v>3132</v>
      </c>
      <c r="Y2" s="3188" t="s">
        <v>3133</v>
      </c>
      <c r="Z2" s="3188" t="s">
        <v>3134</v>
      </c>
      <c r="AA2" s="3188" t="s">
        <v>3134</v>
      </c>
      <c r="AB2" s="3188" t="s">
        <v>3135</v>
      </c>
      <c r="AC2" s="3188" t="s">
        <v>3136</v>
      </c>
      <c r="AD2" s="3188" t="s">
        <v>3137</v>
      </c>
      <c r="AE2" s="3188">
        <v>10595</v>
      </c>
      <c r="AF2" s="3188">
        <v>21990</v>
      </c>
      <c r="AG2" s="3188">
        <v>21990</v>
      </c>
      <c r="AH2" s="3188">
        <v>610.66999999999996</v>
      </c>
      <c r="AI2" s="3188">
        <v>610.66999999999996</v>
      </c>
      <c r="AJ2" s="3188">
        <v>2290.0100000000002</v>
      </c>
      <c r="AK2" s="3188">
        <v>2290.0100000000002</v>
      </c>
      <c r="AL2" s="3188" t="s">
        <v>2819</v>
      </c>
      <c r="AM2" s="3188" t="s">
        <v>2819</v>
      </c>
      <c r="AN2" s="3188">
        <v>0</v>
      </c>
      <c r="AO2" s="3188" t="s">
        <v>3138</v>
      </c>
      <c r="AP2" s="3188" t="s">
        <v>2819</v>
      </c>
      <c r="AQ2" s="3188" t="s">
        <v>2819</v>
      </c>
      <c r="AR2" s="3188" t="s">
        <v>2819</v>
      </c>
    </row>
    <row r="3" spans="1:44" s="3188" customFormat="1" ht="12.75">
      <c r="A3" s="3188" t="s">
        <v>3139</v>
      </c>
      <c r="B3" s="3188" t="s">
        <v>3124</v>
      </c>
      <c r="C3" s="3188" t="s">
        <v>3060</v>
      </c>
      <c r="D3" s="3188" t="s">
        <v>3140</v>
      </c>
      <c r="E3" s="3188" t="s">
        <v>2819</v>
      </c>
      <c r="F3" s="3188" t="s">
        <v>3139</v>
      </c>
      <c r="G3" s="3188" t="s">
        <v>3126</v>
      </c>
      <c r="H3" s="3188" t="s">
        <v>3141</v>
      </c>
      <c r="I3" s="3188" t="s">
        <v>3142</v>
      </c>
      <c r="J3" s="3188">
        <v>10183.370000000001</v>
      </c>
      <c r="K3" s="3188">
        <v>40733.480000000003</v>
      </c>
      <c r="L3" s="3188" t="s">
        <v>3128</v>
      </c>
      <c r="M3" s="3188" t="s">
        <v>2819</v>
      </c>
      <c r="N3" s="3188" t="s">
        <v>3129</v>
      </c>
      <c r="O3" s="3188" t="s">
        <v>3143</v>
      </c>
      <c r="P3" s="3188" t="s">
        <v>2819</v>
      </c>
      <c r="Q3" s="3188" t="s">
        <v>2819</v>
      </c>
      <c r="R3" s="3188" t="s">
        <v>2819</v>
      </c>
      <c r="S3" s="3188" t="s">
        <v>2819</v>
      </c>
      <c r="T3" s="3188" t="s">
        <v>2819</v>
      </c>
      <c r="U3" s="3188" t="s">
        <v>2819</v>
      </c>
      <c r="V3" s="3188" t="s">
        <v>2819</v>
      </c>
      <c r="W3" s="3188" t="s">
        <v>3131</v>
      </c>
      <c r="X3" s="3188" t="s">
        <v>3144</v>
      </c>
      <c r="Y3" s="3188" t="s">
        <v>3145</v>
      </c>
      <c r="Z3" s="3188" t="s">
        <v>3146</v>
      </c>
      <c r="AA3" s="3188" t="s">
        <v>3146</v>
      </c>
      <c r="AB3" s="3188" t="s">
        <v>3147</v>
      </c>
      <c r="AC3" s="3188" t="s">
        <v>3136</v>
      </c>
      <c r="AD3" s="3188" t="s">
        <v>3148</v>
      </c>
      <c r="AE3" s="3188">
        <v>2672</v>
      </c>
      <c r="AF3" s="3188">
        <v>5435</v>
      </c>
      <c r="AG3" s="3188">
        <v>7735</v>
      </c>
      <c r="AH3" s="3188">
        <v>355.81</v>
      </c>
      <c r="AI3" s="3188">
        <v>506.38</v>
      </c>
      <c r="AJ3" s="3188">
        <v>1334.28</v>
      </c>
      <c r="AK3" s="3188">
        <v>1898.93</v>
      </c>
      <c r="AL3" s="3188" t="s">
        <v>2819</v>
      </c>
      <c r="AM3" s="3188" t="s">
        <v>2819</v>
      </c>
      <c r="AN3" s="3188">
        <v>42.32</v>
      </c>
      <c r="AO3" s="3188" t="s">
        <v>3138</v>
      </c>
      <c r="AP3" s="3188" t="s">
        <v>2819</v>
      </c>
      <c r="AQ3" s="3188" t="s">
        <v>2819</v>
      </c>
      <c r="AR3" s="3188" t="s">
        <v>2819</v>
      </c>
    </row>
    <row r="4" spans="1:44" s="3187" customFormat="1" ht="12.75">
      <c r="A4" s="3187" t="s">
        <v>3149</v>
      </c>
      <c r="B4" s="3187" t="s">
        <v>3124</v>
      </c>
      <c r="C4" s="3187" t="s">
        <v>3060</v>
      </c>
      <c r="D4" s="3187" t="s">
        <v>3150</v>
      </c>
      <c r="E4" s="3187" t="s">
        <v>2819</v>
      </c>
      <c r="F4" s="3187" t="s">
        <v>3149</v>
      </c>
      <c r="G4" s="3187" t="s">
        <v>3126</v>
      </c>
      <c r="H4" s="3187" t="s">
        <v>3151</v>
      </c>
      <c r="I4" s="3187" t="s">
        <v>3142</v>
      </c>
      <c r="J4" s="3187">
        <v>29343.759999999998</v>
      </c>
      <c r="K4" s="3187">
        <v>117375</v>
      </c>
      <c r="L4" s="3187" t="s">
        <v>3152</v>
      </c>
      <c r="M4" s="3187" t="s">
        <v>2819</v>
      </c>
      <c r="N4" s="3187" t="s">
        <v>3153</v>
      </c>
      <c r="O4" s="3187" t="s">
        <v>2819</v>
      </c>
      <c r="P4" s="3187" t="s">
        <v>2819</v>
      </c>
      <c r="Q4" s="3187" t="s">
        <v>2819</v>
      </c>
      <c r="R4" s="3187" t="s">
        <v>2819</v>
      </c>
      <c r="S4" s="3187" t="s">
        <v>2819</v>
      </c>
      <c r="T4" s="3187" t="s">
        <v>2819</v>
      </c>
      <c r="U4" s="3187" t="s">
        <v>2819</v>
      </c>
      <c r="V4" s="3187" t="s">
        <v>2819</v>
      </c>
      <c r="W4" s="3187" t="s">
        <v>3131</v>
      </c>
      <c r="X4" s="3187" t="s">
        <v>3154</v>
      </c>
      <c r="Y4" s="3187" t="s">
        <v>3155</v>
      </c>
      <c r="Z4" s="3187" t="s">
        <v>3156</v>
      </c>
      <c r="AA4" s="3187" t="s">
        <v>3156</v>
      </c>
      <c r="AB4" s="3187" t="s">
        <v>3157</v>
      </c>
      <c r="AC4" s="3187" t="s">
        <v>3136</v>
      </c>
      <c r="AD4" s="3187" t="s">
        <v>3158</v>
      </c>
      <c r="AE4" s="3187">
        <v>5986.5</v>
      </c>
      <c r="AF4" s="3187">
        <v>11973</v>
      </c>
      <c r="AG4" s="3187">
        <v>12000</v>
      </c>
      <c r="AH4" s="3187">
        <v>272.02</v>
      </c>
      <c r="AI4" s="3187">
        <v>272.63</v>
      </c>
      <c r="AJ4" s="3187">
        <v>1020.06</v>
      </c>
      <c r="AK4" s="3187">
        <v>1022.36</v>
      </c>
      <c r="AL4" s="3187" t="s">
        <v>2819</v>
      </c>
      <c r="AM4" s="3187" t="s">
        <v>2819</v>
      </c>
      <c r="AN4" s="3187">
        <v>0.23</v>
      </c>
      <c r="AO4" s="3187" t="s">
        <v>3138</v>
      </c>
      <c r="AP4" s="3187" t="s">
        <v>2819</v>
      </c>
      <c r="AQ4" s="3187" t="s">
        <v>2819</v>
      </c>
      <c r="AR4" s="3187" t="s">
        <v>2819</v>
      </c>
    </row>
    <row r="5" spans="1:44" s="3189" customFormat="1" ht="12.75">
      <c r="A5" s="3189" t="s">
        <v>3159</v>
      </c>
      <c r="B5" s="3189" t="s">
        <v>3124</v>
      </c>
      <c r="C5" s="3189" t="s">
        <v>3060</v>
      </c>
      <c r="D5" s="3189" t="s">
        <v>3125</v>
      </c>
      <c r="E5" s="3189" t="s">
        <v>2819</v>
      </c>
      <c r="F5" s="3189" t="s">
        <v>3159</v>
      </c>
      <c r="G5" s="3189" t="s">
        <v>3126</v>
      </c>
      <c r="H5" s="3189" t="s">
        <v>3160</v>
      </c>
      <c r="I5" s="3189" t="s">
        <v>3060</v>
      </c>
      <c r="J5" s="3189">
        <v>95397.72</v>
      </c>
      <c r="K5" s="3189">
        <v>333892</v>
      </c>
      <c r="L5" s="3189" t="s">
        <v>3161</v>
      </c>
      <c r="M5" s="3189" t="s">
        <v>2819</v>
      </c>
      <c r="N5" s="3189" t="s">
        <v>3129</v>
      </c>
      <c r="O5" s="3189" t="s">
        <v>3130</v>
      </c>
      <c r="P5" s="3189" t="s">
        <v>2819</v>
      </c>
      <c r="Q5" s="3189" t="s">
        <v>2819</v>
      </c>
      <c r="R5" s="3189" t="s">
        <v>2819</v>
      </c>
      <c r="S5" s="3189" t="s">
        <v>2819</v>
      </c>
      <c r="T5" s="3189" t="s">
        <v>2819</v>
      </c>
      <c r="U5" s="3189" t="s">
        <v>2819</v>
      </c>
      <c r="V5" s="3189" t="s">
        <v>2819</v>
      </c>
      <c r="W5" s="3189" t="s">
        <v>3131</v>
      </c>
      <c r="X5" s="3189" t="s">
        <v>3162</v>
      </c>
      <c r="Y5" s="3189" t="s">
        <v>3163</v>
      </c>
      <c r="Z5" s="3189" t="s">
        <v>3164</v>
      </c>
      <c r="AA5" s="3189" t="s">
        <v>3164</v>
      </c>
      <c r="AB5" s="3189" t="s">
        <v>3165</v>
      </c>
      <c r="AC5" s="3189" t="s">
        <v>3136</v>
      </c>
      <c r="AD5" s="3189" t="s">
        <v>3166</v>
      </c>
      <c r="AE5" s="3189">
        <v>7072</v>
      </c>
      <c r="AF5" s="3189">
        <v>35364</v>
      </c>
      <c r="AG5" s="3189">
        <v>35364</v>
      </c>
      <c r="AH5" s="3189">
        <v>247.13</v>
      </c>
      <c r="AI5" s="3189">
        <v>247.13</v>
      </c>
      <c r="AJ5" s="3189">
        <v>1059.1400000000001</v>
      </c>
      <c r="AK5" s="3189">
        <v>1059.1400000000001</v>
      </c>
      <c r="AL5" s="3189" t="s">
        <v>2819</v>
      </c>
      <c r="AM5" s="3189" t="s">
        <v>2819</v>
      </c>
      <c r="AN5" s="3189">
        <v>0</v>
      </c>
      <c r="AO5" s="3189" t="s">
        <v>3138</v>
      </c>
      <c r="AP5" s="3189" t="s">
        <v>2819</v>
      </c>
      <c r="AQ5" s="3189" t="s">
        <v>2819</v>
      </c>
      <c r="AR5" s="3189" t="s">
        <v>2819</v>
      </c>
    </row>
    <row r="6" spans="1:44" s="3189" customFormat="1" ht="12.75">
      <c r="A6" s="3189" t="s">
        <v>3167</v>
      </c>
      <c r="B6" s="3189" t="s">
        <v>3124</v>
      </c>
      <c r="C6" s="3189" t="s">
        <v>3060</v>
      </c>
      <c r="D6" s="3189" t="s">
        <v>3168</v>
      </c>
      <c r="E6" s="3189" t="s">
        <v>2819</v>
      </c>
      <c r="F6" s="3189" t="s">
        <v>3167</v>
      </c>
      <c r="G6" s="3189" t="s">
        <v>3126</v>
      </c>
      <c r="H6" s="3189" t="s">
        <v>3169</v>
      </c>
      <c r="I6" s="3189" t="s">
        <v>3142</v>
      </c>
      <c r="J6" s="3189">
        <v>3200</v>
      </c>
      <c r="K6" s="3189">
        <v>14400</v>
      </c>
      <c r="L6" s="3189" t="s">
        <v>3170</v>
      </c>
      <c r="M6" s="3189" t="s">
        <v>2819</v>
      </c>
      <c r="N6" s="3189" t="s">
        <v>3171</v>
      </c>
      <c r="O6" s="3189" t="s">
        <v>3172</v>
      </c>
      <c r="P6" s="3189" t="s">
        <v>2819</v>
      </c>
      <c r="Q6" s="3189" t="s">
        <v>2819</v>
      </c>
      <c r="R6" s="3189" t="s">
        <v>2819</v>
      </c>
      <c r="S6" s="3189" t="s">
        <v>2819</v>
      </c>
      <c r="T6" s="3189" t="s">
        <v>2819</v>
      </c>
      <c r="U6" s="3189" t="s">
        <v>2819</v>
      </c>
      <c r="V6" s="3189" t="s">
        <v>2819</v>
      </c>
      <c r="W6" s="3189" t="s">
        <v>3173</v>
      </c>
      <c r="X6" s="3189" t="s">
        <v>3174</v>
      </c>
      <c r="Y6" s="3189" t="s">
        <v>3175</v>
      </c>
      <c r="Z6" s="3189" t="s">
        <v>3176</v>
      </c>
      <c r="AA6" s="3189" t="s">
        <v>3176</v>
      </c>
      <c r="AB6" s="3189" t="s">
        <v>3177</v>
      </c>
      <c r="AC6" s="3189" t="s">
        <v>3136</v>
      </c>
      <c r="AD6" s="3189" t="s">
        <v>3178</v>
      </c>
      <c r="AE6" s="3189">
        <v>950</v>
      </c>
      <c r="AF6" s="3189">
        <v>1900</v>
      </c>
      <c r="AG6" s="3189">
        <v>4200</v>
      </c>
      <c r="AH6" s="3189">
        <v>395.83</v>
      </c>
      <c r="AI6" s="3189">
        <v>875</v>
      </c>
      <c r="AJ6" s="3189">
        <v>1319.44</v>
      </c>
      <c r="AK6" s="3189">
        <v>2916.67</v>
      </c>
      <c r="AL6" s="3189" t="s">
        <v>2819</v>
      </c>
      <c r="AM6" s="3189" t="s">
        <v>2819</v>
      </c>
      <c r="AN6" s="3189">
        <v>121.05</v>
      </c>
      <c r="AO6" s="3189" t="s">
        <v>3138</v>
      </c>
      <c r="AP6" s="3189" t="s">
        <v>2819</v>
      </c>
      <c r="AQ6" s="3189" t="s">
        <v>2819</v>
      </c>
      <c r="AR6" s="3189" t="s">
        <v>2819</v>
      </c>
    </row>
    <row r="7" spans="1:44" s="3188" customFormat="1" ht="12.75">
      <c r="A7" s="3188" t="s">
        <v>3179</v>
      </c>
      <c r="B7" s="3188" t="s">
        <v>3124</v>
      </c>
      <c r="C7" s="3188" t="s">
        <v>3060</v>
      </c>
      <c r="D7" s="3188" t="s">
        <v>3168</v>
      </c>
      <c r="E7" s="3188" t="s">
        <v>2819</v>
      </c>
      <c r="F7" s="3188" t="s">
        <v>3179</v>
      </c>
      <c r="G7" s="3188" t="s">
        <v>3126</v>
      </c>
      <c r="H7" s="3188" t="s">
        <v>3180</v>
      </c>
      <c r="I7" s="3188" t="s">
        <v>3142</v>
      </c>
      <c r="J7" s="3188">
        <v>29601.45</v>
      </c>
      <c r="K7" s="3188">
        <v>118405.8</v>
      </c>
      <c r="L7" s="3188" t="s">
        <v>3152</v>
      </c>
      <c r="M7" s="3188" t="s">
        <v>2819</v>
      </c>
      <c r="N7" s="3188" t="s">
        <v>3181</v>
      </c>
      <c r="O7" s="3188" t="s">
        <v>3172</v>
      </c>
      <c r="P7" s="3188" t="s">
        <v>2819</v>
      </c>
      <c r="Q7" s="3188" t="s">
        <v>2819</v>
      </c>
      <c r="R7" s="3188" t="s">
        <v>2819</v>
      </c>
      <c r="S7" s="3188" t="s">
        <v>2819</v>
      </c>
      <c r="T7" s="3188" t="s">
        <v>2819</v>
      </c>
      <c r="U7" s="3188" t="s">
        <v>2819</v>
      </c>
      <c r="V7" s="3188" t="s">
        <v>2819</v>
      </c>
      <c r="W7" s="3188" t="s">
        <v>3173</v>
      </c>
      <c r="X7" s="3188" t="s">
        <v>3182</v>
      </c>
      <c r="Y7" s="3188" t="s">
        <v>3183</v>
      </c>
      <c r="Z7" s="3188" t="s">
        <v>3184</v>
      </c>
      <c r="AA7" s="3188" t="s">
        <v>3184</v>
      </c>
      <c r="AB7" s="3188" t="s">
        <v>3185</v>
      </c>
      <c r="AC7" s="3188" t="s">
        <v>3136</v>
      </c>
      <c r="AD7" s="3188" t="s">
        <v>3186</v>
      </c>
      <c r="AE7" s="3188">
        <v>12100</v>
      </c>
      <c r="AF7" s="3188">
        <v>12100</v>
      </c>
      <c r="AG7" s="3188">
        <v>30000</v>
      </c>
      <c r="AH7" s="3188">
        <v>272.51</v>
      </c>
      <c r="AI7" s="3188">
        <v>675.64</v>
      </c>
      <c r="AJ7" s="3188">
        <v>1021.9</v>
      </c>
      <c r="AK7" s="3188">
        <v>2533.65</v>
      </c>
      <c r="AL7" s="3188" t="s">
        <v>2819</v>
      </c>
      <c r="AM7" s="3188" t="s">
        <v>2819</v>
      </c>
      <c r="AN7" s="3188">
        <v>147.93</v>
      </c>
      <c r="AO7" s="3188" t="s">
        <v>3138</v>
      </c>
      <c r="AP7" s="3188" t="s">
        <v>2819</v>
      </c>
      <c r="AQ7" s="3188" t="s">
        <v>2819</v>
      </c>
      <c r="AR7" s="3188" t="s">
        <v>2819</v>
      </c>
    </row>
    <row r="8" spans="1:44" s="3189" customFormat="1" ht="12.75">
      <c r="A8" s="3189" t="s">
        <v>3187</v>
      </c>
      <c r="B8" s="3189" t="s">
        <v>3124</v>
      </c>
      <c r="C8" s="3189" t="s">
        <v>3060</v>
      </c>
      <c r="D8" s="3189" t="s">
        <v>3150</v>
      </c>
      <c r="E8" s="3189" t="s">
        <v>2819</v>
      </c>
      <c r="F8" s="3189" t="s">
        <v>3187</v>
      </c>
      <c r="G8" s="3189" t="s">
        <v>3126</v>
      </c>
      <c r="H8" s="3189" t="s">
        <v>3188</v>
      </c>
      <c r="I8" s="3189" t="s">
        <v>3060</v>
      </c>
      <c r="J8" s="3189">
        <v>49097.88</v>
      </c>
      <c r="K8" s="3189">
        <v>196391.52</v>
      </c>
      <c r="L8" s="3189" t="s">
        <v>3152</v>
      </c>
      <c r="M8" s="3189" t="s">
        <v>2819</v>
      </c>
      <c r="N8" s="3189" t="s">
        <v>3153</v>
      </c>
      <c r="O8" s="3189" t="s">
        <v>2819</v>
      </c>
      <c r="P8" s="3189" t="s">
        <v>2819</v>
      </c>
      <c r="Q8" s="3189" t="s">
        <v>2819</v>
      </c>
      <c r="R8" s="3189" t="s">
        <v>2819</v>
      </c>
      <c r="S8" s="3189" t="s">
        <v>2819</v>
      </c>
      <c r="T8" s="3189" t="s">
        <v>2819</v>
      </c>
      <c r="U8" s="3189" t="s">
        <v>2819</v>
      </c>
      <c r="V8" s="3189" t="s">
        <v>2819</v>
      </c>
      <c r="W8" s="3189" t="s">
        <v>3173</v>
      </c>
      <c r="X8" s="3189" t="s">
        <v>3189</v>
      </c>
      <c r="Y8" s="3189" t="s">
        <v>3190</v>
      </c>
      <c r="Z8" s="3189" t="s">
        <v>3191</v>
      </c>
      <c r="AA8" s="3189" t="s">
        <v>3191</v>
      </c>
      <c r="AB8" s="3189" t="s">
        <v>3192</v>
      </c>
      <c r="AC8" s="3189" t="s">
        <v>3136</v>
      </c>
      <c r="AD8" s="3189" t="s">
        <v>3193</v>
      </c>
      <c r="AE8" s="3189">
        <v>23567</v>
      </c>
      <c r="AF8" s="3189">
        <v>23567</v>
      </c>
      <c r="AG8" s="3189">
        <v>23567</v>
      </c>
      <c r="AH8" s="3189">
        <v>320</v>
      </c>
      <c r="AI8" s="3189">
        <v>320</v>
      </c>
      <c r="AJ8" s="3189">
        <v>1200</v>
      </c>
      <c r="AK8" s="3189">
        <v>1200</v>
      </c>
      <c r="AL8" s="3189" t="s">
        <v>2819</v>
      </c>
      <c r="AM8" s="3189" t="s">
        <v>2819</v>
      </c>
      <c r="AN8" s="3189">
        <v>0</v>
      </c>
      <c r="AO8" s="3189" t="s">
        <v>3138</v>
      </c>
      <c r="AP8" s="3189" t="s">
        <v>2819</v>
      </c>
      <c r="AQ8" s="3189" t="s">
        <v>2819</v>
      </c>
      <c r="AR8" s="3189" t="s">
        <v>2819</v>
      </c>
    </row>
    <row r="9" spans="1:44" s="3190" customFormat="1">
      <c r="A9" s="3190" t="s">
        <v>3194</v>
      </c>
      <c r="B9" s="3190" t="s">
        <v>3124</v>
      </c>
      <c r="C9" s="3190" t="s">
        <v>3060</v>
      </c>
      <c r="D9" s="3190" t="s">
        <v>3125</v>
      </c>
      <c r="E9" s="3190" t="s">
        <v>2819</v>
      </c>
      <c r="F9" s="3190" t="s">
        <v>3194</v>
      </c>
      <c r="G9" s="3190" t="s">
        <v>3126</v>
      </c>
      <c r="H9" s="3190" t="s">
        <v>3195</v>
      </c>
      <c r="I9" s="3190" t="s">
        <v>3060</v>
      </c>
      <c r="J9" s="3190">
        <v>101923.9</v>
      </c>
      <c r="K9" s="3190">
        <v>356733.6</v>
      </c>
      <c r="L9" s="3190" t="s">
        <v>3161</v>
      </c>
      <c r="M9" s="3190" t="s">
        <v>2819</v>
      </c>
      <c r="N9" s="3190" t="s">
        <v>3196</v>
      </c>
      <c r="O9" s="3190" t="s">
        <v>3130</v>
      </c>
      <c r="P9" s="3190" t="s">
        <v>2819</v>
      </c>
      <c r="Q9" s="3190" t="s">
        <v>2819</v>
      </c>
      <c r="R9" s="3190" t="s">
        <v>2819</v>
      </c>
      <c r="S9" s="3190" t="s">
        <v>2819</v>
      </c>
      <c r="T9" s="3190" t="s">
        <v>2819</v>
      </c>
      <c r="U9" s="3190" t="s">
        <v>2819</v>
      </c>
      <c r="V9" s="3190" t="s">
        <v>2819</v>
      </c>
      <c r="W9" s="3190" t="s">
        <v>3173</v>
      </c>
      <c r="X9" s="3190" t="s">
        <v>3197</v>
      </c>
      <c r="Y9" s="3190" t="s">
        <v>3198</v>
      </c>
      <c r="Z9" s="3190" t="s">
        <v>3199</v>
      </c>
      <c r="AA9" s="3190" t="s">
        <v>3199</v>
      </c>
      <c r="AB9" s="3190" t="s">
        <v>3200</v>
      </c>
      <c r="AC9" s="3190" t="s">
        <v>3136</v>
      </c>
      <c r="AD9" s="3190" t="s">
        <v>3201</v>
      </c>
      <c r="AE9" s="3190">
        <v>34000</v>
      </c>
      <c r="AF9" s="3190">
        <v>34399.120000000003</v>
      </c>
      <c r="AG9" s="3190">
        <v>41099.120000000003</v>
      </c>
      <c r="AH9" s="3190">
        <v>225</v>
      </c>
      <c r="AI9" s="3190">
        <v>268.82</v>
      </c>
      <c r="AJ9" s="3190">
        <v>964.28</v>
      </c>
      <c r="AK9" s="3190">
        <v>1152.0899999999999</v>
      </c>
      <c r="AL9" s="3190" t="s">
        <v>2819</v>
      </c>
      <c r="AM9" s="3190" t="s">
        <v>2819</v>
      </c>
      <c r="AN9" s="3190">
        <v>19.48</v>
      </c>
      <c r="AO9" s="3190" t="s">
        <v>3138</v>
      </c>
      <c r="AP9" s="3190" t="s">
        <v>2819</v>
      </c>
      <c r="AQ9" s="3190" t="s">
        <v>2819</v>
      </c>
      <c r="AR9" s="3190" t="s">
        <v>2819</v>
      </c>
    </row>
    <row r="10" spans="1:44" s="3190" customFormat="1">
      <c r="A10" s="3190" t="s">
        <v>3194</v>
      </c>
      <c r="B10" s="3190" t="s">
        <v>3124</v>
      </c>
      <c r="C10" s="3190" t="s">
        <v>3060</v>
      </c>
      <c r="D10" s="3190" t="s">
        <v>3125</v>
      </c>
      <c r="E10" s="3190" t="s">
        <v>2819</v>
      </c>
      <c r="F10" s="3190" t="s">
        <v>3194</v>
      </c>
      <c r="G10" s="3190" t="s">
        <v>3126</v>
      </c>
      <c r="H10" s="3190" t="s">
        <v>3202</v>
      </c>
      <c r="I10" s="3190" t="s">
        <v>3060</v>
      </c>
      <c r="J10" s="3190">
        <v>138341.20000000001</v>
      </c>
      <c r="K10" s="3190">
        <v>541681.80000000005</v>
      </c>
      <c r="L10" s="3190" t="s">
        <v>3203</v>
      </c>
      <c r="M10" s="3190" t="s">
        <v>2819</v>
      </c>
      <c r="N10" s="3190" t="s">
        <v>3196</v>
      </c>
      <c r="O10" s="3190" t="s">
        <v>3130</v>
      </c>
      <c r="P10" s="3190" t="s">
        <v>2819</v>
      </c>
      <c r="Q10" s="3190" t="s">
        <v>2819</v>
      </c>
      <c r="R10" s="3190" t="s">
        <v>2819</v>
      </c>
      <c r="S10" s="3190" t="s">
        <v>2819</v>
      </c>
      <c r="T10" s="3190" t="s">
        <v>2819</v>
      </c>
      <c r="U10" s="3190" t="s">
        <v>2819</v>
      </c>
      <c r="V10" s="3190" t="s">
        <v>2819</v>
      </c>
      <c r="W10" s="3190" t="s">
        <v>3173</v>
      </c>
      <c r="X10" s="3190" t="s">
        <v>3197</v>
      </c>
      <c r="Y10" s="3190" t="s">
        <v>3198</v>
      </c>
      <c r="Z10" s="3190" t="s">
        <v>3199</v>
      </c>
      <c r="AA10" s="3190" t="s">
        <v>3199</v>
      </c>
      <c r="AB10" s="3190" t="s">
        <v>3204</v>
      </c>
      <c r="AC10" s="3190" t="s">
        <v>3136</v>
      </c>
      <c r="AD10" s="3190" t="s">
        <v>3205</v>
      </c>
      <c r="AE10" s="3190">
        <v>51000</v>
      </c>
      <c r="AF10" s="3190">
        <v>51001.760000000002</v>
      </c>
      <c r="AG10" s="3190">
        <v>51001.760000000002</v>
      </c>
      <c r="AH10" s="3190">
        <v>245.78</v>
      </c>
      <c r="AI10" s="3190">
        <v>245.78</v>
      </c>
      <c r="AJ10" s="3190">
        <v>941.54</v>
      </c>
      <c r="AK10" s="3190">
        <v>941.53</v>
      </c>
      <c r="AL10" s="3190" t="s">
        <v>2819</v>
      </c>
      <c r="AM10" s="3190" t="s">
        <v>2819</v>
      </c>
      <c r="AN10" s="3190">
        <v>0</v>
      </c>
      <c r="AO10" s="3190" t="s">
        <v>3138</v>
      </c>
      <c r="AP10" s="3190" t="s">
        <v>2819</v>
      </c>
      <c r="AQ10" s="3190" t="s">
        <v>2819</v>
      </c>
      <c r="AR10" s="3190" t="s">
        <v>2819</v>
      </c>
    </row>
    <row r="11" spans="1:44" s="3190" customFormat="1">
      <c r="A11" s="3190" t="s">
        <v>3206</v>
      </c>
      <c r="B11" s="3190" t="s">
        <v>3124</v>
      </c>
      <c r="C11" s="3190" t="s">
        <v>3060</v>
      </c>
      <c r="D11" s="3190" t="s">
        <v>3125</v>
      </c>
      <c r="E11" s="3190" t="s">
        <v>2819</v>
      </c>
      <c r="F11" s="3190" t="s">
        <v>3206</v>
      </c>
      <c r="G11" s="3190" t="s">
        <v>3126</v>
      </c>
      <c r="H11" s="3190" t="s">
        <v>3207</v>
      </c>
      <c r="I11" s="3190" t="s">
        <v>3060</v>
      </c>
      <c r="J11" s="3190">
        <v>93333.34</v>
      </c>
      <c r="K11" s="3190">
        <v>326666.7</v>
      </c>
      <c r="L11" s="3190" t="s">
        <v>3208</v>
      </c>
      <c r="M11" s="3190" t="s">
        <v>2819</v>
      </c>
      <c r="N11" s="3190" t="s">
        <v>3209</v>
      </c>
      <c r="O11" s="3190" t="s">
        <v>2819</v>
      </c>
      <c r="P11" s="3190" t="s">
        <v>2819</v>
      </c>
      <c r="Q11" s="3190" t="s">
        <v>2819</v>
      </c>
      <c r="R11" s="3190" t="s">
        <v>2819</v>
      </c>
      <c r="S11" s="3190" t="s">
        <v>2819</v>
      </c>
      <c r="T11" s="3190" t="s">
        <v>2819</v>
      </c>
      <c r="U11" s="3190" t="s">
        <v>2819</v>
      </c>
      <c r="V11" s="3190" t="s">
        <v>2819</v>
      </c>
      <c r="W11" s="3190" t="s">
        <v>3210</v>
      </c>
      <c r="X11" s="3190" t="s">
        <v>3211</v>
      </c>
      <c r="Y11" s="3190" t="s">
        <v>3212</v>
      </c>
      <c r="Z11" s="3190" t="s">
        <v>3213</v>
      </c>
      <c r="AA11" s="3190" t="s">
        <v>3213</v>
      </c>
      <c r="AB11" s="3190" t="s">
        <v>3214</v>
      </c>
      <c r="AC11" s="3190" t="s">
        <v>3136</v>
      </c>
      <c r="AD11" s="3190" t="s">
        <v>3215</v>
      </c>
      <c r="AE11" s="3190">
        <v>7200</v>
      </c>
      <c r="AF11" s="3190">
        <v>35700</v>
      </c>
      <c r="AG11" s="3190">
        <v>42700</v>
      </c>
      <c r="AH11" s="3190">
        <v>255</v>
      </c>
      <c r="AI11" s="3190">
        <v>305</v>
      </c>
      <c r="AJ11" s="3190">
        <v>1092.8499999999999</v>
      </c>
      <c r="AK11" s="3190">
        <v>1307.1400000000001</v>
      </c>
      <c r="AL11" s="3190" t="s">
        <v>2819</v>
      </c>
      <c r="AM11" s="3190" t="s">
        <v>2819</v>
      </c>
      <c r="AN11" s="3190">
        <v>19.61</v>
      </c>
      <c r="AO11" s="3190" t="s">
        <v>3138</v>
      </c>
      <c r="AP11" s="3190" t="s">
        <v>2819</v>
      </c>
      <c r="AQ11" s="3190" t="s">
        <v>2819</v>
      </c>
      <c r="AR11" s="3190" t="s">
        <v>2819</v>
      </c>
    </row>
    <row r="12" spans="1:44" s="3190" customFormat="1">
      <c r="A12" s="3190" t="s">
        <v>3206</v>
      </c>
      <c r="B12" s="3190" t="s">
        <v>3124</v>
      </c>
      <c r="C12" s="3190" t="s">
        <v>3060</v>
      </c>
      <c r="D12" s="3190" t="s">
        <v>3125</v>
      </c>
      <c r="E12" s="3190" t="s">
        <v>2819</v>
      </c>
      <c r="F12" s="3190" t="s">
        <v>3206</v>
      </c>
      <c r="G12" s="3190" t="s">
        <v>3126</v>
      </c>
      <c r="H12" s="3190" t="s">
        <v>3216</v>
      </c>
      <c r="I12" s="3190" t="s">
        <v>3060</v>
      </c>
      <c r="J12" s="3190">
        <v>111588.7</v>
      </c>
      <c r="K12" s="3190">
        <v>390560.4</v>
      </c>
      <c r="L12" s="3190" t="s">
        <v>3208</v>
      </c>
      <c r="M12" s="3190" t="s">
        <v>2819</v>
      </c>
      <c r="N12" s="3190" t="s">
        <v>3209</v>
      </c>
      <c r="O12" s="3190" t="s">
        <v>2819</v>
      </c>
      <c r="P12" s="3190" t="s">
        <v>2819</v>
      </c>
      <c r="Q12" s="3190" t="s">
        <v>2819</v>
      </c>
      <c r="R12" s="3190" t="s">
        <v>2819</v>
      </c>
      <c r="S12" s="3190" t="s">
        <v>2819</v>
      </c>
      <c r="T12" s="3190" t="s">
        <v>2819</v>
      </c>
      <c r="U12" s="3190" t="s">
        <v>2819</v>
      </c>
      <c r="V12" s="3190" t="s">
        <v>2819</v>
      </c>
      <c r="W12" s="3190" t="s">
        <v>3210</v>
      </c>
      <c r="X12" s="3190" t="s">
        <v>3211</v>
      </c>
      <c r="Y12" s="3190" t="s">
        <v>3212</v>
      </c>
      <c r="Z12" s="3190" t="s">
        <v>3213</v>
      </c>
      <c r="AA12" s="3190" t="s">
        <v>3213</v>
      </c>
      <c r="AB12" s="3190" t="s">
        <v>3217</v>
      </c>
      <c r="AC12" s="3190" t="s">
        <v>3136</v>
      </c>
      <c r="AD12" s="3190" t="s">
        <v>3215</v>
      </c>
      <c r="AE12" s="3190">
        <v>8600</v>
      </c>
      <c r="AF12" s="3190">
        <v>42682.66</v>
      </c>
      <c r="AG12" s="3190">
        <v>50982.66</v>
      </c>
      <c r="AH12" s="3190">
        <v>255</v>
      </c>
      <c r="AI12" s="3190">
        <v>304.58999999999997</v>
      </c>
      <c r="AJ12" s="3190">
        <v>1092.8499999999999</v>
      </c>
      <c r="AK12" s="3190">
        <v>1305.3599999999999</v>
      </c>
      <c r="AL12" s="3190" t="s">
        <v>2819</v>
      </c>
      <c r="AM12" s="3190" t="s">
        <v>2819</v>
      </c>
      <c r="AN12" s="3190">
        <v>19.45</v>
      </c>
      <c r="AO12" s="3190" t="s">
        <v>3138</v>
      </c>
      <c r="AP12" s="3190" t="s">
        <v>2819</v>
      </c>
      <c r="AQ12" s="3190" t="s">
        <v>2819</v>
      </c>
      <c r="AR12" s="3190" t="s">
        <v>2819</v>
      </c>
    </row>
    <row r="13" spans="1:44">
      <c r="A13" s="2918" t="s">
        <v>3206</v>
      </c>
      <c r="B13" s="2918" t="s">
        <v>3124</v>
      </c>
      <c r="C13" s="2918" t="s">
        <v>3060</v>
      </c>
      <c r="D13" s="2918" t="s">
        <v>3125</v>
      </c>
      <c r="E13" s="2918" t="s">
        <v>2819</v>
      </c>
      <c r="F13" s="2918" t="s">
        <v>3206</v>
      </c>
      <c r="G13" s="2918" t="s">
        <v>3126</v>
      </c>
      <c r="H13" s="2918" t="s">
        <v>3218</v>
      </c>
      <c r="I13" s="2918" t="s">
        <v>3060</v>
      </c>
      <c r="J13" s="2918">
        <v>73333.34</v>
      </c>
      <c r="K13" s="2918">
        <v>256666.7</v>
      </c>
      <c r="L13" s="2918" t="s">
        <v>3208</v>
      </c>
      <c r="M13" s="2918" t="s">
        <v>2819</v>
      </c>
      <c r="N13" s="2918" t="s">
        <v>3209</v>
      </c>
      <c r="O13" s="2918" t="s">
        <v>2819</v>
      </c>
      <c r="P13" s="2918" t="s">
        <v>2819</v>
      </c>
      <c r="Q13" s="2918" t="s">
        <v>2819</v>
      </c>
      <c r="R13" s="2918" t="s">
        <v>2819</v>
      </c>
      <c r="S13" s="2918" t="s">
        <v>2819</v>
      </c>
      <c r="T13" s="2918" t="s">
        <v>2819</v>
      </c>
      <c r="U13" s="2918" t="s">
        <v>2819</v>
      </c>
      <c r="V13" s="2918" t="s">
        <v>2819</v>
      </c>
      <c r="W13" s="2918" t="s">
        <v>3210</v>
      </c>
      <c r="X13" s="2918" t="s">
        <v>3211</v>
      </c>
      <c r="Y13" s="2918" t="s">
        <v>3212</v>
      </c>
      <c r="Z13" s="2918" t="s">
        <v>3213</v>
      </c>
      <c r="AA13" s="2918" t="s">
        <v>3213</v>
      </c>
      <c r="AB13" s="2918" t="s">
        <v>3219</v>
      </c>
      <c r="AC13" s="2918" t="s">
        <v>3136</v>
      </c>
      <c r="AD13" s="2918" t="s">
        <v>3215</v>
      </c>
      <c r="AE13" s="2918">
        <v>6600</v>
      </c>
      <c r="AF13" s="2918">
        <v>32900</v>
      </c>
      <c r="AG13" s="2918">
        <v>40600</v>
      </c>
      <c r="AH13" s="2918">
        <v>299.08999999999997</v>
      </c>
      <c r="AI13" s="2918">
        <v>369.09</v>
      </c>
      <c r="AJ13" s="2918">
        <v>1281.81</v>
      </c>
      <c r="AK13" s="2918">
        <v>1581.81</v>
      </c>
      <c r="AL13" s="2918" t="s">
        <v>2819</v>
      </c>
      <c r="AM13" s="2918" t="s">
        <v>2819</v>
      </c>
      <c r="AN13" s="2918">
        <v>23.4</v>
      </c>
      <c r="AO13" s="2918" t="s">
        <v>3138</v>
      </c>
      <c r="AP13" s="2918" t="s">
        <v>2819</v>
      </c>
      <c r="AQ13" s="2918" t="s">
        <v>2819</v>
      </c>
      <c r="AR13" s="2918" t="s">
        <v>2819</v>
      </c>
    </row>
    <row r="14" spans="1:44">
      <c r="A14" s="2918" t="s">
        <v>3206</v>
      </c>
      <c r="B14" s="2918" t="s">
        <v>3124</v>
      </c>
      <c r="C14" s="2918" t="s">
        <v>3060</v>
      </c>
      <c r="D14" s="2918" t="s">
        <v>3125</v>
      </c>
      <c r="E14" s="2918" t="s">
        <v>2819</v>
      </c>
      <c r="F14" s="2918" t="s">
        <v>3206</v>
      </c>
      <c r="G14" s="2918" t="s">
        <v>3126</v>
      </c>
      <c r="H14" s="2918" t="s">
        <v>3220</v>
      </c>
      <c r="I14" s="2918" t="s">
        <v>3060</v>
      </c>
      <c r="J14" s="2918">
        <v>66666.67</v>
      </c>
      <c r="K14" s="2918">
        <v>233333.3</v>
      </c>
      <c r="L14" s="2918" t="s">
        <v>3208</v>
      </c>
      <c r="M14" s="2918" t="s">
        <v>2819</v>
      </c>
      <c r="N14" s="2918" t="s">
        <v>3209</v>
      </c>
      <c r="O14" s="2918" t="s">
        <v>2819</v>
      </c>
      <c r="P14" s="2918" t="s">
        <v>2819</v>
      </c>
      <c r="Q14" s="2918" t="s">
        <v>2819</v>
      </c>
      <c r="R14" s="2918" t="s">
        <v>2819</v>
      </c>
      <c r="S14" s="2918" t="s">
        <v>2819</v>
      </c>
      <c r="T14" s="2918" t="s">
        <v>2819</v>
      </c>
      <c r="U14" s="2918" t="s">
        <v>2819</v>
      </c>
      <c r="V14" s="2918" t="s">
        <v>2819</v>
      </c>
      <c r="W14" s="2918" t="s">
        <v>3210</v>
      </c>
      <c r="X14" s="2918" t="s">
        <v>3211</v>
      </c>
      <c r="Y14" s="2918" t="s">
        <v>3212</v>
      </c>
      <c r="Z14" s="2918" t="s">
        <v>3213</v>
      </c>
      <c r="AA14" s="2918" t="s">
        <v>3213</v>
      </c>
      <c r="AB14" s="2918" t="s">
        <v>3221</v>
      </c>
      <c r="AC14" s="2918" t="s">
        <v>3136</v>
      </c>
      <c r="AD14" s="2918" t="s">
        <v>3215</v>
      </c>
      <c r="AE14" s="2918">
        <v>6200</v>
      </c>
      <c r="AF14" s="2918">
        <v>30550</v>
      </c>
      <c r="AG14" s="2918">
        <v>37750</v>
      </c>
      <c r="AH14" s="2918">
        <v>305.5</v>
      </c>
      <c r="AI14" s="2918">
        <v>377.5</v>
      </c>
      <c r="AJ14" s="2918">
        <v>1309.28</v>
      </c>
      <c r="AK14" s="2918">
        <v>1617.85</v>
      </c>
      <c r="AL14" s="2918" t="s">
        <v>2819</v>
      </c>
      <c r="AM14" s="2918" t="s">
        <v>2819</v>
      </c>
      <c r="AN14" s="2918">
        <v>23.57</v>
      </c>
      <c r="AO14" s="2918" t="s">
        <v>3138</v>
      </c>
      <c r="AP14" s="2918" t="s">
        <v>2819</v>
      </c>
      <c r="AQ14" s="2918" t="s">
        <v>2819</v>
      </c>
      <c r="AR14" s="2918" t="s">
        <v>2819</v>
      </c>
    </row>
    <row r="15" spans="1:44">
      <c r="A15" s="2918" t="s">
        <v>3222</v>
      </c>
      <c r="B15" s="2918" t="s">
        <v>3124</v>
      </c>
      <c r="C15" s="2918" t="s">
        <v>3060</v>
      </c>
      <c r="D15" s="2918" t="s">
        <v>3125</v>
      </c>
      <c r="E15" s="2918" t="s">
        <v>2819</v>
      </c>
      <c r="F15" s="2918" t="s">
        <v>3222</v>
      </c>
      <c r="G15" s="2918" t="s">
        <v>3126</v>
      </c>
      <c r="H15" s="2918" t="s">
        <v>3223</v>
      </c>
      <c r="I15" s="2918" t="s">
        <v>3060</v>
      </c>
      <c r="J15" s="2918">
        <v>4447.83</v>
      </c>
      <c r="K15" s="2918">
        <v>15567.4</v>
      </c>
      <c r="L15" s="2918" t="s">
        <v>3224</v>
      </c>
      <c r="M15" s="2918" t="s">
        <v>2819</v>
      </c>
      <c r="N15" s="2918" t="s">
        <v>3129</v>
      </c>
      <c r="O15" s="2918" t="s">
        <v>2819</v>
      </c>
      <c r="P15" s="2918" t="s">
        <v>2819</v>
      </c>
      <c r="Q15" s="2918" t="s">
        <v>2819</v>
      </c>
      <c r="R15" s="2918" t="s">
        <v>2819</v>
      </c>
      <c r="S15" s="2918" t="s">
        <v>2819</v>
      </c>
      <c r="T15" s="2918" t="s">
        <v>2819</v>
      </c>
      <c r="U15" s="2918" t="s">
        <v>2819</v>
      </c>
      <c r="V15" s="2918" t="s">
        <v>2819</v>
      </c>
      <c r="W15" s="2918" t="s">
        <v>3210</v>
      </c>
      <c r="X15" s="2918" t="s">
        <v>3225</v>
      </c>
      <c r="Y15" s="2918" t="s">
        <v>3226</v>
      </c>
      <c r="Z15" s="2918" t="s">
        <v>3227</v>
      </c>
      <c r="AA15" s="2918" t="s">
        <v>3227</v>
      </c>
      <c r="AB15" s="2918" t="s">
        <v>3228</v>
      </c>
      <c r="AC15" s="2918" t="s">
        <v>3136</v>
      </c>
      <c r="AD15" s="2918" t="s">
        <v>3229</v>
      </c>
      <c r="AE15" s="2918">
        <v>1000</v>
      </c>
      <c r="AF15" s="2918">
        <v>1374.43</v>
      </c>
      <c r="AG15" s="2918">
        <v>1374.43</v>
      </c>
      <c r="AH15" s="2918">
        <v>206.01</v>
      </c>
      <c r="AI15" s="2918">
        <v>206.01</v>
      </c>
      <c r="AJ15" s="2918">
        <v>882.88</v>
      </c>
      <c r="AK15" s="2918">
        <v>882.88</v>
      </c>
      <c r="AL15" s="2918" t="s">
        <v>2819</v>
      </c>
      <c r="AM15" s="2918" t="s">
        <v>2819</v>
      </c>
      <c r="AN15" s="2918">
        <v>0</v>
      </c>
      <c r="AO15" s="2918" t="s">
        <v>3138</v>
      </c>
      <c r="AP15" s="2918" t="s">
        <v>2819</v>
      </c>
      <c r="AQ15" s="2918" t="s">
        <v>2819</v>
      </c>
      <c r="AR15" s="2918" t="s">
        <v>2819</v>
      </c>
    </row>
    <row r="16" spans="1:44">
      <c r="A16" s="2918" t="s">
        <v>3230</v>
      </c>
      <c r="B16" s="2918" t="s">
        <v>3124</v>
      </c>
      <c r="C16" s="2918" t="s">
        <v>3060</v>
      </c>
      <c r="D16" s="2918" t="s">
        <v>3150</v>
      </c>
      <c r="E16" s="2918" t="s">
        <v>2819</v>
      </c>
      <c r="F16" s="2918" t="s">
        <v>3230</v>
      </c>
      <c r="G16" s="2918" t="s">
        <v>3126</v>
      </c>
      <c r="H16" s="2918" t="s">
        <v>3231</v>
      </c>
      <c r="I16" s="2918" t="s">
        <v>3060</v>
      </c>
      <c r="J16" s="2918">
        <v>1200.5</v>
      </c>
      <c r="K16" s="2918">
        <v>9003.75</v>
      </c>
      <c r="L16" s="2918" t="s">
        <v>3232</v>
      </c>
      <c r="M16" s="2918" t="s">
        <v>2819</v>
      </c>
      <c r="N16" s="2918" t="s">
        <v>3171</v>
      </c>
      <c r="O16" s="2918" t="s">
        <v>2819</v>
      </c>
      <c r="P16" s="2918" t="s">
        <v>2819</v>
      </c>
      <c r="Q16" s="2918" t="s">
        <v>2819</v>
      </c>
      <c r="R16" s="2918" t="s">
        <v>2819</v>
      </c>
      <c r="S16" s="2918" t="s">
        <v>2819</v>
      </c>
      <c r="T16" s="2918" t="s">
        <v>2819</v>
      </c>
      <c r="U16" s="2918" t="s">
        <v>2819</v>
      </c>
      <c r="V16" s="2918" t="s">
        <v>2819</v>
      </c>
      <c r="W16" s="2918" t="s">
        <v>3210</v>
      </c>
      <c r="X16" s="2918" t="s">
        <v>3233</v>
      </c>
      <c r="Y16" s="2918" t="s">
        <v>3234</v>
      </c>
      <c r="Z16" s="2918" t="s">
        <v>3235</v>
      </c>
      <c r="AA16" s="2918" t="s">
        <v>3235</v>
      </c>
      <c r="AB16" s="2918" t="s">
        <v>3236</v>
      </c>
      <c r="AC16" s="2918" t="s">
        <v>3136</v>
      </c>
      <c r="AD16" s="2918" t="s">
        <v>3237</v>
      </c>
      <c r="AE16" s="2918">
        <v>54</v>
      </c>
      <c r="AF16" s="2918">
        <v>269</v>
      </c>
      <c r="AG16" s="2918">
        <v>269</v>
      </c>
      <c r="AH16" s="2918">
        <v>149.38</v>
      </c>
      <c r="AI16" s="2918">
        <v>149.38</v>
      </c>
      <c r="AJ16" s="2918">
        <v>298.76</v>
      </c>
      <c r="AK16" s="2918">
        <v>298.75</v>
      </c>
      <c r="AL16" s="2918" t="s">
        <v>2819</v>
      </c>
      <c r="AM16" s="2918" t="s">
        <v>2819</v>
      </c>
      <c r="AN16" s="2918">
        <v>0</v>
      </c>
      <c r="AO16" s="2918" t="s">
        <v>3138</v>
      </c>
      <c r="AP16" s="2918" t="s">
        <v>2819</v>
      </c>
      <c r="AQ16" s="2918" t="s">
        <v>2819</v>
      </c>
      <c r="AR16" s="2918" t="s">
        <v>2819</v>
      </c>
    </row>
    <row r="26" spans="37:37">
      <c r="AK26" s="2918">
        <f>AK7/AK3-1</f>
        <v>0.33425139420621086</v>
      </c>
    </row>
    <row r="28" spans="37:37">
      <c r="AK28" s="2918">
        <f>AK6/AK2-1</f>
        <v>0.27364946004602597</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2039</v>
      </c>
      <c r="B1" s="3210"/>
      <c r="C1" s="3210"/>
      <c r="D1" s="3210"/>
      <c r="E1" s="3210"/>
      <c r="F1" s="3210"/>
      <c r="G1" s="3210"/>
      <c r="H1" s="3210"/>
      <c r="I1" s="3210"/>
      <c r="J1" s="3210"/>
      <c r="K1" s="3210"/>
      <c r="L1" s="3210"/>
      <c r="M1" s="3210"/>
      <c r="N1" s="3210"/>
      <c r="O1" s="3210"/>
      <c r="P1" s="3210"/>
      <c r="Q1" s="3210"/>
      <c r="R1" s="3210"/>
    </row>
    <row r="2" spans="1:18">
      <c r="A2" s="1807" t="s">
        <v>2041</v>
      </c>
      <c r="B2" s="1807"/>
      <c r="C2" s="1807"/>
      <c r="D2" s="1807"/>
      <c r="E2" s="1807"/>
      <c r="F2" s="1807"/>
      <c r="G2" s="1807"/>
      <c r="H2" s="1807"/>
      <c r="I2" s="1808"/>
      <c r="J2" s="1808"/>
      <c r="K2" s="1809" t="str">
        <f>"估价期日："&amp;TEXT(项目基本情况!D3,"yyyy年m月d日;;")</f>
        <v>估价期日：2018年12月4日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1" t="s">
        <v>2030</v>
      </c>
      <c r="B3" s="3211" t="s">
        <v>2732</v>
      </c>
      <c r="C3" s="3212" t="s">
        <v>2031</v>
      </c>
      <c r="D3" s="3211" t="s">
        <v>2736</v>
      </c>
      <c r="E3" s="3214" t="s">
        <v>2032</v>
      </c>
      <c r="F3" s="3214"/>
      <c r="G3" s="3214"/>
      <c r="H3" s="3214" t="s">
        <v>2033</v>
      </c>
      <c r="I3" s="3214"/>
      <c r="J3" s="3214"/>
      <c r="K3" s="3212" t="s">
        <v>2034</v>
      </c>
      <c r="L3" s="3212" t="s">
        <v>2035</v>
      </c>
      <c r="M3" s="3211" t="s">
        <v>2733</v>
      </c>
      <c r="N3" s="3213" t="str">
        <f>"（分摊）"&amp;项目基本情况!B16&amp;"国有建设用地使用权面积/㎡"</f>
        <v>（分摊）出让国有建设用地使用权面积/㎡</v>
      </c>
      <c r="O3" s="3211" t="s">
        <v>2064</v>
      </c>
      <c r="P3" s="3212" t="s">
        <v>2044</v>
      </c>
      <c r="Q3" s="3212" t="s">
        <v>2065</v>
      </c>
      <c r="R3" s="3212" t="s">
        <v>2036</v>
      </c>
    </row>
    <row r="4" spans="1:18" ht="36.75" customHeight="1">
      <c r="A4" s="3211"/>
      <c r="B4" s="3211"/>
      <c r="C4" s="3212"/>
      <c r="D4" s="3211"/>
      <c r="E4" s="2628" t="s">
        <v>2043</v>
      </c>
      <c r="F4" s="2628" t="s">
        <v>2745</v>
      </c>
      <c r="G4" s="2628" t="s">
        <v>2037</v>
      </c>
      <c r="H4" s="2628" t="s">
        <v>2038</v>
      </c>
      <c r="I4" s="2628" t="s">
        <v>2746</v>
      </c>
      <c r="J4" s="2628" t="s">
        <v>2037</v>
      </c>
      <c r="K4" s="3212"/>
      <c r="L4" s="3212"/>
      <c r="M4" s="3211"/>
      <c r="N4" s="3213"/>
      <c r="O4" s="3211"/>
      <c r="P4" s="3212"/>
      <c r="Q4" s="3212"/>
      <c r="R4" s="3212"/>
    </row>
    <row r="5" spans="1:18" ht="135" customHeight="1">
      <c r="A5" s="1943" t="s">
        <v>2656</v>
      </c>
      <c r="B5" s="2846" t="s">
        <v>2654</v>
      </c>
      <c r="C5" s="2627">
        <v>22</v>
      </c>
      <c r="D5" s="2626" t="s">
        <v>2655</v>
      </c>
      <c r="E5" s="1810" t="str">
        <f>项目基本情况!B12</f>
        <v>城镇住宅用地</v>
      </c>
      <c r="F5" s="2626">
        <v>258</v>
      </c>
      <c r="G5" s="1810">
        <f>项目基本情况!B13</f>
        <v>0</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46806.26</v>
      </c>
      <c r="O5" s="1810">
        <f>项目基本情况!C21</f>
        <v>245520.35</v>
      </c>
      <c r="P5" s="1810">
        <f ca="1">结果表!E42</f>
        <v>8434</v>
      </c>
      <c r="Q5" s="1810">
        <f ca="1">结果表!D42</f>
        <v>1608</v>
      </c>
      <c r="R5" s="1811">
        <f ca="1">结果表!C42</f>
        <v>39475</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2" t="str">
        <f>结果表!O39</f>
        <v>——</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2"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6" t="s">
        <v>2066</v>
      </c>
      <c r="B1" s="3216"/>
      <c r="C1" s="3216"/>
      <c r="D1" s="3216"/>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2067</v>
      </c>
      <c r="B5" s="3215"/>
      <c r="C5" s="3215"/>
      <c r="D5" s="3215"/>
    </row>
    <row r="6" spans="1:4">
      <c r="A6" s="3216" t="s">
        <v>2045</v>
      </c>
      <c r="B6" s="3216"/>
      <c r="C6" s="3216"/>
      <c r="D6" s="3216"/>
    </row>
    <row r="7" spans="1:4" ht="33" customHeight="1">
      <c r="A7" s="3216" t="s">
        <v>2576</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v>
      </c>
      <c r="B11" s="3218"/>
      <c r="C11" s="3218"/>
      <c r="D11" s="3218"/>
    </row>
    <row r="12" spans="1:4" ht="168" customHeight="1">
      <c r="A12" s="3215" t="s">
        <v>2069</v>
      </c>
      <c r="B12" s="3215"/>
      <c r="C12" s="3215"/>
      <c r="D12" s="3215"/>
    </row>
    <row r="13" spans="1:4">
      <c r="A13" s="3219" t="s">
        <v>2747</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2703</v>
      </c>
      <c r="B17" s="3216"/>
      <c r="C17" s="3216"/>
      <c r="D17" s="3216"/>
    </row>
    <row r="18" spans="1:4">
      <c r="A18" s="3216" t="s">
        <v>2695</v>
      </c>
      <c r="B18" s="3216"/>
      <c r="C18" s="3216"/>
      <c r="D18" s="3216"/>
    </row>
    <row r="19" spans="1:4">
      <c r="A19" s="2847" t="s">
        <v>2696</v>
      </c>
      <c r="B19" s="2847" t="s">
        <v>2697</v>
      </c>
      <c r="C19" s="2847" t="s">
        <v>2698</v>
      </c>
      <c r="D19" s="2847" t="s">
        <v>2699</v>
      </c>
    </row>
    <row r="20" spans="1:4">
      <c r="A20" s="2847" t="str">
        <f>项目基本情况!B4</f>
        <v>土地估价师</v>
      </c>
      <c r="B20" s="2847">
        <f>项目基本情况!C4</f>
        <v>0</v>
      </c>
      <c r="C20" s="2849"/>
      <c r="D20" s="1800" t="s">
        <v>2704</v>
      </c>
    </row>
    <row r="21" spans="1:4">
      <c r="A21" s="2847" t="str">
        <f>项目基本情况!D4</f>
        <v>土地估价师</v>
      </c>
      <c r="B21" s="2847">
        <f>项目基本情况!E4</f>
        <v>0</v>
      </c>
      <c r="C21" s="2849"/>
      <c r="D21" s="1800" t="s">
        <v>2705</v>
      </c>
    </row>
    <row r="23" spans="1:4">
      <c r="A23" s="3216" t="s">
        <v>2700</v>
      </c>
      <c r="B23" s="3216"/>
      <c r="C23" s="3216"/>
      <c r="D23" s="3216"/>
    </row>
    <row r="24" spans="1:4">
      <c r="A24" s="2847" t="s">
        <v>2696</v>
      </c>
      <c r="B24" s="2847" t="s">
        <v>2701</v>
      </c>
      <c r="C24" s="2847" t="s">
        <v>2698</v>
      </c>
      <c r="D24" s="2847" t="s">
        <v>2699</v>
      </c>
    </row>
    <row r="25" spans="1:4">
      <c r="A25" s="2850" t="s">
        <v>2702</v>
      </c>
      <c r="B25" s="2847" t="s">
        <v>952</v>
      </c>
      <c r="C25" s="2849"/>
      <c r="D25" s="1800"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7" t="s">
        <v>53</v>
      </c>
      <c r="B15" s="3228" t="s">
        <v>846</v>
      </c>
      <c r="C15" s="3224"/>
    </row>
    <row r="16" spans="1:7" ht="14.25">
      <c r="A16" s="3227"/>
      <c r="B16" s="3225" t="s">
        <v>54</v>
      </c>
      <c r="C16" s="1171" t="s">
        <v>53</v>
      </c>
    </row>
    <row r="17" spans="1:3" ht="14.25">
      <c r="A17" s="3227"/>
      <c r="B17" s="3225"/>
      <c r="C17" s="1171" t="s">
        <v>55</v>
      </c>
    </row>
    <row r="18" spans="1:3" ht="14.25">
      <c r="A18" s="3227"/>
      <c r="B18" s="3225"/>
      <c r="C18" s="1171" t="s">
        <v>56</v>
      </c>
    </row>
    <row r="19" spans="1:3" ht="14.25">
      <c r="A19" s="3227"/>
      <c r="B19" s="3223" t="s">
        <v>57</v>
      </c>
      <c r="C19" s="3224"/>
    </row>
    <row r="20" spans="1:3" ht="14.25">
      <c r="A20" s="1172" t="s">
        <v>58</v>
      </c>
      <c r="B20" s="1173"/>
      <c r="C20" s="1174"/>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5" t="s">
        <v>837</v>
      </c>
    </row>
    <row r="25" spans="1:3" ht="14.25">
      <c r="A25" s="3226"/>
      <c r="B25" s="3230"/>
      <c r="C25" s="1175" t="s">
        <v>838</v>
      </c>
    </row>
    <row r="26" spans="1:3" ht="14.25">
      <c r="A26" s="3226"/>
      <c r="B26" s="3230"/>
      <c r="C26" s="1175" t="s">
        <v>839</v>
      </c>
    </row>
    <row r="27" spans="1:3" ht="14.25">
      <c r="A27" s="3226"/>
      <c r="B27" s="3230"/>
      <c r="C27" s="1175" t="s">
        <v>840</v>
      </c>
    </row>
    <row r="28" spans="1:3" ht="14.25">
      <c r="A28" s="3226"/>
      <c r="B28" s="3230"/>
      <c r="C28" s="1175" t="s">
        <v>841</v>
      </c>
    </row>
    <row r="29" spans="1:3" ht="14.25">
      <c r="A29" s="3226"/>
      <c r="B29" s="3230"/>
      <c r="C29" s="1175" t="s">
        <v>842</v>
      </c>
    </row>
    <row r="30" spans="1:3" ht="14.25">
      <c r="A30" s="3226"/>
      <c r="B30" s="3230"/>
      <c r="C30" s="1175" t="s">
        <v>843</v>
      </c>
    </row>
    <row r="31" spans="1:3" ht="14.25">
      <c r="A31" s="3226"/>
      <c r="B31" s="3230"/>
      <c r="C31" s="1175" t="s">
        <v>844</v>
      </c>
    </row>
    <row r="32" spans="1:3" ht="14.25">
      <c r="A32" s="3226"/>
      <c r="B32" s="3230"/>
      <c r="C32" s="1175" t="s">
        <v>1647</v>
      </c>
    </row>
    <row r="33" spans="1:3" ht="14.25">
      <c r="A33" s="3226"/>
      <c r="B33" s="3220" t="s">
        <v>1653</v>
      </c>
      <c r="C33" s="1175" t="s">
        <v>1648</v>
      </c>
    </row>
    <row r="34" spans="1:3" ht="14.25">
      <c r="A34" s="3226"/>
      <c r="B34" s="3221"/>
      <c r="C34" s="1180" t="s">
        <v>1649</v>
      </c>
    </row>
    <row r="35" spans="1:3" ht="14.25">
      <c r="A35" s="3226"/>
      <c r="B35" s="3221"/>
      <c r="C35" s="1181" t="s">
        <v>1650</v>
      </c>
    </row>
    <row r="36" spans="1:3" ht="14.25">
      <c r="A36" s="3226"/>
      <c r="B36" s="3221"/>
      <c r="C36" s="1181" t="s">
        <v>1651</v>
      </c>
    </row>
    <row r="37" spans="1:3" ht="14.25">
      <c r="A37" s="3226"/>
      <c r="B37" s="3222"/>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8" customWidth="1"/>
    <col min="2" max="5" width="22.625" style="3158"/>
    <col min="6" max="6" width="25.625" style="3158" customWidth="1"/>
    <col min="7" max="16384" width="22.625" style="3158"/>
  </cols>
  <sheetData>
    <row r="2" spans="1:6" ht="20.25" customHeight="1">
      <c r="A2" s="3155" t="s">
        <v>1908</v>
      </c>
      <c r="B2" s="3156">
        <f ca="1">TODAY()</f>
        <v>43441</v>
      </c>
      <c r="C2" s="3157" t="s">
        <v>1909</v>
      </c>
      <c r="D2" s="3157"/>
    </row>
    <row r="3" spans="1:6" ht="20.25" customHeight="1">
      <c r="A3" s="3159" t="s">
        <v>1910</v>
      </c>
      <c r="B3" s="3160" t="s">
        <v>1911</v>
      </c>
      <c r="C3" s="3160" t="s">
        <v>1912</v>
      </c>
      <c r="D3" s="3161" t="s">
        <v>1913</v>
      </c>
      <c r="E3" s="3160" t="s">
        <v>1914</v>
      </c>
      <c r="F3" s="3160" t="s">
        <v>1912</v>
      </c>
    </row>
    <row r="4" spans="1:6" ht="20.25" customHeight="1">
      <c r="A4" s="3160" t="s">
        <v>1915</v>
      </c>
      <c r="B4" s="3160">
        <f ca="1">IF(C4&lt;B2,"已过期",1119970066)</f>
        <v>1119970066</v>
      </c>
      <c r="C4" s="3162">
        <v>43849</v>
      </c>
      <c r="D4" s="3160" t="s">
        <v>1915</v>
      </c>
      <c r="E4" s="3160">
        <f ca="1">IF(F4&lt;B2,"已过期",96010014)</f>
        <v>96010014</v>
      </c>
      <c r="F4" s="3163">
        <v>47118</v>
      </c>
    </row>
    <row r="5" spans="1:6" ht="20.25" customHeight="1">
      <c r="A5" s="3160" t="s">
        <v>1916</v>
      </c>
      <c r="B5" s="3160">
        <f ca="1">IF(C5&lt;B2,"已过期",1119970074)</f>
        <v>1119970074</v>
      </c>
      <c r="C5" s="3162">
        <v>43849</v>
      </c>
      <c r="D5" s="3160" t="s">
        <v>1916</v>
      </c>
      <c r="E5" s="3160">
        <f ca="1">IF(F5&lt;B2,"已过期",2002110027)</f>
        <v>2002110027</v>
      </c>
      <c r="F5" s="3163">
        <v>46752</v>
      </c>
    </row>
    <row r="6" spans="1:6" ht="20.25" customHeight="1">
      <c r="A6" s="3160" t="s">
        <v>1917</v>
      </c>
      <c r="B6" s="3160">
        <f ca="1">IF(C6&lt;B2,"已过期",1119970111)</f>
        <v>1119970111</v>
      </c>
      <c r="C6" s="3162">
        <v>43849</v>
      </c>
      <c r="D6" s="3160" t="s">
        <v>1917</v>
      </c>
      <c r="E6" s="3160">
        <f ca="1">IF(F6&lt;B2,"已过期",94010078)</f>
        <v>94010078</v>
      </c>
      <c r="F6" s="3163">
        <v>46387</v>
      </c>
    </row>
    <row r="7" spans="1:6" ht="20.25" customHeight="1">
      <c r="A7" s="3160" t="s">
        <v>1918</v>
      </c>
      <c r="B7" s="3160">
        <f ca="1">IF(C7&lt;B2,"已过期",1120050019)</f>
        <v>1120050019</v>
      </c>
      <c r="C7" s="3162">
        <v>44395</v>
      </c>
      <c r="D7" s="3160" t="s">
        <v>1918</v>
      </c>
      <c r="E7" s="3160">
        <f ca="1">IF(F7&lt;B2,"已过期",2002110030)</f>
        <v>2002110030</v>
      </c>
      <c r="F7" s="3163">
        <v>46387</v>
      </c>
    </row>
    <row r="8" spans="1:6" ht="20.25" customHeight="1">
      <c r="A8" s="3160" t="s">
        <v>1919</v>
      </c>
      <c r="B8" s="3160">
        <f ca="1">IF(C8&lt;B2,"已过期",1120000080)</f>
        <v>1120000080</v>
      </c>
      <c r="C8" s="3162">
        <v>43849</v>
      </c>
      <c r="D8" s="3160" t="s">
        <v>1919</v>
      </c>
      <c r="E8" s="3160">
        <f ca="1">IF(F8&lt;B2,"已过期",2000110082)</f>
        <v>2000110082</v>
      </c>
      <c r="F8" s="3163">
        <v>46387</v>
      </c>
    </row>
    <row r="9" spans="1:6" ht="20.25" customHeight="1">
      <c r="A9" s="3160" t="s">
        <v>1920</v>
      </c>
      <c r="B9" s="3160">
        <f ca="1">IF(C9&lt;B2,"已过期",1419970001)</f>
        <v>1419970001</v>
      </c>
      <c r="C9" s="3162">
        <v>43867</v>
      </c>
      <c r="D9" s="3160" t="s">
        <v>1920</v>
      </c>
      <c r="E9" s="3160">
        <f ca="1">IF(F9&lt;B2,"已过期",2002110125)</f>
        <v>2002110125</v>
      </c>
      <c r="F9" s="3163">
        <v>47118</v>
      </c>
    </row>
    <row r="10" spans="1:6" ht="20.25" customHeight="1">
      <c r="A10" s="3160" t="s">
        <v>1921</v>
      </c>
      <c r="B10" s="3160">
        <f ca="1">IF(C10&lt;B2,"已过期",1120060040)</f>
        <v>1120060040</v>
      </c>
      <c r="C10" s="3162">
        <v>43483</v>
      </c>
      <c r="D10" s="3160" t="s">
        <v>1921</v>
      </c>
      <c r="E10" s="3160">
        <f ca="1">IF(F10&lt;B2,"已过期",2004110096)</f>
        <v>2004110096</v>
      </c>
      <c r="F10" s="3163">
        <v>47118</v>
      </c>
    </row>
    <row r="11" spans="1:6" ht="20.25" customHeight="1">
      <c r="A11" s="3160" t="s">
        <v>1922</v>
      </c>
      <c r="B11" s="3160">
        <f ca="1">IF(C11&lt;B2,"已过期",1120100036)</f>
        <v>1120100036</v>
      </c>
      <c r="C11" s="3162">
        <v>43622</v>
      </c>
      <c r="D11" s="3160" t="s">
        <v>1922</v>
      </c>
      <c r="E11" s="3160">
        <f ca="1">IF(F11&lt;B2,"已过期",2010110070)</f>
        <v>2010110070</v>
      </c>
      <c r="F11" s="3163">
        <v>47907</v>
      </c>
    </row>
    <row r="12" spans="1:6" ht="20.25" customHeight="1">
      <c r="A12" s="3160"/>
      <c r="B12" s="3160"/>
      <c r="C12" s="3162"/>
      <c r="D12" s="3160"/>
      <c r="E12" s="3160"/>
      <c r="F12" s="3163"/>
    </row>
    <row r="13" spans="1:6" ht="20.25" customHeight="1">
      <c r="A13" s="3160" t="s">
        <v>1923</v>
      </c>
      <c r="B13" s="3160">
        <f ca="1">IF(C13&lt;B2,"已过期",1120070131)</f>
        <v>1120070131</v>
      </c>
      <c r="C13" s="3162">
        <v>43814</v>
      </c>
      <c r="D13" s="3160" t="s">
        <v>1923</v>
      </c>
      <c r="E13" s="3160">
        <f ca="1">IF(F13&lt;B2,"已过期",2014110011)</f>
        <v>2014110011</v>
      </c>
      <c r="F13" s="3163">
        <v>49302</v>
      </c>
    </row>
    <row r="14" spans="1:6" ht="20.25" customHeight="1">
      <c r="A14" s="3160" t="s">
        <v>2984</v>
      </c>
      <c r="B14" s="3160">
        <f ca="1">IF(C14&lt;B2,"已过期",1120040230)</f>
        <v>1120040230</v>
      </c>
      <c r="C14" s="3164">
        <v>43835</v>
      </c>
      <c r="D14" s="3165" t="s">
        <v>2985</v>
      </c>
      <c r="E14" s="3160">
        <f ca="1">IF(F14&lt;B2,"已过期",98030020)</f>
        <v>98030020</v>
      </c>
      <c r="F14" s="3163">
        <v>47118</v>
      </c>
    </row>
    <row r="15" spans="1:6" ht="20.25" customHeight="1">
      <c r="A15" s="3160" t="s">
        <v>2575</v>
      </c>
      <c r="B15" s="3160">
        <f ca="1">IF(C15&lt;B2,"已过期",1120070085)</f>
        <v>1120070085</v>
      </c>
      <c r="C15" s="3164">
        <v>43814</v>
      </c>
      <c r="D15" s="3160" t="s">
        <v>2986</v>
      </c>
      <c r="E15" s="3160">
        <f ca="1">IF(F15&lt;B2,"已过期",2004110128)</f>
        <v>2004110128</v>
      </c>
      <c r="F15" s="3166">
        <v>47118</v>
      </c>
    </row>
    <row r="16" spans="1:6" ht="20.25" customHeight="1">
      <c r="A16" s="3160" t="s">
        <v>1924</v>
      </c>
      <c r="B16" s="3160">
        <f ca="1">IF(C16&lt;B2,"已过期",1120140022)</f>
        <v>1120140022</v>
      </c>
      <c r="C16" s="3162">
        <v>44029</v>
      </c>
      <c r="D16" s="3160" t="s">
        <v>2987</v>
      </c>
      <c r="E16" s="3160">
        <f ca="1">IF(F16&lt;B2,"已过期",2008110059)</f>
        <v>2008110059</v>
      </c>
      <c r="F16" s="3163">
        <v>47177</v>
      </c>
    </row>
    <row r="17" spans="1:7" ht="20.25" customHeight="1">
      <c r="A17" s="3160"/>
      <c r="B17" s="3160"/>
      <c r="C17" s="3162"/>
      <c r="D17" s="3165" t="s">
        <v>2988</v>
      </c>
      <c r="E17" s="3160">
        <f ca="1">IF(F17&lt;B2,"已过期",2014110076)</f>
        <v>2014110076</v>
      </c>
      <c r="F17" s="3163">
        <v>49302</v>
      </c>
    </row>
    <row r="18" spans="1:7" ht="20.25" customHeight="1">
      <c r="A18" s="3160"/>
      <c r="B18" s="3160"/>
      <c r="C18" s="3162"/>
      <c r="D18" s="3160"/>
      <c r="E18" s="3160"/>
      <c r="F18" s="3163"/>
    </row>
    <row r="19" spans="1:7" ht="20.25" customHeight="1">
      <c r="A19" s="3160"/>
      <c r="B19" s="3160"/>
      <c r="C19" s="3162"/>
      <c r="D19" s="3160"/>
      <c r="E19" s="3160"/>
      <c r="F19" s="3160"/>
    </row>
    <row r="20" spans="1:7" ht="20.25" customHeight="1">
      <c r="A20" s="3160"/>
      <c r="B20" s="3160"/>
      <c r="C20" s="3162"/>
      <c r="D20" s="3160"/>
      <c r="E20" s="3160"/>
      <c r="F20" s="3160"/>
    </row>
    <row r="21" spans="1:7" ht="20.25" customHeight="1">
      <c r="A21" s="3160"/>
      <c r="B21" s="3160"/>
      <c r="C21" s="3162"/>
      <c r="D21" s="3160" t="s">
        <v>1925</v>
      </c>
      <c r="E21" s="3160">
        <f ca="1">IF(F21&lt;B2,"已过期",2011110090)</f>
        <v>2011110090</v>
      </c>
      <c r="F21" s="3163">
        <v>48302</v>
      </c>
    </row>
    <row r="22" spans="1:7" ht="20.25" customHeight="1">
      <c r="A22" s="3160" t="s">
        <v>1926</v>
      </c>
      <c r="B22" s="3160">
        <f ca="1">IF(C22&lt;B2,"已过期",1120020033)</f>
        <v>1120020033</v>
      </c>
      <c r="C22" s="3162">
        <v>44339</v>
      </c>
      <c r="D22" s="3160" t="s">
        <v>1926</v>
      </c>
      <c r="E22" s="3160">
        <f ca="1">IF(F22&lt;B2,"已过期",2000110137)</f>
        <v>2000110137</v>
      </c>
      <c r="F22" s="3163">
        <v>46387</v>
      </c>
    </row>
    <row r="23" spans="1:7" ht="20.25" customHeight="1">
      <c r="A23" s="3160"/>
      <c r="B23" s="3160"/>
      <c r="C23" s="3162"/>
      <c r="D23" s="3160"/>
      <c r="E23" s="3160"/>
      <c r="F23" s="3160"/>
    </row>
    <row r="24" spans="1:7" s="3168" customFormat="1" ht="20.25" customHeight="1">
      <c r="A24" s="3159" t="s">
        <v>2054</v>
      </c>
      <c r="B24" s="3159" t="s">
        <v>2054</v>
      </c>
      <c r="C24" s="3162"/>
      <c r="D24" s="3167" t="s">
        <v>2054</v>
      </c>
      <c r="E24" s="3159" t="s">
        <v>2054</v>
      </c>
      <c r="F24" s="3166"/>
    </row>
    <row r="25" spans="1:7" ht="20.25" customHeight="1">
      <c r="A25" s="3231" t="s">
        <v>1927</v>
      </c>
      <c r="B25" s="3231"/>
      <c r="C25" s="3231"/>
      <c r="D25" s="3231"/>
      <c r="E25" s="3231"/>
      <c r="F25" s="3231"/>
      <c r="G25" s="3231"/>
    </row>
    <row r="26" spans="1:7" ht="20.25" customHeight="1">
      <c r="A26" s="3232" t="s">
        <v>1928</v>
      </c>
      <c r="B26" s="3232"/>
      <c r="C26" s="3232"/>
      <c r="D26" s="3232" t="s">
        <v>1929</v>
      </c>
      <c r="E26" s="3232"/>
      <c r="F26" s="3232"/>
    </row>
    <row r="27" spans="1:7" s="3155" customFormat="1" ht="20.25" customHeight="1">
      <c r="A27" s="3169" t="s">
        <v>1930</v>
      </c>
      <c r="B27" s="3170" t="s">
        <v>1931</v>
      </c>
      <c r="C27" s="3170" t="s">
        <v>1932</v>
      </c>
      <c r="D27" s="3160" t="s">
        <v>1930</v>
      </c>
      <c r="E27" s="3170" t="s">
        <v>1931</v>
      </c>
      <c r="F27" s="3170" t="s">
        <v>1932</v>
      </c>
    </row>
    <row r="28" spans="1:7" s="3155" customFormat="1" ht="20.25" customHeight="1">
      <c r="A28" s="3171" t="s">
        <v>1933</v>
      </c>
      <c r="B28" s="3171" t="s">
        <v>1934</v>
      </c>
      <c r="C28" s="3163">
        <v>43725</v>
      </c>
      <c r="D28" s="3171" t="s">
        <v>1935</v>
      </c>
      <c r="E28" s="3171" t="s">
        <v>1936</v>
      </c>
      <c r="F28" s="3172">
        <v>44377</v>
      </c>
    </row>
    <row r="29" spans="1:7" s="3155" customFormat="1" ht="20.25" customHeight="1">
      <c r="A29" s="3171"/>
      <c r="B29" s="3171"/>
      <c r="C29" s="3173"/>
      <c r="D29" s="3171" t="s">
        <v>1937</v>
      </c>
      <c r="E29" s="3174" t="s">
        <v>2945</v>
      </c>
      <c r="F29" s="3175">
        <v>43281</v>
      </c>
    </row>
    <row r="30" spans="1:7" ht="20.25" customHeight="1">
      <c r="C30" s="3176"/>
      <c r="D30" s="3176"/>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8" t="s">
        <v>2957</v>
      </c>
      <c r="C18" s="1554"/>
    </row>
    <row r="19" spans="1:3">
      <c r="A19" s="8" t="s">
        <v>120</v>
      </c>
      <c r="B19" s="3088" t="s">
        <v>2965</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潮州市潮州市东山旅游度假区A6、B7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33"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c r="D53" s="1767"/>
      <c r="E53" s="1767"/>
    </row>
    <row r="54" spans="1:5">
      <c r="A54" s="3233"/>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3"/>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3"/>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3"/>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2018-12-07T08:36:36Z</dcterms:modified>
</cp:coreProperties>
</file>