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丽酒店\抵押物\"/>
    </mc:Choice>
  </mc:AlternateContent>
  <bookViews>
    <workbookView xWindow="0" yWindow="0" windowWidth="19200" windowHeight="11370" tabRatio="933"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面积新" sheetId="92" r:id="rId14"/>
    <sheet name="面积" sheetId="77" state="hidden" r:id="rId15"/>
    <sheet name="租金台账" sheetId="93" state="hidden" r:id="rId16"/>
    <sheet name="抵押物清单（分楼）" sheetId="42" state="hidden" r:id="rId17"/>
    <sheet name="数据-取费表" sheetId="1" r:id="rId18"/>
    <sheet name="估价对象房地状况" sheetId="20" r:id="rId19"/>
    <sheet name="系统读取表" sheetId="74" r:id="rId20"/>
    <sheet name="结果表111 " sheetId="79" state="hidden" r:id="rId21"/>
    <sheet name="结果表（酒店）" sheetId="9" r:id="rId22"/>
    <sheet name="成本法" sheetId="68" r:id="rId23"/>
    <sheet name="结果表 (办公)" sheetId="78" state="hidden" r:id="rId24"/>
    <sheet name="比较法-办公" sheetId="34" state="hidden" r:id="rId25"/>
    <sheet name="土地比较法-住宅、综合" sheetId="39" r:id="rId26"/>
    <sheet name="土地案例" sheetId="91" r:id="rId27"/>
    <sheet name="基准地价修正（商业）" sheetId="43" state="hidden" r:id="rId28"/>
    <sheet name="基准地价修正 (办公)" sheetId="89" state="hidden" r:id="rId29"/>
    <sheet name="收益法-商业" sheetId="15" r:id="rId30"/>
    <sheet name="租金" sheetId="90" r:id="rId31"/>
    <sheet name="收益法-办公" sheetId="80" r:id="rId32"/>
    <sheet name="成本法 (元)" sheetId="69" state="hidden" r:id="rId33"/>
    <sheet name="假设开发法" sheetId="12" state="hidden" r:id="rId34"/>
    <sheet name="收益法 (元)" sheetId="67" state="hidden" r:id="rId35"/>
    <sheet name="成本法-酒店" sheetId="82"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结果表（库房）" sheetId="83" state="hidden" r:id="rId43"/>
    <sheet name="成本法-库房" sheetId="84" state="hidden" r:id="rId44"/>
    <sheet name="收益法-酒店" sheetId="81" r:id="rId45"/>
    <sheet name="酒店收入计算" sheetId="66" r:id="rId46"/>
    <sheet name="收益法-库房" sheetId="85" r:id="rId47"/>
    <sheet name="结果表（车库）" sheetId="88" state="hidden" r:id="rId48"/>
    <sheet name="收益法-车库" sheetId="87" r:id="rId49"/>
    <sheet name="收益法（汇总）" sheetId="70" r:id="rId50"/>
    <sheet name="成本法-车库" sheetId="86" state="hidden" r:id="rId51"/>
    <sheet name="修正" sheetId="45" state="hidden" r:id="rId52"/>
    <sheet name="容积率修正" sheetId="46" state="hidden" r:id="rId53"/>
    <sheet name="基准地价（汇总）" sheetId="76" state="hidden" r:id="rId54"/>
    <sheet name="地价" sheetId="71" state="hidden" r:id="rId55"/>
    <sheet name="典型户型修正" sheetId="31" state="hidden"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definedNames>
    <definedName name="_xlnm._FilterDatabase" localSheetId="24"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22">成本法!$A$1:$G$52</definedName>
    <definedName name="_xlnm.Print_Area" localSheetId="18">估价对象房地状况!$A$1:$G$24</definedName>
    <definedName name="_xlnm.Print_Area" localSheetId="8">估价师及机构信息!$A$1:$F$29</definedName>
    <definedName name="_xlnm.Print_Area" localSheetId="34">'收益法 (元)'!$A$1:$AK$69</definedName>
    <definedName name="_xlnm.Print_Area" localSheetId="31">'收益法-办公'!$A$1:$F$43</definedName>
    <definedName name="_xlnm.Print_Area" localSheetId="48">'收益法-车库'!$A$1:$F$43</definedName>
    <definedName name="_xlnm.Print_Area" localSheetId="44">'收益法-酒店'!$A$1:$F$43</definedName>
    <definedName name="_xlnm.Print_Area" localSheetId="46">'收益法-库房'!$A$1:$F$43</definedName>
    <definedName name="_xlnm.Print_Area" localSheetId="29">'收益法-商业'!$A$1:$AK$69</definedName>
    <definedName name="_xlnm.Print_Area" localSheetId="12">'数据-汇总表'!$A$1:$I$32</definedName>
    <definedName name="_xlnm.Print_Area" localSheetId="11">'数据-基础表'!$A$1:$AY$13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8">'基准地价修正 (办公)'!$Q$19:$AD$19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49" i="90" l="1"/>
  <c r="I52" i="90"/>
  <c r="J49" i="90"/>
  <c r="L7" i="1"/>
  <c r="G26" i="90" l="1"/>
  <c r="E26" i="90"/>
  <c r="F26" i="90"/>
  <c r="D26" i="90"/>
  <c r="I20" i="90"/>
  <c r="H20" i="90"/>
  <c r="J22" i="90"/>
  <c r="AF6" i="1" l="1"/>
  <c r="G29" i="90" l="1"/>
  <c r="G28" i="90"/>
  <c r="G30" i="90" s="1"/>
  <c r="G31" i="90" s="1"/>
  <c r="U6" i="1"/>
  <c r="I48" i="90"/>
  <c r="K47" i="90"/>
  <c r="I47" i="90"/>
  <c r="I46" i="90"/>
  <c r="I45" i="90"/>
  <c r="I44" i="90"/>
  <c r="I43" i="90"/>
  <c r="I42" i="90"/>
  <c r="I41" i="90"/>
  <c r="I40" i="90"/>
  <c r="I39" i="90"/>
  <c r="I38" i="90"/>
  <c r="I37" i="90"/>
  <c r="I36" i="90"/>
  <c r="K35" i="90"/>
  <c r="K49" i="90" s="1"/>
  <c r="K51" i="90" s="1"/>
  <c r="I35" i="90"/>
  <c r="D21" i="90"/>
  <c r="D23" i="90" s="1"/>
  <c r="E21" i="90"/>
  <c r="E23" i="90" s="1"/>
  <c r="F21" i="90"/>
  <c r="F23" i="90" s="1"/>
  <c r="H22" i="90"/>
  <c r="I22" i="90"/>
  <c r="H4" i="92" l="1"/>
  <c r="W9" i="1" l="1"/>
  <c r="AB6" i="1"/>
  <c r="W10" i="1"/>
  <c r="B21" i="1"/>
  <c r="D3" i="4"/>
  <c r="K5" i="66" l="1"/>
  <c r="K4" i="66"/>
  <c r="O4" i="66"/>
  <c r="O3" i="66"/>
  <c r="K3" i="66"/>
  <c r="F70" i="15" l="1"/>
  <c r="I3" i="66"/>
  <c r="G4" i="66"/>
  <c r="I4" i="66"/>
  <c r="G5" i="66"/>
  <c r="I5" i="66"/>
  <c r="I9" i="92"/>
  <c r="H9" i="92"/>
  <c r="A3" i="3"/>
  <c r="E12" i="90"/>
  <c r="O5" i="66"/>
  <c r="D5" i="66"/>
  <c r="G19" i="77"/>
  <c r="G21" i="77" s="1"/>
  <c r="F19" i="77"/>
  <c r="BA16" i="93"/>
  <c r="H3" i="93"/>
  <c r="DV3" i="93"/>
  <c r="DV14" i="93"/>
  <c r="BQ13" i="93"/>
  <c r="BE13" i="93"/>
  <c r="U13" i="93"/>
  <c r="H13" i="93"/>
  <c r="DV12" i="93"/>
  <c r="BQ11" i="93"/>
  <c r="BE11" i="93"/>
  <c r="U11" i="93"/>
  <c r="H11" i="93"/>
  <c r="DV10" i="93"/>
  <c r="DV9" i="93"/>
  <c r="C9" i="93" s="1"/>
  <c r="DV8" i="93"/>
  <c r="DV7" i="93"/>
  <c r="I7" i="93"/>
  <c r="DV6" i="93"/>
  <c r="DV5" i="93"/>
  <c r="I5" i="93"/>
  <c r="C5" i="93"/>
  <c r="DV4" i="93"/>
  <c r="DV11" i="93"/>
  <c r="C11" i="93" s="1"/>
  <c r="DV13" i="93"/>
  <c r="C13" i="93" s="1"/>
  <c r="D13" i="90"/>
  <c r="H13" i="90" s="1"/>
  <c r="J13" i="92"/>
  <c r="AY3" i="3"/>
  <c r="O13" i="3"/>
  <c r="K13" i="3"/>
  <c r="I13" i="3"/>
  <c r="I68" i="92"/>
  <c r="I8" i="92"/>
  <c r="I7" i="92"/>
  <c r="H6" i="92"/>
  <c r="M13" i="3" s="1"/>
  <c r="H5" i="92"/>
  <c r="H15" i="92" s="1"/>
  <c r="M4" i="92"/>
  <c r="L4" i="92"/>
  <c r="C64" i="92"/>
  <c r="H10" i="92"/>
  <c r="I46" i="39"/>
  <c r="G46" i="39"/>
  <c r="E46" i="39"/>
  <c r="I38" i="39"/>
  <c r="G38" i="39"/>
  <c r="E38" i="39"/>
  <c r="I11" i="39"/>
  <c r="G11" i="39"/>
  <c r="E11" i="39"/>
  <c r="I7" i="39"/>
  <c r="G7" i="39"/>
  <c r="E7" i="39"/>
  <c r="D71" i="39"/>
  <c r="E71" i="39"/>
  <c r="F71" i="39" s="1"/>
  <c r="G71" i="39" s="1"/>
  <c r="H71" i="39" s="1"/>
  <c r="I71" i="39" s="1"/>
  <c r="J71" i="39" s="1"/>
  <c r="K71" i="39" s="1"/>
  <c r="L71" i="39" s="1"/>
  <c r="M71" i="39" s="1"/>
  <c r="N71" i="39" s="1"/>
  <c r="O71" i="39" s="1"/>
  <c r="I5" i="39"/>
  <c r="G5" i="39"/>
  <c r="E5" i="39"/>
  <c r="L20" i="77"/>
  <c r="L22" i="77" s="1"/>
  <c r="J27" i="77"/>
  <c r="U3" i="43"/>
  <c r="U2" i="43"/>
  <c r="Y6" i="1"/>
  <c r="Y9" i="1" s="1"/>
  <c r="I18" i="77"/>
  <c r="I20" i="77"/>
  <c r="H20" i="77"/>
  <c r="I23" i="66"/>
  <c r="I4" i="90"/>
  <c r="I5" i="90"/>
  <c r="I6" i="90"/>
  <c r="I7" i="90"/>
  <c r="I8" i="90"/>
  <c r="I3" i="90"/>
  <c r="F9" i="90"/>
  <c r="H18" i="77"/>
  <c r="E24" i="77"/>
  <c r="F21" i="77"/>
  <c r="E19" i="77"/>
  <c r="E21" i="77" s="1"/>
  <c r="F24" i="77"/>
  <c r="G24" i="77"/>
  <c r="G2" i="89"/>
  <c r="H113" i="89"/>
  <c r="F113" i="89"/>
  <c r="N99" i="89"/>
  <c r="N108" i="89" s="1"/>
  <c r="M99" i="89"/>
  <c r="L99" i="89"/>
  <c r="K99" i="89"/>
  <c r="J99" i="89"/>
  <c r="J108" i="89" s="1"/>
  <c r="I99" i="89"/>
  <c r="H99" i="89"/>
  <c r="G99" i="89"/>
  <c r="F99" i="89"/>
  <c r="F108" i="89" s="1"/>
  <c r="E99" i="89"/>
  <c r="D99" i="89"/>
  <c r="C99" i="89"/>
  <c r="N100" i="89"/>
  <c r="J100" i="89"/>
  <c r="F100" i="89"/>
  <c r="M88" i="89"/>
  <c r="N88" i="89" s="1"/>
  <c r="K88" i="89"/>
  <c r="J88" i="89" s="1"/>
  <c r="F81" i="89"/>
  <c r="H88" i="89" s="1"/>
  <c r="D88" i="89"/>
  <c r="G18" i="20"/>
  <c r="B88" i="89"/>
  <c r="M87" i="89"/>
  <c r="N87" i="89"/>
  <c r="K87" i="89"/>
  <c r="J87" i="89"/>
  <c r="D87" i="89"/>
  <c r="M86" i="89"/>
  <c r="N86" i="89" s="1"/>
  <c r="K86" i="89"/>
  <c r="J86" i="89" s="1"/>
  <c r="D86" i="89"/>
  <c r="G20" i="20"/>
  <c r="B86" i="89"/>
  <c r="M85" i="89"/>
  <c r="N85" i="89"/>
  <c r="K85" i="89"/>
  <c r="J85" i="89"/>
  <c r="D85" i="89"/>
  <c r="G19" i="20"/>
  <c r="B85" i="89" s="1"/>
  <c r="M84" i="89"/>
  <c r="N84" i="89" s="1"/>
  <c r="K84" i="89"/>
  <c r="J84" i="89" s="1"/>
  <c r="D84" i="89"/>
  <c r="B84" i="89"/>
  <c r="M83" i="89"/>
  <c r="N83" i="89" s="1"/>
  <c r="K83" i="89"/>
  <c r="J83" i="89" s="1"/>
  <c r="D83" i="89"/>
  <c r="B83" i="89"/>
  <c r="M82" i="89"/>
  <c r="N82" i="89" s="1"/>
  <c r="K82" i="89"/>
  <c r="J82" i="89" s="1"/>
  <c r="D82" i="89"/>
  <c r="G16" i="20"/>
  <c r="B82" i="89"/>
  <c r="M81" i="89"/>
  <c r="N81" i="89"/>
  <c r="K81" i="89"/>
  <c r="J81" i="89"/>
  <c r="D81" i="89"/>
  <c r="E81" i="89"/>
  <c r="B79" i="89" s="1"/>
  <c r="G15" i="20"/>
  <c r="B81" i="89"/>
  <c r="M78" i="89"/>
  <c r="N78" i="89" s="1"/>
  <c r="K78" i="89"/>
  <c r="J78" i="89" s="1"/>
  <c r="F70" i="89"/>
  <c r="H78" i="89" s="1"/>
  <c r="D78" i="89"/>
  <c r="M77" i="89"/>
  <c r="N77" i="89"/>
  <c r="K77" i="89"/>
  <c r="J77" i="89"/>
  <c r="D77" i="89"/>
  <c r="C20" i="20"/>
  <c r="M76" i="89"/>
  <c r="N76" i="89" s="1"/>
  <c r="K76" i="89"/>
  <c r="J76" i="89" s="1"/>
  <c r="D76" i="89"/>
  <c r="M75" i="89"/>
  <c r="N75" i="89"/>
  <c r="K75" i="89"/>
  <c r="J75" i="89"/>
  <c r="D75" i="89"/>
  <c r="C22" i="20"/>
  <c r="B75" i="89" s="1"/>
  <c r="M74" i="89"/>
  <c r="N74" i="89" s="1"/>
  <c r="K74" i="89"/>
  <c r="J74" i="89" s="1"/>
  <c r="D74" i="89"/>
  <c r="C21" i="20"/>
  <c r="B74" i="89"/>
  <c r="M73" i="89"/>
  <c r="N73" i="89"/>
  <c r="K73" i="89"/>
  <c r="J73" i="89"/>
  <c r="D73" i="89"/>
  <c r="M72" i="89"/>
  <c r="N72" i="89" s="1"/>
  <c r="K72" i="89"/>
  <c r="J72" i="89" s="1"/>
  <c r="H72" i="89"/>
  <c r="D72" i="89"/>
  <c r="B72" i="89"/>
  <c r="M71" i="89"/>
  <c r="N71" i="89"/>
  <c r="K71" i="89"/>
  <c r="J71" i="89"/>
  <c r="D71" i="89"/>
  <c r="C18" i="20"/>
  <c r="M70" i="89"/>
  <c r="N70" i="89" s="1"/>
  <c r="K70" i="89"/>
  <c r="J70" i="89" s="1"/>
  <c r="D70" i="89"/>
  <c r="C15" i="20"/>
  <c r="B70" i="89" s="1"/>
  <c r="B66" i="89"/>
  <c r="B61" i="89"/>
  <c r="C17" i="20"/>
  <c r="B59" i="89"/>
  <c r="M56" i="89"/>
  <c r="N56" i="89"/>
  <c r="K56" i="89"/>
  <c r="J56" i="89"/>
  <c r="F48" i="89"/>
  <c r="H56" i="89"/>
  <c r="D56" i="89"/>
  <c r="M55" i="89"/>
  <c r="N55" i="89"/>
  <c r="K55" i="89"/>
  <c r="J55" i="89"/>
  <c r="D55" i="89"/>
  <c r="B55" i="89"/>
  <c r="M54" i="89"/>
  <c r="N54" i="89"/>
  <c r="K54" i="89"/>
  <c r="J54" i="89"/>
  <c r="D54" i="89"/>
  <c r="M53" i="89"/>
  <c r="N53" i="89" s="1"/>
  <c r="K53" i="89"/>
  <c r="J53" i="89" s="1"/>
  <c r="D53" i="89"/>
  <c r="M52" i="89"/>
  <c r="N52" i="89"/>
  <c r="K52" i="89"/>
  <c r="J52" i="89"/>
  <c r="D52" i="89"/>
  <c r="M51" i="89"/>
  <c r="N51" i="89" s="1"/>
  <c r="K51" i="89"/>
  <c r="J51" i="89" s="1"/>
  <c r="D51" i="89"/>
  <c r="M50" i="89"/>
  <c r="N50" i="89"/>
  <c r="K50" i="89"/>
  <c r="J50" i="89"/>
  <c r="D50" i="89"/>
  <c r="B50" i="89"/>
  <c r="M49" i="89"/>
  <c r="N49" i="89"/>
  <c r="K49" i="89"/>
  <c r="J49" i="89"/>
  <c r="D49" i="89"/>
  <c r="M48" i="89"/>
  <c r="N48" i="89"/>
  <c r="K48" i="89"/>
  <c r="J48" i="89"/>
  <c r="D48" i="89"/>
  <c r="E48" i="89"/>
  <c r="B48" i="89"/>
  <c r="B46" i="89"/>
  <c r="H17" i="89"/>
  <c r="J17" i="89"/>
  <c r="J20" i="89"/>
  <c r="H39" i="89"/>
  <c r="H38" i="89"/>
  <c r="H37" i="89"/>
  <c r="D5" i="89"/>
  <c r="F36" i="89"/>
  <c r="H36" i="89"/>
  <c r="F35" i="89"/>
  <c r="H35" i="89"/>
  <c r="F34" i="89"/>
  <c r="H34" i="89"/>
  <c r="F33" i="89"/>
  <c r="H33" i="89"/>
  <c r="C18" i="89"/>
  <c r="I19" i="89"/>
  <c r="E17" i="89"/>
  <c r="F15" i="89"/>
  <c r="E15" i="89"/>
  <c r="D15" i="89"/>
  <c r="C15" i="89"/>
  <c r="C12" i="89"/>
  <c r="AJ9" i="89"/>
  <c r="AJ12" i="89"/>
  <c r="AI9" i="89"/>
  <c r="AI12" i="89"/>
  <c r="AH9" i="89"/>
  <c r="AH12" i="89"/>
  <c r="AG9" i="89"/>
  <c r="AG12" i="89"/>
  <c r="AF9" i="89"/>
  <c r="AF12" i="89"/>
  <c r="AE9" i="89"/>
  <c r="AE12" i="89"/>
  <c r="AD9" i="89"/>
  <c r="AD12" i="89"/>
  <c r="AC9" i="89"/>
  <c r="AC12" i="89"/>
  <c r="AB9" i="89"/>
  <c r="AB12" i="89"/>
  <c r="AA9" i="89"/>
  <c r="AA12" i="89"/>
  <c r="Z9" i="89"/>
  <c r="Z12" i="89"/>
  <c r="Y12" i="89"/>
  <c r="I2" i="89"/>
  <c r="C10" i="89"/>
  <c r="C11" i="89" s="1"/>
  <c r="AJ10" i="89"/>
  <c r="AI10" i="89"/>
  <c r="AH10" i="89"/>
  <c r="AG10" i="89"/>
  <c r="AF10" i="89"/>
  <c r="AE10" i="89"/>
  <c r="AD10" i="89"/>
  <c r="AC10" i="89"/>
  <c r="AB10" i="89"/>
  <c r="AA10" i="89"/>
  <c r="Z10" i="89"/>
  <c r="Y10" i="89"/>
  <c r="C9" i="89"/>
  <c r="N7" i="89"/>
  <c r="C7" i="89"/>
  <c r="A7" i="89"/>
  <c r="N4" i="89"/>
  <c r="M2" i="89"/>
  <c r="C6" i="89" s="1"/>
  <c r="M1" i="89"/>
  <c r="E111" i="88"/>
  <c r="H111" i="88"/>
  <c r="D126" i="88" s="1"/>
  <c r="D127" i="88"/>
  <c r="A126" i="88"/>
  <c r="E109" i="88"/>
  <c r="H109" i="88" s="1"/>
  <c r="A124" i="88"/>
  <c r="E107" i="88"/>
  <c r="C17" i="88"/>
  <c r="D17" i="88"/>
  <c r="C18" i="88"/>
  <c r="D18" i="88" s="1"/>
  <c r="C24" i="88"/>
  <c r="H105" i="88"/>
  <c r="H106" i="88"/>
  <c r="H103" i="88" s="1"/>
  <c r="D120" i="88" s="1"/>
  <c r="A122" i="88"/>
  <c r="D121" i="88"/>
  <c r="A120" i="88"/>
  <c r="K120" i="88"/>
  <c r="H112" i="88"/>
  <c r="H104" i="88"/>
  <c r="D101" i="88"/>
  <c r="C101" i="88"/>
  <c r="D89" i="88"/>
  <c r="C89" i="88" s="1"/>
  <c r="C87" i="88"/>
  <c r="C94" i="88" s="1"/>
  <c r="C91" i="88"/>
  <c r="C92" i="88"/>
  <c r="E90" i="88"/>
  <c r="C76" i="88"/>
  <c r="D77" i="88"/>
  <c r="H77" i="88"/>
  <c r="D48" i="88"/>
  <c r="M52" i="88"/>
  <c r="I55" i="88"/>
  <c r="D59" i="88"/>
  <c r="M55" i="88" s="1"/>
  <c r="J55" i="88"/>
  <c r="F59" i="88"/>
  <c r="E59" i="88"/>
  <c r="N55" i="88" s="1"/>
  <c r="F56" i="88"/>
  <c r="O55" i="88"/>
  <c r="K55" i="88"/>
  <c r="F55" i="88"/>
  <c r="O54" i="88"/>
  <c r="N54" i="88"/>
  <c r="O53" i="88"/>
  <c r="N53" i="88"/>
  <c r="F48" i="88"/>
  <c r="O52" i="88" s="1"/>
  <c r="E48" i="88"/>
  <c r="N52" i="88" s="1"/>
  <c r="K49" i="88"/>
  <c r="F33" i="88"/>
  <c r="D27" i="88"/>
  <c r="C25" i="88"/>
  <c r="L4" i="88"/>
  <c r="K4" i="88"/>
  <c r="H1" i="88"/>
  <c r="F15" i="87"/>
  <c r="F17" i="87"/>
  <c r="F18" i="87"/>
  <c r="F20" i="87"/>
  <c r="F23" i="87"/>
  <c r="D23" i="87" s="1"/>
  <c r="F21" i="87"/>
  <c r="F33" i="87"/>
  <c r="F61" i="87"/>
  <c r="AE11" i="1"/>
  <c r="M47" i="87"/>
  <c r="J50" i="87"/>
  <c r="K59" i="87"/>
  <c r="P74" i="87"/>
  <c r="Q72" i="87"/>
  <c r="P61" i="87"/>
  <c r="Q59" i="87"/>
  <c r="F59" i="87"/>
  <c r="Q58" i="87"/>
  <c r="Q51" i="87"/>
  <c r="D46" i="87"/>
  <c r="F31" i="87"/>
  <c r="M19" i="87"/>
  <c r="M17" i="87"/>
  <c r="F35" i="86"/>
  <c r="F36" i="86"/>
  <c r="E37" i="86"/>
  <c r="F38" i="86"/>
  <c r="F20" i="86"/>
  <c r="F21" i="86"/>
  <c r="F7" i="86"/>
  <c r="C7" i="86"/>
  <c r="E10" i="86"/>
  <c r="E9" i="86"/>
  <c r="F15" i="85"/>
  <c r="F17" i="85"/>
  <c r="F18" i="85"/>
  <c r="F20" i="85"/>
  <c r="F23" i="85"/>
  <c r="D23" i="85" s="1"/>
  <c r="F21" i="85"/>
  <c r="F33" i="85"/>
  <c r="F61" i="85" s="1"/>
  <c r="M47" i="85"/>
  <c r="J50" i="85"/>
  <c r="K59" i="85"/>
  <c r="P74" i="85"/>
  <c r="Q72" i="85"/>
  <c r="P61" i="85"/>
  <c r="Q59" i="85"/>
  <c r="F59" i="85"/>
  <c r="Q58" i="85"/>
  <c r="Q51" i="85"/>
  <c r="D46" i="85"/>
  <c r="F31" i="85"/>
  <c r="M19" i="85"/>
  <c r="M17" i="85"/>
  <c r="F35" i="84"/>
  <c r="F36" i="84"/>
  <c r="E37" i="84"/>
  <c r="F38" i="84"/>
  <c r="F20" i="84"/>
  <c r="F21" i="84"/>
  <c r="C40" i="84"/>
  <c r="F7" i="84"/>
  <c r="C7" i="84" s="1"/>
  <c r="C21" i="84"/>
  <c r="E10" i="84"/>
  <c r="E9" i="84"/>
  <c r="E111" i="83"/>
  <c r="H111" i="83" s="1"/>
  <c r="D126" i="83"/>
  <c r="D127" i="83" s="1"/>
  <c r="A126" i="83"/>
  <c r="E109" i="83"/>
  <c r="H109" i="83"/>
  <c r="A124" i="83"/>
  <c r="E107" i="83"/>
  <c r="A122" i="83" s="1"/>
  <c r="C17" i="83"/>
  <c r="D17" i="83"/>
  <c r="C18" i="83" s="1"/>
  <c r="D18" i="83" s="1"/>
  <c r="C24" i="83"/>
  <c r="H105" i="83"/>
  <c r="H106" i="83"/>
  <c r="H103" i="83"/>
  <c r="D120" i="83"/>
  <c r="A120" i="83"/>
  <c r="H112" i="83"/>
  <c r="H104" i="83"/>
  <c r="D101" i="83"/>
  <c r="C101" i="83"/>
  <c r="D89" i="83"/>
  <c r="C89" i="83"/>
  <c r="C87" i="83" s="1"/>
  <c r="C91" i="83"/>
  <c r="E90" i="83"/>
  <c r="C76" i="83"/>
  <c r="D77" i="83"/>
  <c r="H77" i="83"/>
  <c r="D48" i="83"/>
  <c r="M52" i="83" s="1"/>
  <c r="I55" i="83"/>
  <c r="D59" i="83"/>
  <c r="M55" i="83"/>
  <c r="J55" i="83"/>
  <c r="F59" i="83"/>
  <c r="O55" i="83" s="1"/>
  <c r="E59" i="83"/>
  <c r="F56" i="83"/>
  <c r="O54" i="83" s="1"/>
  <c r="N55" i="83"/>
  <c r="K55" i="83"/>
  <c r="F55" i="83"/>
  <c r="N54" i="83"/>
  <c r="O53" i="83"/>
  <c r="N53" i="83"/>
  <c r="F48" i="83"/>
  <c r="O52" i="83"/>
  <c r="E48" i="83"/>
  <c r="N52" i="83"/>
  <c r="K49" i="83"/>
  <c r="F33" i="83"/>
  <c r="D27" i="83"/>
  <c r="C25" i="83"/>
  <c r="L4" i="83"/>
  <c r="K4" i="83"/>
  <c r="H1" i="83"/>
  <c r="F35" i="82"/>
  <c r="F36" i="82"/>
  <c r="E37" i="82"/>
  <c r="F38" i="82"/>
  <c r="F20" i="82"/>
  <c r="F21" i="82"/>
  <c r="F7" i="82"/>
  <c r="C7" i="82"/>
  <c r="E10" i="82"/>
  <c r="E9" i="82"/>
  <c r="F15" i="81"/>
  <c r="F17" i="81"/>
  <c r="F18" i="81"/>
  <c r="F20" i="81"/>
  <c r="F23" i="81"/>
  <c r="D24" i="81" s="1"/>
  <c r="F21" i="81"/>
  <c r="F33" i="81"/>
  <c r="F61" i="81" s="1"/>
  <c r="M47" i="81"/>
  <c r="J50" i="81"/>
  <c r="K59" i="81"/>
  <c r="P74" i="81" s="1"/>
  <c r="Q72" i="81"/>
  <c r="Q59" i="81"/>
  <c r="F59" i="81"/>
  <c r="Q58" i="81"/>
  <c r="Q51" i="81"/>
  <c r="D46" i="81"/>
  <c r="F31" i="81"/>
  <c r="M19" i="81"/>
  <c r="M17" i="81"/>
  <c r="F15" i="80"/>
  <c r="F17" i="80"/>
  <c r="F18" i="80"/>
  <c r="F20" i="80"/>
  <c r="F23" i="80"/>
  <c r="D23" i="80" s="1"/>
  <c r="F21" i="80"/>
  <c r="F33" i="80"/>
  <c r="F61" i="80" s="1"/>
  <c r="M47" i="80"/>
  <c r="J50" i="80"/>
  <c r="K59" i="80"/>
  <c r="P74" i="80"/>
  <c r="Q72" i="80"/>
  <c r="P61" i="80"/>
  <c r="Q59" i="80"/>
  <c r="F59" i="80"/>
  <c r="Q58" i="80"/>
  <c r="Q51" i="80"/>
  <c r="D46" i="80"/>
  <c r="F31" i="80"/>
  <c r="M19" i="80"/>
  <c r="M17" i="80"/>
  <c r="E111" i="79"/>
  <c r="E109" i="79"/>
  <c r="H109" i="79"/>
  <c r="A124" i="79"/>
  <c r="E107" i="79"/>
  <c r="A122" i="79" s="1"/>
  <c r="C17" i="79"/>
  <c r="D17" i="79"/>
  <c r="C24" i="79"/>
  <c r="H105" i="79"/>
  <c r="H106" i="79"/>
  <c r="H103" i="79"/>
  <c r="D120" i="79"/>
  <c r="A120" i="79"/>
  <c r="H104" i="79"/>
  <c r="D101" i="79"/>
  <c r="C101" i="79"/>
  <c r="D89" i="79"/>
  <c r="C89" i="79"/>
  <c r="C87" i="79" s="1"/>
  <c r="C91" i="79"/>
  <c r="E90" i="79"/>
  <c r="C76" i="79"/>
  <c r="D77" i="79"/>
  <c r="H77" i="79"/>
  <c r="D48" i="79"/>
  <c r="M52" i="79" s="1"/>
  <c r="I55" i="79"/>
  <c r="D59" i="79"/>
  <c r="M55" i="79"/>
  <c r="J55" i="79"/>
  <c r="F59" i="79"/>
  <c r="O55" i="79" s="1"/>
  <c r="E59" i="79"/>
  <c r="F56" i="79"/>
  <c r="O54" i="79" s="1"/>
  <c r="N55" i="79"/>
  <c r="K55" i="79"/>
  <c r="F55" i="79"/>
  <c r="N54" i="79"/>
  <c r="O53" i="79"/>
  <c r="N53" i="79"/>
  <c r="F48" i="79"/>
  <c r="O52" i="79"/>
  <c r="E48" i="79"/>
  <c r="N52" i="79"/>
  <c r="K49" i="79"/>
  <c r="F33" i="79"/>
  <c r="D27" i="79"/>
  <c r="C25" i="79"/>
  <c r="L4" i="79"/>
  <c r="K4" i="79"/>
  <c r="H1" i="79"/>
  <c r="E111" i="78"/>
  <c r="H111" i="78"/>
  <c r="D126" i="78" s="1"/>
  <c r="D127" i="78"/>
  <c r="A126" i="78"/>
  <c r="E109" i="78"/>
  <c r="H109" i="78" s="1"/>
  <c r="A124" i="78"/>
  <c r="E107" i="78"/>
  <c r="C17" i="78"/>
  <c r="D17" i="78"/>
  <c r="C18" i="78"/>
  <c r="D18" i="78" s="1"/>
  <c r="C24" i="78"/>
  <c r="H105" i="78"/>
  <c r="H106" i="78"/>
  <c r="H103" i="78" s="1"/>
  <c r="D120" i="78" s="1"/>
  <c r="A122" i="78"/>
  <c r="D121" i="78"/>
  <c r="A120" i="78"/>
  <c r="K120" i="78"/>
  <c r="H112" i="78"/>
  <c r="H104" i="78"/>
  <c r="D101" i="78"/>
  <c r="C101" i="78"/>
  <c r="D89" i="78"/>
  <c r="C89" i="78" s="1"/>
  <c r="C87" i="78"/>
  <c r="C94" i="78" s="1"/>
  <c r="C91" i="78"/>
  <c r="C92" i="78"/>
  <c r="E90" i="78"/>
  <c r="C76" i="78"/>
  <c r="D77" i="78"/>
  <c r="H77" i="78"/>
  <c r="D48" i="78"/>
  <c r="M52" i="78"/>
  <c r="I55" i="78"/>
  <c r="D59" i="78"/>
  <c r="M55" i="78" s="1"/>
  <c r="J55" i="78"/>
  <c r="F59" i="78"/>
  <c r="E59" i="78"/>
  <c r="N55" i="78" s="1"/>
  <c r="F56" i="78"/>
  <c r="O55" i="78"/>
  <c r="K55" i="78"/>
  <c r="F55" i="78"/>
  <c r="O54" i="78"/>
  <c r="N54" i="78"/>
  <c r="O53" i="78"/>
  <c r="N53" i="78"/>
  <c r="F48" i="78"/>
  <c r="O52" i="78" s="1"/>
  <c r="E48" i="78"/>
  <c r="N52" i="78" s="1"/>
  <c r="K49" i="78"/>
  <c r="F33" i="78"/>
  <c r="D27" i="78"/>
  <c r="C25" i="78"/>
  <c r="L4" i="78"/>
  <c r="K4" i="78"/>
  <c r="H1" i="78"/>
  <c r="N7" i="1"/>
  <c r="N8" i="1" s="1"/>
  <c r="N9" i="1" s="1"/>
  <c r="N10" i="1" s="1"/>
  <c r="J7" i="1"/>
  <c r="J8" i="1" s="1"/>
  <c r="J9" i="1" s="1"/>
  <c r="J10" i="1" s="1"/>
  <c r="D12" i="77"/>
  <c r="N6" i="71"/>
  <c r="N5" i="71"/>
  <c r="N7" i="71"/>
  <c r="N8" i="71"/>
  <c r="N9" i="71"/>
  <c r="N10" i="71"/>
  <c r="N11" i="71"/>
  <c r="B11" i="71" s="1"/>
  <c r="B10" i="71" s="1"/>
  <c r="B9" i="71" s="1"/>
  <c r="N12" i="71"/>
  <c r="N13" i="71"/>
  <c r="N14" i="71"/>
  <c r="N15" i="71"/>
  <c r="N16" i="71"/>
  <c r="N17" i="71"/>
  <c r="N18" i="71"/>
  <c r="N19" i="71"/>
  <c r="N20" i="71"/>
  <c r="N21" i="71"/>
  <c r="N22" i="71"/>
  <c r="X5" i="71"/>
  <c r="AH5" i="71"/>
  <c r="AG5" i="71"/>
  <c r="AE5" i="71"/>
  <c r="AF5" i="71"/>
  <c r="AD5" i="71"/>
  <c r="Q6" i="71"/>
  <c r="Q5" i="71"/>
  <c r="Q7" i="71"/>
  <c r="Q8" i="71"/>
  <c r="Q9" i="71"/>
  <c r="Q10" i="71"/>
  <c r="Q11" i="71"/>
  <c r="F11" i="71" s="1"/>
  <c r="F10" i="71" s="1"/>
  <c r="F9" i="71" s="1"/>
  <c r="Q12" i="71"/>
  <c r="Q13" i="71"/>
  <c r="F14" i="71" s="1"/>
  <c r="F15" i="71" s="1"/>
  <c r="Q14" i="71"/>
  <c r="Q15" i="71"/>
  <c r="Q16" i="71"/>
  <c r="Q17" i="71"/>
  <c r="F18" i="71" s="1"/>
  <c r="F19" i="71" s="1"/>
  <c r="Q18" i="71"/>
  <c r="Q19" i="71"/>
  <c r="Q20" i="71"/>
  <c r="Q21" i="71"/>
  <c r="F22" i="71" s="1"/>
  <c r="F23" i="71" s="1"/>
  <c r="Q22" i="71"/>
  <c r="AB5" i="71"/>
  <c r="P6" i="71"/>
  <c r="P5" i="7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C7" i="71"/>
  <c r="B7" i="71"/>
  <c r="B6" i="71" s="1"/>
  <c r="B5" i="71" s="1"/>
  <c r="B2" i="1"/>
  <c r="M47" i="83" s="1"/>
  <c r="D8" i="71"/>
  <c r="C11" i="71"/>
  <c r="E11" i="71"/>
  <c r="D12" i="71"/>
  <c r="B13" i="71"/>
  <c r="C13" i="71"/>
  <c r="E13" i="71"/>
  <c r="E14" i="71" s="1"/>
  <c r="E15" i="71" s="1"/>
  <c r="F13" i="71"/>
  <c r="B14" i="71"/>
  <c r="B15" i="71" s="1"/>
  <c r="D16" i="71"/>
  <c r="B17" i="71"/>
  <c r="C17" i="71"/>
  <c r="E17" i="71"/>
  <c r="E18" i="71" s="1"/>
  <c r="F17" i="71"/>
  <c r="B18" i="71"/>
  <c r="B19" i="71" s="1"/>
  <c r="E19" i="71"/>
  <c r="U19" i="71" s="1"/>
  <c r="D20" i="71"/>
  <c r="B21" i="71"/>
  <c r="C21" i="71"/>
  <c r="E21" i="71"/>
  <c r="E22" i="71" s="1"/>
  <c r="E23" i="71" s="1"/>
  <c r="F21" i="71"/>
  <c r="B22" i="71"/>
  <c r="B23" i="71" s="1"/>
  <c r="G2" i="43"/>
  <c r="G17" i="43"/>
  <c r="I17" i="43"/>
  <c r="C17" i="43"/>
  <c r="J20" i="43"/>
  <c r="F39" i="43"/>
  <c r="F37" i="43"/>
  <c r="F36" i="43"/>
  <c r="F34" i="43"/>
  <c r="M47" i="67"/>
  <c r="J53" i="67" s="1"/>
  <c r="F1" i="67" s="1"/>
  <c r="M47" i="15"/>
  <c r="C18" i="43"/>
  <c r="AD5" i="3"/>
  <c r="AH5" i="3"/>
  <c r="AL5" i="3"/>
  <c r="AP5" i="3"/>
  <c r="F33" i="43"/>
  <c r="H33" i="43"/>
  <c r="C10" i="43"/>
  <c r="C11" i="43" s="1"/>
  <c r="C9" i="43"/>
  <c r="C7" i="43"/>
  <c r="C15" i="43"/>
  <c r="D15" i="43"/>
  <c r="E15" i="43"/>
  <c r="F15" i="43"/>
  <c r="C12" i="43" s="1"/>
  <c r="C99" i="43"/>
  <c r="C100" i="43"/>
  <c r="C108"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D13" i="3"/>
  <c r="BG13" i="3"/>
  <c r="BH13" i="3"/>
  <c r="BI13" i="3"/>
  <c r="BJ13" i="3"/>
  <c r="BK13" i="3"/>
  <c r="BM13" i="3"/>
  <c r="BN13" i="3"/>
  <c r="BO13" i="3"/>
  <c r="BP13" i="3"/>
  <c r="BQ13" i="3"/>
  <c r="BR13" i="3"/>
  <c r="BL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O587" i="3"/>
  <c r="BP587" i="3"/>
  <c r="BQ587" i="3"/>
  <c r="BR587" i="3"/>
  <c r="BS587" i="3"/>
  <c r="BT587"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s="1"/>
  <c r="X6" i="71"/>
  <c r="AB6" i="71"/>
  <c r="AA6" i="71"/>
  <c r="Y6" i="71"/>
  <c r="Z6" i="71"/>
  <c r="T7" i="71"/>
  <c r="S7" i="71"/>
  <c r="V7" i="71"/>
  <c r="AB7" i="71"/>
  <c r="Y7" i="71"/>
  <c r="Z7" i="71" s="1"/>
  <c r="X7" i="71"/>
  <c r="AA7"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L20" i="4"/>
  <c r="L21" i="4"/>
  <c r="L22" i="4"/>
  <c r="A15" i="62"/>
  <c r="B61" i="72" s="1"/>
  <c r="A14" i="62"/>
  <c r="B60" i="72" s="1"/>
  <c r="A13" i="62"/>
  <c r="B59" i="72" s="1"/>
  <c r="A19" i="62"/>
  <c r="A12" i="62"/>
  <c r="B58" i="72"/>
  <c r="A120" i="9"/>
  <c r="H2" i="52"/>
  <c r="A1" i="52"/>
  <c r="A3" i="53"/>
  <c r="A15" i="51"/>
  <c r="B12" i="72"/>
  <c r="C76" i="9"/>
  <c r="I107" i="40"/>
  <c r="K6" i="4"/>
  <c r="K56" i="88"/>
  <c r="B22" i="31"/>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A10" i="52" s="1"/>
  <c r="B44" i="72"/>
  <c r="B42" i="72"/>
  <c r="B69" i="72"/>
  <c r="B68" i="72"/>
  <c r="B63" i="72"/>
  <c r="B62" i="72"/>
  <c r="B16" i="72"/>
  <c r="B65" i="72"/>
  <c r="B66" i="72"/>
  <c r="B10" i="72"/>
  <c r="C53" i="10"/>
  <c r="B51" i="10"/>
  <c r="B19" i="72"/>
  <c r="A18" i="51"/>
  <c r="B13" i="72" s="1"/>
  <c r="B49" i="48"/>
  <c r="B5" i="72" s="1"/>
  <c r="I19" i="43"/>
  <c r="D72" i="71"/>
  <c r="F71" i="71"/>
  <c r="F70" i="71" s="1"/>
  <c r="E71" i="71"/>
  <c r="E70" i="71"/>
  <c r="E69" i="71" s="1"/>
  <c r="C71" i="71"/>
  <c r="D71" i="71" s="1"/>
  <c r="B71" i="71"/>
  <c r="B70" i="71" s="1"/>
  <c r="F69" i="71"/>
  <c r="B69" i="71"/>
  <c r="D68" i="71"/>
  <c r="F67" i="71"/>
  <c r="F66" i="71" s="1"/>
  <c r="E67" i="71"/>
  <c r="E66" i="71"/>
  <c r="E65" i="71" s="1"/>
  <c r="C67" i="71"/>
  <c r="B67" i="71"/>
  <c r="B66" i="71" s="1"/>
  <c r="F65" i="71"/>
  <c r="B65"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D48" i="71"/>
  <c r="Q47" i="71"/>
  <c r="P47" i="71"/>
  <c r="O47" i="71"/>
  <c r="N47" i="71"/>
  <c r="Q46" i="71"/>
  <c r="P46" i="71"/>
  <c r="O46" i="71"/>
  <c r="N46" i="71"/>
  <c r="Q45" i="71"/>
  <c r="P45" i="71"/>
  <c r="O45" i="71"/>
  <c r="N45" i="71"/>
  <c r="Q44" i="71"/>
  <c r="F45" i="71"/>
  <c r="F46" i="71" s="1"/>
  <c r="F47" i="71" s="1"/>
  <c r="V47" i="71" s="1"/>
  <c r="P44" i="71"/>
  <c r="E45" i="71" s="1"/>
  <c r="E46" i="71" s="1"/>
  <c r="O44" i="71"/>
  <c r="C45" i="71" s="1"/>
  <c r="C46" i="71" s="1"/>
  <c r="C47" i="71" s="1"/>
  <c r="T47"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D42" i="71" s="1"/>
  <c r="N40" i="71"/>
  <c r="B41" i="71"/>
  <c r="B42" i="71" s="1"/>
  <c r="B43" i="71" s="1"/>
  <c r="S43" i="71" s="1"/>
  <c r="D40" i="71"/>
  <c r="Q39" i="71"/>
  <c r="P39" i="71"/>
  <c r="O39" i="71"/>
  <c r="N39" i="71"/>
  <c r="Q38" i="71"/>
  <c r="P38" i="71"/>
  <c r="O38" i="71"/>
  <c r="N38" i="71"/>
  <c r="Q37" i="71"/>
  <c r="P37" i="71"/>
  <c r="O37" i="71"/>
  <c r="N37" i="71"/>
  <c r="O36" i="71"/>
  <c r="C37" i="71"/>
  <c r="C38" i="71" s="1"/>
  <c r="D38" i="71" s="1"/>
  <c r="Q36" i="71"/>
  <c r="F37" i="71"/>
  <c r="F38" i="71" s="1"/>
  <c r="F39" i="71" s="1"/>
  <c r="V39" i="71" s="1"/>
  <c r="P36" i="71"/>
  <c r="E37" i="71" s="1"/>
  <c r="E38" i="71" s="1"/>
  <c r="E39" i="71" s="1"/>
  <c r="U39" i="71" s="1"/>
  <c r="N36" i="71"/>
  <c r="B37" i="71" s="1"/>
  <c r="B38" i="71"/>
  <c r="B39" i="71" s="1"/>
  <c r="S39" i="71" s="1"/>
  <c r="D36" i="71"/>
  <c r="Q35" i="71"/>
  <c r="P35" i="71"/>
  <c r="O35" i="71"/>
  <c r="N35" i="71"/>
  <c r="Q34" i="71"/>
  <c r="P34" i="71"/>
  <c r="O34" i="71"/>
  <c r="N34" i="71"/>
  <c r="Q33" i="71"/>
  <c r="P33" i="71"/>
  <c r="O33" i="71"/>
  <c r="N33" i="71"/>
  <c r="Q32" i="71"/>
  <c r="F33" i="71" s="1"/>
  <c r="P32" i="71"/>
  <c r="E33" i="71" s="1"/>
  <c r="E34" i="71" s="1"/>
  <c r="E35" i="71" s="1"/>
  <c r="U35" i="71" s="1"/>
  <c r="O32" i="71"/>
  <c r="C33" i="71"/>
  <c r="C34" i="71" s="1"/>
  <c r="D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D29" i="71" s="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F34" i="71"/>
  <c r="F35" i="71" s="1"/>
  <c r="V35" i="71" s="1"/>
  <c r="Y3" i="71"/>
  <c r="Z3" i="71"/>
  <c r="Y8" i="71"/>
  <c r="Z8" i="71"/>
  <c r="Y9" i="71"/>
  <c r="Z9" i="71"/>
  <c r="Y10" i="71"/>
  <c r="Z10" i="71"/>
  <c r="Y11" i="71"/>
  <c r="Z11" i="71"/>
  <c r="X8" i="71"/>
  <c r="X9" i="71"/>
  <c r="X10" i="71"/>
  <c r="X3" i="71"/>
  <c r="X11" i="71"/>
  <c r="C30" i="71"/>
  <c r="D30" i="71" s="1"/>
  <c r="D33" i="71"/>
  <c r="E42" i="71"/>
  <c r="E43" i="71" s="1"/>
  <c r="U43" i="71" s="1"/>
  <c r="E47" i="71"/>
  <c r="U47" i="71" s="1"/>
  <c r="U51" i="71"/>
  <c r="E50" i="71"/>
  <c r="E49" i="71" s="1"/>
  <c r="P48" i="71" s="1"/>
  <c r="D37" i="71"/>
  <c r="D45" i="71"/>
  <c r="T51" i="71"/>
  <c r="O51" i="71"/>
  <c r="D51" i="71"/>
  <c r="C50" i="71"/>
  <c r="Q51" i="71"/>
  <c r="D55" i="71"/>
  <c r="C58" i="71"/>
  <c r="E58" i="71"/>
  <c r="E57" i="71" s="1"/>
  <c r="D59" i="71"/>
  <c r="E62" i="71"/>
  <c r="E61" i="71" s="1"/>
  <c r="D63" i="71"/>
  <c r="C70" i="71"/>
  <c r="D70" i="71" s="1"/>
  <c r="T11" i="71"/>
  <c r="S11" i="71"/>
  <c r="AB3" i="71"/>
  <c r="AB8" i="71"/>
  <c r="AB9" i="71"/>
  <c r="AB10" i="71"/>
  <c r="AB11" i="71"/>
  <c r="AA3" i="71"/>
  <c r="AA8" i="71"/>
  <c r="AA9" i="71"/>
  <c r="AA10" i="71"/>
  <c r="AA11" i="71"/>
  <c r="C49" i="71"/>
  <c r="O50" i="71"/>
  <c r="D50" i="71"/>
  <c r="D46" i="71"/>
  <c r="D58" i="71"/>
  <c r="C57" i="71"/>
  <c r="D57" i="71"/>
  <c r="C69" i="71"/>
  <c r="D69" i="71" s="1"/>
  <c r="C43" i="71"/>
  <c r="T43" i="71" s="1"/>
  <c r="P50" i="71"/>
  <c r="V11" i="71"/>
  <c r="P49" i="71"/>
  <c r="D49" i="71"/>
  <c r="D4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c r="D94" i="40"/>
  <c r="E94" i="40"/>
  <c r="F94" i="40" s="1"/>
  <c r="G94" i="40" s="1"/>
  <c r="F25" i="40"/>
  <c r="AA25" i="40"/>
  <c r="Q29" i="39"/>
  <c r="Z29" i="39"/>
  <c r="D103" i="39"/>
  <c r="E103" i="39"/>
  <c r="F103" i="39" s="1"/>
  <c r="F29" i="39"/>
  <c r="AA29" i="39"/>
  <c r="Q18" i="36"/>
  <c r="Z18" i="36"/>
  <c r="D66" i="36"/>
  <c r="E66" i="36"/>
  <c r="F66" i="36" s="1"/>
  <c r="G66" i="36" s="1"/>
  <c r="H18" i="36"/>
  <c r="F18" i="36"/>
  <c r="AA18" i="36" s="1"/>
  <c r="C18" i="36"/>
  <c r="Q18" i="35"/>
  <c r="Z18" i="35"/>
  <c r="D68" i="35"/>
  <c r="E68" i="35"/>
  <c r="F68" i="35" s="1"/>
  <c r="F18" i="35"/>
  <c r="AA18" i="35"/>
  <c r="C18" i="35"/>
  <c r="Q21" i="37"/>
  <c r="Z21" i="37" s="1"/>
  <c r="D77" i="37"/>
  <c r="E77" i="37" s="1"/>
  <c r="C21" i="37"/>
  <c r="Q21" i="34"/>
  <c r="Z21" i="34"/>
  <c r="D84" i="34"/>
  <c r="E84" i="34"/>
  <c r="F84" i="34" s="1"/>
  <c r="F21" i="34"/>
  <c r="AA21" i="34"/>
  <c r="C21" i="34"/>
  <c r="Q21" i="33"/>
  <c r="Z21" i="33" s="1"/>
  <c r="D83" i="33"/>
  <c r="E83" i="33" s="1"/>
  <c r="F83" i="33" s="1"/>
  <c r="G83" i="33" s="1"/>
  <c r="C21" i="33"/>
  <c r="C21" i="21"/>
  <c r="Q21" i="21"/>
  <c r="Z21" i="21" s="1"/>
  <c r="H19" i="21"/>
  <c r="D83" i="21"/>
  <c r="F21" i="21"/>
  <c r="D81" i="21"/>
  <c r="B86" i="43"/>
  <c r="B75" i="43"/>
  <c r="B55" i="43"/>
  <c r="B66" i="43"/>
  <c r="C25" i="40"/>
  <c r="C29" i="39"/>
  <c r="S25" i="40"/>
  <c r="S21" i="34"/>
  <c r="H25" i="40"/>
  <c r="AB25" i="40" s="1"/>
  <c r="J25" i="40"/>
  <c r="AC25" i="40" s="1"/>
  <c r="H29" i="39"/>
  <c r="G103" i="39"/>
  <c r="J29" i="39"/>
  <c r="AC29" i="39"/>
  <c r="J18" i="36"/>
  <c r="W18" i="36" s="1"/>
  <c r="H18" i="35"/>
  <c r="U18" i="35" s="1"/>
  <c r="S18" i="35"/>
  <c r="G68" i="35"/>
  <c r="J18" i="35"/>
  <c r="F77" i="37"/>
  <c r="G77" i="37" s="1"/>
  <c r="H21" i="37"/>
  <c r="F21" i="37"/>
  <c r="S21" i="37" s="1"/>
  <c r="H21" i="34"/>
  <c r="U21" i="34" s="1"/>
  <c r="H21" i="33"/>
  <c r="AB21" i="33" s="1"/>
  <c r="F21" i="33"/>
  <c r="E83" i="21"/>
  <c r="F83" i="21" s="1"/>
  <c r="G83" i="21" s="1"/>
  <c r="H1" i="69"/>
  <c r="W25" i="40"/>
  <c r="U25" i="40"/>
  <c r="AC18" i="36"/>
  <c r="AB21" i="37"/>
  <c r="U21" i="37"/>
  <c r="AB21" i="34"/>
  <c r="AA21" i="33"/>
  <c r="S21" i="33"/>
  <c r="AB18" i="35"/>
  <c r="AC18" i="35"/>
  <c r="W18" i="35"/>
  <c r="J21" i="37"/>
  <c r="G84" i="34"/>
  <c r="J21" i="34"/>
  <c r="J21" i="33"/>
  <c r="H21" i="21"/>
  <c r="F38" i="69"/>
  <c r="E37" i="69"/>
  <c r="F36" i="69"/>
  <c r="F35" i="69"/>
  <c r="F21" i="69"/>
  <c r="F20" i="69"/>
  <c r="E10" i="69"/>
  <c r="E9" i="69"/>
  <c r="F7" i="69"/>
  <c r="C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D46" i="67"/>
  <c r="F33" i="67"/>
  <c r="F61" i="67"/>
  <c r="F23" i="67"/>
  <c r="D24" i="67" s="1"/>
  <c r="F21" i="67"/>
  <c r="F20" i="67"/>
  <c r="M19" i="67"/>
  <c r="F18" i="67"/>
  <c r="F17" i="67"/>
  <c r="F15" i="67"/>
  <c r="S2" i="4"/>
  <c r="A2" i="88" s="1"/>
  <c r="A13" i="51"/>
  <c r="B11" i="72" s="1"/>
  <c r="S1" i="4"/>
  <c r="B1" i="4"/>
  <c r="D20" i="66"/>
  <c r="I19" i="66"/>
  <c r="I18" i="66"/>
  <c r="I17" i="66"/>
  <c r="I20" i="66"/>
  <c r="E15" i="66"/>
  <c r="I14" i="66"/>
  <c r="I13" i="66"/>
  <c r="I12" i="66"/>
  <c r="I15" i="66" s="1"/>
  <c r="I9" i="66"/>
  <c r="I8" i="66"/>
  <c r="I7" i="66"/>
  <c r="I6" i="66"/>
  <c r="N99" i="43"/>
  <c r="N108" i="43" s="1"/>
  <c r="E99" i="43"/>
  <c r="E108" i="43" s="1"/>
  <c r="F99" i="43"/>
  <c r="F108" i="43" s="1"/>
  <c r="G99" i="43"/>
  <c r="H99" i="43"/>
  <c r="H108" i="43" s="1"/>
  <c r="I99" i="43"/>
  <c r="I108" i="43" s="1"/>
  <c r="J99" i="43"/>
  <c r="J108" i="43" s="1"/>
  <c r="K99" i="43"/>
  <c r="L99" i="43"/>
  <c r="M99" i="43"/>
  <c r="M108" i="43" s="1"/>
  <c r="N100" i="43"/>
  <c r="E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2" i="1"/>
  <c r="AE13" i="1"/>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5" i="4"/>
  <c r="F7" i="1" s="1"/>
  <c r="F11" i="1"/>
  <c r="F12" i="1"/>
  <c r="F13" i="1"/>
  <c r="D6" i="1"/>
  <c r="D9" i="1"/>
  <c r="D10" i="1"/>
  <c r="D11" i="1"/>
  <c r="D12" i="1"/>
  <c r="D13" i="1"/>
  <c r="D7" i="1"/>
  <c r="D8" i="1"/>
  <c r="A7" i="1"/>
  <c r="A8" i="1"/>
  <c r="B8" i="1" s="1"/>
  <c r="E8" i="1" s="1"/>
  <c r="A9" i="1"/>
  <c r="A10" i="1"/>
  <c r="A11" i="1"/>
  <c r="R11" i="1" s="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B55" i="72"/>
  <c r="K4" i="9"/>
  <c r="A5" i="62"/>
  <c r="B72" i="72" s="1"/>
  <c r="A4" i="62"/>
  <c r="B70" i="72" s="1"/>
  <c r="F33" i="9"/>
  <c r="B37" i="48"/>
  <c r="B2" i="72" s="1"/>
  <c r="R35" i="4"/>
  <c r="Q35" i="4"/>
  <c r="P35" i="4"/>
  <c r="O35" i="4"/>
  <c r="N35" i="4"/>
  <c r="M35" i="4"/>
  <c r="L35" i="4"/>
  <c r="K34" i="4"/>
  <c r="T34" i="4"/>
  <c r="I15" i="4"/>
  <c r="H15" i="4"/>
  <c r="F10" i="1" s="1"/>
  <c r="G10" i="1" s="1"/>
  <c r="G15" i="4"/>
  <c r="F9" i="1" s="1"/>
  <c r="E15" i="4"/>
  <c r="F8" i="1" s="1"/>
  <c r="G8" i="1" s="1"/>
  <c r="D15" i="4"/>
  <c r="F19" i="4"/>
  <c r="F2" i="52"/>
  <c r="B50" i="72"/>
  <c r="D2" i="52"/>
  <c r="B46" i="72"/>
  <c r="B8" i="53"/>
  <c r="B23" i="72"/>
  <c r="L4" i="9"/>
  <c r="B17" i="72"/>
  <c r="A3" i="51"/>
  <c r="C8" i="11"/>
  <c r="B2" i="49"/>
  <c r="B23" i="49" s="1"/>
  <c r="B40" i="48"/>
  <c r="B3" i="72"/>
  <c r="I2" i="43"/>
  <c r="N1" i="43"/>
  <c r="F35" i="4"/>
  <c r="J55" i="39"/>
  <c r="H34" i="43"/>
  <c r="H35" i="43"/>
  <c r="H36" i="43"/>
  <c r="H37" i="43"/>
  <c r="A7" i="43"/>
  <c r="F33" i="15"/>
  <c r="F61" i="15" s="1"/>
  <c r="M19" i="15"/>
  <c r="O10" i="1"/>
  <c r="B22" i="1"/>
  <c r="G41" i="86" s="1"/>
  <c r="B23" i="1"/>
  <c r="B24" i="1"/>
  <c r="F34" i="84" s="1"/>
  <c r="B43" i="1"/>
  <c r="D78" i="9"/>
  <c r="F23" i="15"/>
  <c r="D24" i="15" s="1"/>
  <c r="O8" i="1"/>
  <c r="P8" i="1"/>
  <c r="O13" i="1"/>
  <c r="P13" i="1"/>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E19" i="86"/>
  <c r="B52" i="1"/>
  <c r="M20" i="87"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H30" i="36"/>
  <c r="F30" i="36"/>
  <c r="C26" i="35"/>
  <c r="C79" i="35" s="1"/>
  <c r="J31" i="35"/>
  <c r="H31" i="35"/>
  <c r="F31" i="35"/>
  <c r="D87" i="35"/>
  <c r="E87" i="35" s="1"/>
  <c r="F87" i="35"/>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H38" i="40"/>
  <c r="AB38" i="40" s="1"/>
  <c r="Q37" i="40"/>
  <c r="Z37" i="40" s="1"/>
  <c r="Q36" i="40"/>
  <c r="Z36" i="40" s="1"/>
  <c r="Q35" i="40"/>
  <c r="Z35" i="40" s="1"/>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F8" i="40"/>
  <c r="AA8" i="40" s="1"/>
  <c r="J38" i="39"/>
  <c r="W38" i="39" s="1"/>
  <c r="H38" i="39"/>
  <c r="AB38" i="39" s="1"/>
  <c r="F38" i="39"/>
  <c r="AA38" i="39" s="1"/>
  <c r="D124" i="39"/>
  <c r="E124" i="39" s="1"/>
  <c r="F124" i="39"/>
  <c r="G124" i="39" s="1"/>
  <c r="H124" i="39" s="1"/>
  <c r="I124" i="39" s="1"/>
  <c r="J124" i="39"/>
  <c r="K124" i="39" s="1"/>
  <c r="L124" i="39" s="1"/>
  <c r="M124" i="39" s="1"/>
  <c r="D120" i="39"/>
  <c r="B114" i="39"/>
  <c r="J37" i="39"/>
  <c r="W37" i="39" s="1"/>
  <c r="D109" i="39"/>
  <c r="E109" i="39" s="1"/>
  <c r="F109" i="39" s="1"/>
  <c r="G109" i="39" s="1"/>
  <c r="H109" i="39" s="1"/>
  <c r="I109" i="39" s="1"/>
  <c r="D107" i="39"/>
  <c r="E107" i="39"/>
  <c r="F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c r="I122" i="39" s="1"/>
  <c r="J122" i="39" s="1"/>
  <c r="K122" i="39" s="1"/>
  <c r="L122" i="39" s="1"/>
  <c r="M122" i="39" s="1"/>
  <c r="B104" i="39"/>
  <c r="D97" i="39"/>
  <c r="J23" i="39"/>
  <c r="D95" i="39"/>
  <c r="E95" i="39" s="1"/>
  <c r="F95" i="39" s="1"/>
  <c r="D93" i="39"/>
  <c r="E93" i="39" s="1"/>
  <c r="F93" i="39" s="1"/>
  <c r="D91" i="39"/>
  <c r="E91" i="39" s="1"/>
  <c r="F91" i="39"/>
  <c r="G91" i="39" s="1"/>
  <c r="D89" i="39"/>
  <c r="E89" i="39"/>
  <c r="F89" i="39" s="1"/>
  <c r="G89" i="39" s="1"/>
  <c r="B86" i="39"/>
  <c r="H14"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F105" i="37" s="1"/>
  <c r="G105" i="37" s="1"/>
  <c r="D103" i="37"/>
  <c r="J35" i="37"/>
  <c r="F97" i="37"/>
  <c r="E97" i="37"/>
  <c r="D97" i="37"/>
  <c r="C97" i="37"/>
  <c r="D96" i="37"/>
  <c r="E96" i="37" s="1"/>
  <c r="D94" i="37"/>
  <c r="E94" i="37" s="1"/>
  <c r="F94" i="37" s="1"/>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J12" i="37" s="1"/>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J23" i="36" s="1"/>
  <c r="D70" i="36"/>
  <c r="H22" i="36"/>
  <c r="AB22" i="36" s="1"/>
  <c r="D68" i="36"/>
  <c r="E68" i="36" s="1"/>
  <c r="F68" i="36"/>
  <c r="G68" i="36" s="1"/>
  <c r="D64" i="36"/>
  <c r="E64" i="36" s="1"/>
  <c r="F64" i="36"/>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B57" i="35"/>
  <c r="B61" i="35"/>
  <c r="B59" i="35"/>
  <c r="B131" i="34"/>
  <c r="B129" i="34"/>
  <c r="B127" i="34"/>
  <c r="B99" i="34"/>
  <c r="B97" i="34"/>
  <c r="B95" i="34"/>
  <c r="B93" i="34"/>
  <c r="B75" i="34"/>
  <c r="B73" i="34"/>
  <c r="B71" i="34"/>
  <c r="F12" i="34" s="1"/>
  <c r="AA12" i="34" s="1"/>
  <c r="B130" i="33"/>
  <c r="B128" i="33"/>
  <c r="B126" i="33"/>
  <c r="B98" i="33"/>
  <c r="B96" i="33"/>
  <c r="B94" i="33"/>
  <c r="B74" i="33"/>
  <c r="B72" i="33"/>
  <c r="B70" i="33"/>
  <c r="J12" i="33"/>
  <c r="AC12" i="33" s="1"/>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U12" i="34" s="1"/>
  <c r="S12" i="34"/>
  <c r="Q11" i="34"/>
  <c r="Z11" i="34"/>
  <c r="Q10" i="34"/>
  <c r="Z10" i="34"/>
  <c r="F10" i="34"/>
  <c r="AA10" i="34"/>
  <c r="Q9" i="34"/>
  <c r="Z9" i="34"/>
  <c r="F9" i="34"/>
  <c r="J8" i="34"/>
  <c r="AC8" i="34" s="1"/>
  <c r="H8" i="34"/>
  <c r="F8" i="34"/>
  <c r="S8" i="34" s="1"/>
  <c r="D121" i="33"/>
  <c r="E121" i="33"/>
  <c r="F109" i="33"/>
  <c r="E109" i="33"/>
  <c r="D109" i="33"/>
  <c r="C109" i="33"/>
  <c r="D91" i="33"/>
  <c r="E91" i="33"/>
  <c r="F91" i="33" s="1"/>
  <c r="G91" i="33" s="1"/>
  <c r="B88" i="33"/>
  <c r="J26" i="33"/>
  <c r="W26" i="33" s="1"/>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B88" i="43"/>
  <c r="B85" i="43"/>
  <c r="B82" i="43"/>
  <c r="B81" i="43"/>
  <c r="C24" i="20"/>
  <c r="B74" i="43"/>
  <c r="B77" i="43"/>
  <c r="B71" i="43"/>
  <c r="B59" i="43"/>
  <c r="C16" i="20"/>
  <c r="C17" i="39" s="1"/>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s="1"/>
  <c r="F19" i="21"/>
  <c r="AA19" i="21"/>
  <c r="E81" i="21"/>
  <c r="F81" i="21"/>
  <c r="G81" i="21" s="1"/>
  <c r="D77" i="21"/>
  <c r="E77" i="21" s="1"/>
  <c r="F77" i="21" s="1"/>
  <c r="G77" i="21" s="1"/>
  <c r="B130" i="21"/>
  <c r="B128" i="21"/>
  <c r="J45" i="21"/>
  <c r="B126" i="21"/>
  <c r="J44" i="21" s="1"/>
  <c r="B98" i="21"/>
  <c r="H31" i="21"/>
  <c r="AB31" i="21" s="1"/>
  <c r="B96" i="21"/>
  <c r="B94" i="21"/>
  <c r="J29" i="21" s="1"/>
  <c r="AC29" i="21" s="1"/>
  <c r="B92" i="21"/>
  <c r="B90" i="21"/>
  <c r="J27" i="21" s="1"/>
  <c r="AC27" i="21" s="1"/>
  <c r="W27" i="2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S5" i="3"/>
  <c r="T5" i="3"/>
  <c r="U5" i="3"/>
  <c r="V5" i="3"/>
  <c r="W5" i="3"/>
  <c r="X5" i="3"/>
  <c r="Y5" i="3"/>
  <c r="Z5" i="3"/>
  <c r="AA5" i="3"/>
  <c r="AB5" i="3"/>
  <c r="F5" i="3"/>
  <c r="F34" i="21"/>
  <c r="AA34" i="21" s="1"/>
  <c r="H34" i="21"/>
  <c r="F43" i="21"/>
  <c r="S43" i="21" s="1"/>
  <c r="H38" i="21"/>
  <c r="H43" i="21"/>
  <c r="F38" i="21"/>
  <c r="S38" i="21" s="1"/>
  <c r="F36" i="21"/>
  <c r="F39" i="21"/>
  <c r="J40" i="21"/>
  <c r="W40" i="21" s="1"/>
  <c r="H35" i="21"/>
  <c r="AB35" i="21" s="1"/>
  <c r="J8" i="21"/>
  <c r="AC8" i="21" s="1"/>
  <c r="H8" i="21"/>
  <c r="U8" i="21" s="1"/>
  <c r="H10" i="21"/>
  <c r="AB10" i="21" s="1"/>
  <c r="H39" i="21"/>
  <c r="J34" i="21"/>
  <c r="H36" i="21"/>
  <c r="U36" i="21" s="1"/>
  <c r="F35" i="21"/>
  <c r="J10" i="21"/>
  <c r="AC10" i="21" s="1"/>
  <c r="H26" i="21"/>
  <c r="AB26" i="21" s="1"/>
  <c r="AB19" i="21"/>
  <c r="J19" i="21"/>
  <c r="W19" i="21"/>
  <c r="J26" i="21"/>
  <c r="W26" i="21"/>
  <c r="F26" i="21"/>
  <c r="S26" i="21"/>
  <c r="AB41" i="21"/>
  <c r="S41" i="21"/>
  <c r="AA41" i="21"/>
  <c r="F45" i="39"/>
  <c r="S45" i="39" s="1"/>
  <c r="J45" i="39"/>
  <c r="J44" i="39"/>
  <c r="AC44" i="39" s="1"/>
  <c r="F36" i="39"/>
  <c r="H36" i="39"/>
  <c r="AB36" i="39" s="1"/>
  <c r="F35" i="39"/>
  <c r="AA35" i="39" s="1"/>
  <c r="J36" i="39"/>
  <c r="W40" i="39"/>
  <c r="W25" i="37"/>
  <c r="U30" i="37"/>
  <c r="W31" i="37"/>
  <c r="E103" i="37"/>
  <c r="F103" i="37" s="1"/>
  <c r="G103" i="37" s="1"/>
  <c r="H103" i="37" s="1"/>
  <c r="I103" i="37" s="1"/>
  <c r="J103" i="37" s="1"/>
  <c r="K103" i="37" s="1"/>
  <c r="L103" i="37" s="1"/>
  <c r="M103" i="37" s="1"/>
  <c r="F39" i="37"/>
  <c r="S39" i="37"/>
  <c r="U14" i="37"/>
  <c r="F29" i="36"/>
  <c r="W8" i="36"/>
  <c r="F16" i="36"/>
  <c r="AA16" i="36"/>
  <c r="W28" i="36"/>
  <c r="AC31" i="36"/>
  <c r="W31" i="36"/>
  <c r="U31" i="36"/>
  <c r="H22" i="35"/>
  <c r="U31" i="35"/>
  <c r="W22" i="35"/>
  <c r="S31" i="35"/>
  <c r="F36" i="34"/>
  <c r="J35" i="34"/>
  <c r="AC35" i="34" s="1"/>
  <c r="S34" i="34"/>
  <c r="U34" i="34"/>
  <c r="H39" i="33"/>
  <c r="AB39" i="33" s="1"/>
  <c r="F26" i="33"/>
  <c r="S9" i="33"/>
  <c r="U33" i="33"/>
  <c r="U35" i="33"/>
  <c r="S40" i="33"/>
  <c r="W33" i="33"/>
  <c r="W39" i="33"/>
  <c r="H39" i="37"/>
  <c r="AB39" i="37" s="1"/>
  <c r="S27" i="35"/>
  <c r="F11" i="40"/>
  <c r="AA11" i="40"/>
  <c r="H11" i="40"/>
  <c r="AB11" i="40"/>
  <c r="W8" i="40"/>
  <c r="AB39" i="40"/>
  <c r="AA9" i="40"/>
  <c r="U9" i="40"/>
  <c r="U38" i="40"/>
  <c r="U34" i="40"/>
  <c r="S38" i="40"/>
  <c r="F42" i="39"/>
  <c r="F41" i="39"/>
  <c r="S41" i="39" s="1"/>
  <c r="H40" i="39"/>
  <c r="AB40" i="39" s="1"/>
  <c r="H39" i="39"/>
  <c r="E101" i="39"/>
  <c r="J23" i="40"/>
  <c r="F21" i="40"/>
  <c r="J21" i="40"/>
  <c r="H42" i="39"/>
  <c r="J31" i="39"/>
  <c r="AC31" i="39" s="1"/>
  <c r="F27" i="39"/>
  <c r="S27" i="39" s="1"/>
  <c r="F11" i="21"/>
  <c r="S11" i="21" s="1"/>
  <c r="S40"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C12" i="34"/>
  <c r="AB12" i="35"/>
  <c r="W32" i="40"/>
  <c r="F37" i="39"/>
  <c r="AA37" i="39"/>
  <c r="U30" i="36"/>
  <c r="J30" i="35"/>
  <c r="H30" i="35"/>
  <c r="F22" i="35"/>
  <c r="AA22" i="35" s="1"/>
  <c r="H10" i="35"/>
  <c r="U10" i="35" s="1"/>
  <c r="AC16" i="36"/>
  <c r="H16" i="36"/>
  <c r="E85" i="36"/>
  <c r="F85" i="36" s="1"/>
  <c r="G85" i="36" s="1"/>
  <c r="H85" i="36" s="1"/>
  <c r="I85" i="36" s="1"/>
  <c r="J85" i="36" s="1"/>
  <c r="K85" i="36" s="1"/>
  <c r="L85" i="36" s="1"/>
  <c r="M85" i="36" s="1"/>
  <c r="J29" i="36"/>
  <c r="AC29" i="36"/>
  <c r="F12" i="36"/>
  <c r="F24" i="36"/>
  <c r="S10" i="36"/>
  <c r="S8" i="36"/>
  <c r="F14" i="35"/>
  <c r="AA14" i="35" s="1"/>
  <c r="F23" i="35"/>
  <c r="AA23" i="35" s="1"/>
  <c r="J32" i="35"/>
  <c r="AC32" i="35" s="1"/>
  <c r="J16" i="35"/>
  <c r="AC16" i="35" s="1"/>
  <c r="H16" i="35"/>
  <c r="U16" i="35" s="1"/>
  <c r="F16" i="35"/>
  <c r="S16" i="35" s="1"/>
  <c r="H14" i="35"/>
  <c r="J29" i="35"/>
  <c r="W29" i="35" s="1"/>
  <c r="H33" i="35"/>
  <c r="AB33" i="35"/>
  <c r="J20" i="35"/>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7" i="34"/>
  <c r="AA27" i="34"/>
  <c r="F25" i="34"/>
  <c r="S25" i="34"/>
  <c r="H23" i="34"/>
  <c r="U23" i="34"/>
  <c r="J23" i="34"/>
  <c r="F19" i="34"/>
  <c r="S19" i="34" s="1"/>
  <c r="H17" i="34"/>
  <c r="U17" i="34"/>
  <c r="F15" i="34"/>
  <c r="J15" i="34"/>
  <c r="AC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F23" i="40"/>
  <c r="AA23" i="40" s="1"/>
  <c r="F17" i="40"/>
  <c r="J17" i="40"/>
  <c r="F15" i="40"/>
  <c r="H15" i="40"/>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W36" i="34" s="1"/>
  <c r="H37" i="34"/>
  <c r="H25" i="34"/>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J10" i="35"/>
  <c r="W10" i="35" s="1"/>
  <c r="J14" i="21"/>
  <c r="F14" i="21"/>
  <c r="H14" i="21"/>
  <c r="U14" i="21" s="1"/>
  <c r="H28" i="21"/>
  <c r="F28" i="21"/>
  <c r="AA28" i="21" s="1"/>
  <c r="J28" i="21"/>
  <c r="W28" i="21" s="1"/>
  <c r="H30" i="21"/>
  <c r="F30" i="21"/>
  <c r="S30" i="21" s="1"/>
  <c r="J30" i="21"/>
  <c r="AC30" i="21" s="1"/>
  <c r="H44" i="21"/>
  <c r="H46" i="21"/>
  <c r="J46" i="21"/>
  <c r="F46" i="21"/>
  <c r="H26" i="33"/>
  <c r="U26" i="33"/>
  <c r="F33" i="35"/>
  <c r="S33" i="35"/>
  <c r="J33" i="35"/>
  <c r="AC33" i="35"/>
  <c r="F30" i="35"/>
  <c r="S30" i="35"/>
  <c r="H10" i="36"/>
  <c r="J14" i="36"/>
  <c r="AC14" i="36" s="1"/>
  <c r="H14" i="36"/>
  <c r="F28" i="36"/>
  <c r="AA28" i="36" s="1"/>
  <c r="H27" i="21"/>
  <c r="F27" i="21"/>
  <c r="AA27" i="21" s="1"/>
  <c r="H29" i="21"/>
  <c r="J31" i="21"/>
  <c r="F31" i="21"/>
  <c r="S31" i="21" s="1"/>
  <c r="F45" i="21"/>
  <c r="F27" i="33"/>
  <c r="AA27" i="33" s="1"/>
  <c r="J13" i="33"/>
  <c r="AC13" i="33" s="1"/>
  <c r="F31" i="33"/>
  <c r="AA31" i="33" s="1"/>
  <c r="H30" i="34"/>
  <c r="AB30" i="34" s="1"/>
  <c r="F32" i="34"/>
  <c r="AA32" i="34" s="1"/>
  <c r="J46" i="34"/>
  <c r="AC46" i="34" s="1"/>
  <c r="J26" i="36"/>
  <c r="W26" i="36"/>
  <c r="H28" i="36"/>
  <c r="U28" i="36"/>
  <c r="J11" i="36"/>
  <c r="AC11" i="36"/>
  <c r="H11" i="36"/>
  <c r="U11" i="36"/>
  <c r="F11" i="36"/>
  <c r="AA11" i="36"/>
  <c r="E89" i="37"/>
  <c r="F89" i="37" s="1"/>
  <c r="G89" i="37" s="1"/>
  <c r="H89" i="37" s="1"/>
  <c r="I89" i="37" s="1"/>
  <c r="J89" i="37" s="1"/>
  <c r="K89" i="37" s="1"/>
  <c r="L89" i="37" s="1"/>
  <c r="M89" i="37" s="1"/>
  <c r="J29" i="37"/>
  <c r="W29" i="37"/>
  <c r="F29" i="37"/>
  <c r="S29" i="37"/>
  <c r="H36" i="37"/>
  <c r="AB36" i="37" s="1"/>
  <c r="F107" i="37"/>
  <c r="J37" i="37"/>
  <c r="AC37" i="37"/>
  <c r="H37" i="37"/>
  <c r="U37" i="37"/>
  <c r="AC12" i="40"/>
  <c r="W12" i="40"/>
  <c r="H14" i="33"/>
  <c r="U14" i="33"/>
  <c r="F14" i="33"/>
  <c r="S14" i="33"/>
  <c r="J14" i="33"/>
  <c r="H30" i="33"/>
  <c r="AB30" i="33" s="1"/>
  <c r="F30" i="33"/>
  <c r="AA30" i="33" s="1"/>
  <c r="J30" i="33"/>
  <c r="H44" i="33"/>
  <c r="AB44" i="33" s="1"/>
  <c r="J44" i="33"/>
  <c r="AC44" i="33"/>
  <c r="F44" i="33"/>
  <c r="S44" i="33"/>
  <c r="J46" i="33"/>
  <c r="AC46" i="33"/>
  <c r="F46" i="33"/>
  <c r="AA46" i="33"/>
  <c r="H46" i="33"/>
  <c r="AB46" i="33"/>
  <c r="H13" i="34"/>
  <c r="U13" i="34"/>
  <c r="J13" i="34"/>
  <c r="W13" i="34"/>
  <c r="F13" i="34"/>
  <c r="AA13" i="34"/>
  <c r="J29" i="34"/>
  <c r="F29" i="34"/>
  <c r="H29" i="34"/>
  <c r="AB29" i="34" s="1"/>
  <c r="J31" i="34"/>
  <c r="H31" i="34"/>
  <c r="AB31" i="34" s="1"/>
  <c r="F31" i="34"/>
  <c r="H45" i="34"/>
  <c r="J45" i="34"/>
  <c r="W45" i="34" s="1"/>
  <c r="F45" i="34"/>
  <c r="S45" i="34" s="1"/>
  <c r="H47" i="34"/>
  <c r="U47" i="34" s="1"/>
  <c r="F47" i="34"/>
  <c r="S47" i="34" s="1"/>
  <c r="J47" i="34"/>
  <c r="AC47" i="34" s="1"/>
  <c r="F13" i="35"/>
  <c r="J13" i="35"/>
  <c r="AC13" i="35" s="1"/>
  <c r="H13" i="35"/>
  <c r="U13" i="35" s="1"/>
  <c r="J25" i="35"/>
  <c r="W25" i="35" s="1"/>
  <c r="F25" i="35"/>
  <c r="H25" i="35"/>
  <c r="J35" i="35"/>
  <c r="F35" i="35"/>
  <c r="AA35" i="35" s="1"/>
  <c r="H35" i="35"/>
  <c r="AB35" i="35" s="1"/>
  <c r="J25" i="36"/>
  <c r="F25" i="36"/>
  <c r="S25" i="36" s="1"/>
  <c r="H25" i="36"/>
  <c r="AB25" i="36" s="1"/>
  <c r="H13" i="37"/>
  <c r="F13" i="37"/>
  <c r="J13" i="37"/>
  <c r="F28" i="37"/>
  <c r="AA28" i="37" s="1"/>
  <c r="J28" i="37"/>
  <c r="H28" i="37"/>
  <c r="U28" i="37" s="1"/>
  <c r="H38" i="37"/>
  <c r="AB38" i="37" s="1"/>
  <c r="J38" i="37"/>
  <c r="AC38" i="37" s="1"/>
  <c r="F38" i="37"/>
  <c r="S38" i="37" s="1"/>
  <c r="F43" i="39"/>
  <c r="H43" i="39"/>
  <c r="AB43" i="39" s="1"/>
  <c r="J14" i="39"/>
  <c r="AC14" i="39"/>
  <c r="F14" i="39"/>
  <c r="AA14" i="39"/>
  <c r="F12" i="40"/>
  <c r="S12" i="40"/>
  <c r="H12" i="40"/>
  <c r="AB12" i="40"/>
  <c r="H30" i="40"/>
  <c r="AB30" i="40"/>
  <c r="J35" i="40"/>
  <c r="AC35" i="40"/>
  <c r="J37" i="40"/>
  <c r="AC37" i="40"/>
  <c r="H13" i="40"/>
  <c r="U13" i="40"/>
  <c r="J13" i="40"/>
  <c r="W13" i="40"/>
  <c r="F13" i="40"/>
  <c r="AA13" i="40"/>
  <c r="F14" i="37"/>
  <c r="S14" i="37"/>
  <c r="F13" i="39"/>
  <c r="J13" i="39"/>
  <c r="W13" i="39" s="1"/>
  <c r="H13" i="39"/>
  <c r="AB13" i="39" s="1"/>
  <c r="H14" i="40"/>
  <c r="J14" i="40"/>
  <c r="W14" i="40" s="1"/>
  <c r="F14" i="40"/>
  <c r="AA14" i="40" s="1"/>
  <c r="J14" i="37"/>
  <c r="J27" i="37"/>
  <c r="AA44" i="33"/>
  <c r="U31" i="34"/>
  <c r="U46" i="33"/>
  <c r="AA14" i="33"/>
  <c r="J36" i="37"/>
  <c r="AC36" i="37"/>
  <c r="AB11" i="36"/>
  <c r="J10" i="36"/>
  <c r="AC10" i="36" s="1"/>
  <c r="AB26" i="33"/>
  <c r="AA14" i="37"/>
  <c r="S11" i="36"/>
  <c r="W11" i="36"/>
  <c r="AC28" i="21"/>
  <c r="F17" i="21"/>
  <c r="H17" i="21"/>
  <c r="F15" i="21"/>
  <c r="S15" i="21" s="1"/>
  <c r="AB11" i="21"/>
  <c r="J41" i="39"/>
  <c r="W41" i="39"/>
  <c r="W44" i="39"/>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F123" i="33"/>
  <c r="G123" i="33" s="1"/>
  <c r="H123" i="33" s="1"/>
  <c r="I123" i="33" s="1"/>
  <c r="J123" i="33" s="1"/>
  <c r="K123" i="33" s="1"/>
  <c r="L123" i="33" s="1"/>
  <c r="M123" i="33" s="1"/>
  <c r="H42" i="33"/>
  <c r="AB42" i="33" s="1"/>
  <c r="G125" i="33"/>
  <c r="J43" i="33"/>
  <c r="AC43" i="33"/>
  <c r="U43" i="33"/>
  <c r="S28" i="31"/>
  <c r="S27" i="31"/>
  <c r="S26" i="31"/>
  <c r="U35" i="35"/>
  <c r="W23" i="35"/>
  <c r="U33" i="37"/>
  <c r="U39" i="37"/>
  <c r="W26" i="37"/>
  <c r="AC8" i="37"/>
  <c r="U26" i="37"/>
  <c r="AB13" i="34"/>
  <c r="W37" i="34"/>
  <c r="AC36" i="34"/>
  <c r="W44" i="33"/>
  <c r="U11" i="33"/>
  <c r="U19" i="21"/>
  <c r="U26" i="21"/>
  <c r="F43" i="33"/>
  <c r="AA43" i="33" s="1"/>
  <c r="W15" i="34"/>
  <c r="W16" i="35"/>
  <c r="G107" i="37"/>
  <c r="H107" i="37" s="1"/>
  <c r="I107" i="37" s="1"/>
  <c r="J107" i="37" s="1"/>
  <c r="K107" i="37" s="1"/>
  <c r="L107" i="37" s="1"/>
  <c r="M107" i="37" s="1"/>
  <c r="H37" i="21"/>
  <c r="U37" i="21"/>
  <c r="H19" i="34"/>
  <c r="J9" i="37"/>
  <c r="H9" i="37"/>
  <c r="AB9" i="37" s="1"/>
  <c r="F9" i="37"/>
  <c r="H12" i="37"/>
  <c r="E71" i="37"/>
  <c r="F71" i="37" s="1"/>
  <c r="F15" i="37"/>
  <c r="AA15" i="37"/>
  <c r="F31" i="37"/>
  <c r="S31" i="37" s="1"/>
  <c r="F12" i="39"/>
  <c r="S12" i="39" s="1"/>
  <c r="J42" i="39"/>
  <c r="AC42" i="39" s="1"/>
  <c r="H21" i="40"/>
  <c r="AB21" i="40" s="1"/>
  <c r="G94" i="37"/>
  <c r="H94" i="37" s="1"/>
  <c r="I94" i="37" s="1"/>
  <c r="J94" i="37" s="1"/>
  <c r="K94" i="37" s="1"/>
  <c r="L94" i="37" s="1"/>
  <c r="M94" i="37" s="1"/>
  <c r="H31" i="37"/>
  <c r="U31" i="37"/>
  <c r="G71" i="37"/>
  <c r="J15" i="37"/>
  <c r="W15" i="37"/>
  <c r="AT6" i="3"/>
  <c r="AA25" i="21"/>
  <c r="H19" i="40"/>
  <c r="F88" i="40"/>
  <c r="G88" i="40" s="1"/>
  <c r="F19" i="40"/>
  <c r="S14" i="40"/>
  <c r="AC13" i="40"/>
  <c r="H37" i="39"/>
  <c r="AB37" i="39" s="1"/>
  <c r="AC37" i="39"/>
  <c r="F15" i="39"/>
  <c r="AA15" i="39"/>
  <c r="H15" i="39"/>
  <c r="U15" i="39"/>
  <c r="J15" i="39"/>
  <c r="W15" i="39"/>
  <c r="H41" i="39"/>
  <c r="U41" i="39"/>
  <c r="W8" i="39"/>
  <c r="J19" i="40"/>
  <c r="AC19" i="40"/>
  <c r="J50" i="40"/>
  <c r="B54" i="72"/>
  <c r="H103" i="9"/>
  <c r="D8" i="53"/>
  <c r="B16" i="53"/>
  <c r="B33" i="72"/>
  <c r="W35" i="40"/>
  <c r="A118" i="9"/>
  <c r="A12" i="52"/>
  <c r="B56" i="72"/>
  <c r="G4" i="4"/>
  <c r="I4" i="4"/>
  <c r="K5" i="4"/>
  <c r="B47" i="48"/>
  <c r="A2" i="9"/>
  <c r="F59" i="43"/>
  <c r="BO5" i="3"/>
  <c r="BM5" i="3"/>
  <c r="F29" i="6"/>
  <c r="BJ5" i="3"/>
  <c r="BH5" i="3"/>
  <c r="BQ5" i="3"/>
  <c r="AC5" i="3"/>
  <c r="BS5" i="3"/>
  <c r="BP5" i="3"/>
  <c r="BN5" i="3"/>
  <c r="BK5" i="3"/>
  <c r="BI5" i="3"/>
  <c r="BG5" i="3"/>
  <c r="BT5" i="3"/>
  <c r="BR5" i="3"/>
  <c r="G28" i="6" s="1"/>
  <c r="U36" i="40"/>
  <c r="F81" i="43"/>
  <c r="H83" i="43"/>
  <c r="F70" i="43"/>
  <c r="H73" i="43"/>
  <c r="E17" i="43"/>
  <c r="U35" i="21"/>
  <c r="U10" i="21"/>
  <c r="F48" i="9"/>
  <c r="O52" i="9"/>
  <c r="W37" i="37"/>
  <c r="W44" i="34"/>
  <c r="AC44" i="34"/>
  <c r="S15" i="37"/>
  <c r="U12" i="40"/>
  <c r="AA12" i="40"/>
  <c r="J37" i="33"/>
  <c r="W37" i="33" s="1"/>
  <c r="AC17" i="34"/>
  <c r="G106" i="33"/>
  <c r="H106" i="33" s="1"/>
  <c r="I106" i="33" s="1"/>
  <c r="J106" i="33" s="1"/>
  <c r="K106" i="33" s="1"/>
  <c r="L106" i="33" s="1"/>
  <c r="M106" i="33" s="1"/>
  <c r="J34" i="33"/>
  <c r="W34" i="33"/>
  <c r="F33" i="34"/>
  <c r="S33" i="34"/>
  <c r="AC12" i="36"/>
  <c r="H20" i="36"/>
  <c r="U20" i="36"/>
  <c r="J20" i="36"/>
  <c r="W20" i="36"/>
  <c r="J27" i="36"/>
  <c r="W27" i="36" s="1"/>
  <c r="AB25" i="37"/>
  <c r="F111" i="40"/>
  <c r="G111" i="40" s="1"/>
  <c r="H111" i="40"/>
  <c r="I111" i="40" s="1"/>
  <c r="J111" i="40" s="1"/>
  <c r="K111" i="40" s="1"/>
  <c r="L111" i="40" s="1"/>
  <c r="M111" i="40" s="1"/>
  <c r="H35" i="40"/>
  <c r="AC29" i="35"/>
  <c r="H35" i="37"/>
  <c r="U35" i="37" s="1"/>
  <c r="AC14" i="35"/>
  <c r="H20" i="35"/>
  <c r="U20" i="35"/>
  <c r="F20" i="35"/>
  <c r="AA20" i="35"/>
  <c r="AB29" i="36"/>
  <c r="U29" i="36"/>
  <c r="H32" i="37"/>
  <c r="F96" i="37"/>
  <c r="G96" i="37" s="1"/>
  <c r="H96" i="37" s="1"/>
  <c r="I96" i="37" s="1"/>
  <c r="J96" i="37" s="1"/>
  <c r="K96" i="37" s="1"/>
  <c r="L96" i="37" s="1"/>
  <c r="M96" i="37" s="1"/>
  <c r="H27" i="40"/>
  <c r="U27" i="40"/>
  <c r="J27" i="40"/>
  <c r="AC27" i="40"/>
  <c r="F27" i="40"/>
  <c r="S27" i="40"/>
  <c r="J30" i="40"/>
  <c r="AC30" i="40"/>
  <c r="F30" i="40"/>
  <c r="AA30" i="40"/>
  <c r="S11" i="40"/>
  <c r="E98" i="40"/>
  <c r="F98" i="40"/>
  <c r="G98" i="40" s="1"/>
  <c r="H98" i="40"/>
  <c r="I98" i="40" s="1"/>
  <c r="J98" i="40" s="1"/>
  <c r="K98" i="40" s="1"/>
  <c r="L98" i="40" s="1"/>
  <c r="M98" i="40" s="1"/>
  <c r="F10" i="33"/>
  <c r="F34" i="33"/>
  <c r="S34" i="33" s="1"/>
  <c r="H34" i="33"/>
  <c r="F35" i="33"/>
  <c r="F39" i="34"/>
  <c r="S39" i="34" s="1"/>
  <c r="J39" i="34"/>
  <c r="F40" i="34"/>
  <c r="F43" i="34"/>
  <c r="AA43" i="34" s="1"/>
  <c r="H44" i="34"/>
  <c r="AC38" i="39"/>
  <c r="J39" i="39"/>
  <c r="E97" i="39"/>
  <c r="F97" i="39"/>
  <c r="G97" i="39" s="1"/>
  <c r="C40" i="11"/>
  <c r="F23" i="39"/>
  <c r="AA23" i="39" s="1"/>
  <c r="H27" i="36"/>
  <c r="U27" i="36"/>
  <c r="F27" i="36"/>
  <c r="AA27" i="36"/>
  <c r="H33" i="34"/>
  <c r="U33" i="34"/>
  <c r="F32" i="37"/>
  <c r="AA32" i="37"/>
  <c r="F20" i="36"/>
  <c r="AA20" i="36" s="1"/>
  <c r="J33" i="34"/>
  <c r="H23" i="39"/>
  <c r="U23" i="39" s="1"/>
  <c r="D48" i="9"/>
  <c r="M52" i="9" s="1"/>
  <c r="H87" i="43"/>
  <c r="O9" i="1"/>
  <c r="P9" i="1"/>
  <c r="D93" i="9"/>
  <c r="G29" i="6"/>
  <c r="AC26" i="33"/>
  <c r="W27" i="34"/>
  <c r="AC12" i="39"/>
  <c r="W12" i="39"/>
  <c r="W12" i="33"/>
  <c r="AA39" i="34"/>
  <c r="F28" i="6"/>
  <c r="U30" i="33"/>
  <c r="AC13" i="34"/>
  <c r="AA47" i="34"/>
  <c r="F12" i="33"/>
  <c r="AA12" i="33" s="1"/>
  <c r="H12" i="39"/>
  <c r="AB12" i="39"/>
  <c r="F39" i="40"/>
  <c r="S12" i="1"/>
  <c r="R12" i="1"/>
  <c r="B12" i="1"/>
  <c r="E12" i="1"/>
  <c r="B10" i="1"/>
  <c r="E10" i="1"/>
  <c r="K12" i="1"/>
  <c r="M12" i="1"/>
  <c r="O12" i="1"/>
  <c r="P12" i="1"/>
  <c r="S13" i="1"/>
  <c r="AR13" i="1"/>
  <c r="R13" i="1"/>
  <c r="S11" i="1"/>
  <c r="J51" i="67"/>
  <c r="H100" i="43"/>
  <c r="AC34" i="33"/>
  <c r="AA34" i="33"/>
  <c r="B41" i="1"/>
  <c r="F53" i="9"/>
  <c r="J100" i="43"/>
  <c r="AB37" i="40"/>
  <c r="S35" i="40"/>
  <c r="AC36" i="40"/>
  <c r="AA32" i="40"/>
  <c r="S23" i="40"/>
  <c r="AC15" i="40"/>
  <c r="AB27" i="40"/>
  <c r="S30" i="40"/>
  <c r="S28" i="40"/>
  <c r="AA27" i="40"/>
  <c r="U21" i="40"/>
  <c r="U37" i="39"/>
  <c r="S37" i="39"/>
  <c r="AB15" i="39"/>
  <c r="AA12" i="39"/>
  <c r="U12" i="39"/>
  <c r="AC27" i="36"/>
  <c r="AB27" i="36"/>
  <c r="S27" i="36"/>
  <c r="AA26" i="36"/>
  <c r="AC26" i="36"/>
  <c r="AA22" i="36"/>
  <c r="U22" i="36"/>
  <c r="S16" i="36"/>
  <c r="AA25" i="36"/>
  <c r="U24" i="36"/>
  <c r="AB20" i="36"/>
  <c r="S14" i="36"/>
  <c r="W10" i="36"/>
  <c r="S23" i="35"/>
  <c r="AB13" i="35"/>
  <c r="U29" i="35"/>
  <c r="U28" i="35"/>
  <c r="U32" i="35"/>
  <c r="AA33" i="35"/>
  <c r="S32" i="35"/>
  <c r="AB16" i="35"/>
  <c r="S20" i="35"/>
  <c r="S22" i="35"/>
  <c r="AC10" i="35"/>
  <c r="AA10" i="35"/>
  <c r="S8" i="35"/>
  <c r="W9" i="35"/>
  <c r="W13" i="35"/>
  <c r="F9" i="35"/>
  <c r="H9" i="35"/>
  <c r="AB9" i="35" s="1"/>
  <c r="F26" i="35"/>
  <c r="AA26" i="35"/>
  <c r="J26" i="35"/>
  <c r="H26" i="35"/>
  <c r="U26" i="35" s="1"/>
  <c r="S25" i="37"/>
  <c r="S26" i="37"/>
  <c r="AC29" i="37"/>
  <c r="U29" i="37"/>
  <c r="S32" i="37"/>
  <c r="AB31" i="37"/>
  <c r="W30" i="37"/>
  <c r="S36" i="37"/>
  <c r="AA38" i="37"/>
  <c r="W38" i="37"/>
  <c r="W39" i="37"/>
  <c r="S30" i="37"/>
  <c r="S37" i="37"/>
  <c r="AC15" i="37"/>
  <c r="J17" i="37"/>
  <c r="W17" i="37" s="1"/>
  <c r="G73" i="37"/>
  <c r="F17" i="37"/>
  <c r="AA17" i="37"/>
  <c r="AB17" i="37"/>
  <c r="F75" i="37"/>
  <c r="G75" i="37" s="1"/>
  <c r="F19" i="37"/>
  <c r="F79" i="37"/>
  <c r="F23" i="37"/>
  <c r="S23" i="37"/>
  <c r="U23" i="37"/>
  <c r="U15" i="37"/>
  <c r="U9" i="37"/>
  <c r="H10" i="37"/>
  <c r="AB10" i="37" s="1"/>
  <c r="F63" i="37"/>
  <c r="G63" i="37" s="1"/>
  <c r="H63" i="37" s="1"/>
  <c r="F11" i="37"/>
  <c r="S11" i="37"/>
  <c r="S27" i="34"/>
  <c r="W25" i="34"/>
  <c r="AA33" i="34"/>
  <c r="U43" i="34"/>
  <c r="W41" i="34"/>
  <c r="AB35" i="34"/>
  <c r="U39" i="34"/>
  <c r="S43" i="34"/>
  <c r="AB41" i="34"/>
  <c r="AA45" i="34"/>
  <c r="W34" i="34"/>
  <c r="AA25" i="34"/>
  <c r="S17" i="34"/>
  <c r="U27" i="34"/>
  <c r="S23" i="34"/>
  <c r="U15" i="34"/>
  <c r="S10" i="34"/>
  <c r="S13" i="34"/>
  <c r="H10" i="34"/>
  <c r="AB10" i="34" s="1"/>
  <c r="F11" i="34"/>
  <c r="S11" i="34"/>
  <c r="W42" i="33"/>
  <c r="S32" i="33"/>
  <c r="W38" i="33"/>
  <c r="H41" i="33"/>
  <c r="F121" i="33"/>
  <c r="G121" i="33" s="1"/>
  <c r="H121" i="33" s="1"/>
  <c r="I121" i="33" s="1"/>
  <c r="J121" i="33" s="1"/>
  <c r="K121" i="33" s="1"/>
  <c r="L121" i="33" s="1"/>
  <c r="M121" i="33" s="1"/>
  <c r="U42" i="33"/>
  <c r="S42" i="33"/>
  <c r="F36" i="33"/>
  <c r="S36" i="33" s="1"/>
  <c r="J35" i="33"/>
  <c r="S37" i="33"/>
  <c r="AA37" i="33"/>
  <c r="S39" i="33"/>
  <c r="G101" i="33"/>
  <c r="H101" i="33" s="1"/>
  <c r="I101" i="33"/>
  <c r="J101" i="33" s="1"/>
  <c r="K101" i="33" s="1"/>
  <c r="L101" i="33" s="1"/>
  <c r="M101" i="33" s="1"/>
  <c r="J32" i="33"/>
  <c r="S46" i="33"/>
  <c r="W43" i="33"/>
  <c r="S43" i="33"/>
  <c r="H27" i="33"/>
  <c r="U27" i="33" s="1"/>
  <c r="H25" i="33"/>
  <c r="U25" i="33" s="1"/>
  <c r="F25" i="33"/>
  <c r="J23" i="33"/>
  <c r="AC23" i="33" s="1"/>
  <c r="H23" i="33"/>
  <c r="AB23" i="33" s="1"/>
  <c r="F19" i="33"/>
  <c r="W19" i="33"/>
  <c r="J17" i="33"/>
  <c r="F79" i="33"/>
  <c r="S15" i="33"/>
  <c r="W15" i="33"/>
  <c r="U9" i="33"/>
  <c r="I66" i="33"/>
  <c r="J10" i="33"/>
  <c r="H10" i="33"/>
  <c r="U10" i="33" s="1"/>
  <c r="AC11" i="33"/>
  <c r="AB14" i="33"/>
  <c r="W43" i="21"/>
  <c r="AA43" i="21"/>
  <c r="AC40" i="21"/>
  <c r="J15" i="21"/>
  <c r="W15" i="21"/>
  <c r="F23" i="21"/>
  <c r="S23" i="21"/>
  <c r="AC11" i="21"/>
  <c r="N8" i="43"/>
  <c r="D120" i="9"/>
  <c r="F34" i="67"/>
  <c r="F62" i="67" s="1"/>
  <c r="M20" i="67"/>
  <c r="F34" i="15"/>
  <c r="F62" i="15" s="1"/>
  <c r="A24" i="51"/>
  <c r="B18" i="72" s="1"/>
  <c r="U29" i="34"/>
  <c r="E5" i="6"/>
  <c r="D9" i="86"/>
  <c r="C9" i="86" s="1"/>
  <c r="P10" i="1"/>
  <c r="E32" i="6"/>
  <c r="L19" i="6"/>
  <c r="G1" i="68"/>
  <c r="K1" i="12"/>
  <c r="F30" i="6"/>
  <c r="T12" i="1"/>
  <c r="G22" i="68"/>
  <c r="E81" i="43"/>
  <c r="B79" i="43" s="1"/>
  <c r="E70" i="43"/>
  <c r="B68" i="43" s="1"/>
  <c r="F100" i="43"/>
  <c r="H70" i="43"/>
  <c r="N11" i="43"/>
  <c r="B19" i="53"/>
  <c r="B37" i="72" s="1"/>
  <c r="C7" i="21"/>
  <c r="C58" i="21" s="1"/>
  <c r="D58" i="21" s="1"/>
  <c r="E58" i="21" s="1"/>
  <c r="F58" i="21" s="1"/>
  <c r="G58" i="21" s="1"/>
  <c r="H58" i="21" s="1"/>
  <c r="I58" i="21" s="1"/>
  <c r="J58" i="21" s="1"/>
  <c r="K58" i="21" s="1"/>
  <c r="L58" i="21" s="1"/>
  <c r="M58" i="21" s="1"/>
  <c r="N58" i="21" s="1"/>
  <c r="T35" i="4"/>
  <c r="A19" i="51"/>
  <c r="B14" i="72" s="1"/>
  <c r="A4" i="51"/>
  <c r="B6" i="72" s="1"/>
  <c r="C94" i="9"/>
  <c r="C4" i="12"/>
  <c r="C92" i="9"/>
  <c r="H63" i="43"/>
  <c r="H77" i="43"/>
  <c r="L20" i="6"/>
  <c r="L27" i="6" s="1"/>
  <c r="B6" i="1"/>
  <c r="E6" i="1"/>
  <c r="K11" i="1"/>
  <c r="M11" i="1"/>
  <c r="O11" i="1"/>
  <c r="P11" i="1"/>
  <c r="AP6" i="1"/>
  <c r="B9" i="1"/>
  <c r="E9" i="1" s="1"/>
  <c r="G1" i="15"/>
  <c r="G1" i="69"/>
  <c r="G1" i="67"/>
  <c r="U32" i="40"/>
  <c r="S37" i="40"/>
  <c r="W28" i="40"/>
  <c r="W19" i="40"/>
  <c r="W27" i="40"/>
  <c r="S36" i="40"/>
  <c r="W37" i="40"/>
  <c r="AC14" i="40"/>
  <c r="S13" i="40"/>
  <c r="U11" i="40"/>
  <c r="AB13" i="40"/>
  <c r="AB17" i="40"/>
  <c r="S8" i="40"/>
  <c r="AB41" i="39"/>
  <c r="U13" i="39"/>
  <c r="AA13" i="39"/>
  <c r="S13" i="39"/>
  <c r="S14" i="39"/>
  <c r="U43" i="39"/>
  <c r="AA27" i="39"/>
  <c r="S23" i="39"/>
  <c r="S8" i="39"/>
  <c r="S28" i="36"/>
  <c r="W29" i="36"/>
  <c r="AC20" i="36"/>
  <c r="AB28" i="36"/>
  <c r="W22" i="36"/>
  <c r="AB20" i="35"/>
  <c r="W33" i="35"/>
  <c r="AA30" i="35"/>
  <c r="AA16" i="35"/>
  <c r="W36" i="37"/>
  <c r="S28" i="37"/>
  <c r="W32" i="37"/>
  <c r="U36" i="37"/>
  <c r="U38" i="37"/>
  <c r="AB37" i="37"/>
  <c r="S33" i="37"/>
  <c r="AC34" i="37"/>
  <c r="AB35" i="37"/>
  <c r="AA11" i="37"/>
  <c r="AA31" i="37"/>
  <c r="AA29" i="37"/>
  <c r="AA8" i="37"/>
  <c r="U8" i="37"/>
  <c r="AB40" i="34"/>
  <c r="W19" i="34"/>
  <c r="AB33" i="34"/>
  <c r="AC45" i="34"/>
  <c r="AB47" i="34"/>
  <c r="AC29" i="34"/>
  <c r="W29" i="34"/>
  <c r="S32" i="34"/>
  <c r="S37" i="34"/>
  <c r="AC40" i="34"/>
  <c r="W40" i="34"/>
  <c r="AA19" i="34"/>
  <c r="AA36" i="34"/>
  <c r="S36" i="34"/>
  <c r="AA8" i="34"/>
  <c r="AC43" i="34"/>
  <c r="W43" i="34"/>
  <c r="AA11" i="34"/>
  <c r="W23" i="34"/>
  <c r="AC23" i="34"/>
  <c r="W35" i="34"/>
  <c r="AB12" i="34"/>
  <c r="AC37" i="33"/>
  <c r="W46" i="33"/>
  <c r="U39" i="33"/>
  <c r="U38" i="33"/>
  <c r="S33" i="33"/>
  <c r="S30" i="33"/>
  <c r="AC14" i="33"/>
  <c r="W14" i="33"/>
  <c r="AC30" i="33"/>
  <c r="W30" i="33"/>
  <c r="W13" i="33"/>
  <c r="U15" i="33"/>
  <c r="S11" i="33"/>
  <c r="U37" i="33"/>
  <c r="W9" i="33"/>
  <c r="W8" i="33"/>
  <c r="AB42" i="21"/>
  <c r="AA11" i="21"/>
  <c r="F33" i="21"/>
  <c r="J33" i="21"/>
  <c r="W33" i="21" s="1"/>
  <c r="H33" i="21"/>
  <c r="AB33" i="21"/>
  <c r="F37" i="21"/>
  <c r="AA37" i="21"/>
  <c r="AA26" i="21"/>
  <c r="U40" i="21"/>
  <c r="AC15" i="21"/>
  <c r="W8" i="21"/>
  <c r="AB37" i="21"/>
  <c r="J37" i="21"/>
  <c r="W37" i="21"/>
  <c r="H15" i="21"/>
  <c r="U15" i="21"/>
  <c r="J17" i="21"/>
  <c r="AC17" i="21"/>
  <c r="AC19" i="21"/>
  <c r="W30" i="21"/>
  <c r="H45" i="21"/>
  <c r="F29" i="21"/>
  <c r="S29" i="21" s="1"/>
  <c r="AC38" i="21"/>
  <c r="H32" i="21"/>
  <c r="H9" i="21"/>
  <c r="U9" i="21" s="1"/>
  <c r="J32" i="21"/>
  <c r="AC32" i="21" s="1"/>
  <c r="F32" i="21"/>
  <c r="W29" i="21"/>
  <c r="S19" i="21"/>
  <c r="K141" i="21"/>
  <c r="K144" i="21"/>
  <c r="K143" i="21"/>
  <c r="AB25" i="21"/>
  <c r="AA30" i="21"/>
  <c r="W42" i="21"/>
  <c r="F10" i="21"/>
  <c r="S10" i="21" s="1"/>
  <c r="K145" i="21"/>
  <c r="W17" i="21"/>
  <c r="W25" i="21"/>
  <c r="S27" i="21"/>
  <c r="AC26" i="21"/>
  <c r="W10" i="21"/>
  <c r="W30" i="40"/>
  <c r="C19" i="39"/>
  <c r="C15" i="40"/>
  <c r="C17" i="40"/>
  <c r="C23" i="40"/>
  <c r="C21" i="40"/>
  <c r="U30" i="40"/>
  <c r="B54" i="43"/>
  <c r="B65" i="43"/>
  <c r="B49" i="43"/>
  <c r="B56" i="43"/>
  <c r="B60" i="43"/>
  <c r="B67" i="43"/>
  <c r="D23" i="15"/>
  <c r="O6" i="1"/>
  <c r="P6" i="1"/>
  <c r="F30" i="68"/>
  <c r="F30" i="11"/>
  <c r="C48" i="11"/>
  <c r="F28" i="67"/>
  <c r="F31" i="12"/>
  <c r="F52" i="9"/>
  <c r="M18" i="67"/>
  <c r="F32" i="67"/>
  <c r="F60" i="67"/>
  <c r="F30" i="69"/>
  <c r="F32" i="15"/>
  <c r="F60" i="15" s="1"/>
  <c r="M18" i="15"/>
  <c r="F28" i="15"/>
  <c r="D9" i="69"/>
  <c r="C9" i="69" s="1"/>
  <c r="AA39" i="40"/>
  <c r="S39" i="40"/>
  <c r="S12" i="33"/>
  <c r="D68" i="9"/>
  <c r="F54" i="9"/>
  <c r="J32" i="39"/>
  <c r="AC32" i="39" s="1"/>
  <c r="S26" i="35"/>
  <c r="AA9" i="35"/>
  <c r="S9" i="35"/>
  <c r="AC26" i="35"/>
  <c r="W26" i="35"/>
  <c r="AB26" i="35"/>
  <c r="AC17" i="37"/>
  <c r="S17" i="37"/>
  <c r="J19" i="37"/>
  <c r="W19" i="37" s="1"/>
  <c r="S19" i="37"/>
  <c r="AA19" i="37"/>
  <c r="AA23" i="37"/>
  <c r="J23" i="37"/>
  <c r="G79" i="37"/>
  <c r="J10" i="37"/>
  <c r="I60" i="37"/>
  <c r="H11" i="37"/>
  <c r="AB11" i="37" s="1"/>
  <c r="U10" i="37"/>
  <c r="H11" i="34"/>
  <c r="AB11" i="34" s="1"/>
  <c r="U10" i="34"/>
  <c r="J10" i="34"/>
  <c r="I67" i="34"/>
  <c r="AB41" i="33"/>
  <c r="U41" i="33"/>
  <c r="W35" i="33"/>
  <c r="AC35" i="33"/>
  <c r="J36" i="33"/>
  <c r="H36" i="33"/>
  <c r="U36" i="33" s="1"/>
  <c r="AA36" i="33"/>
  <c r="AC32" i="33"/>
  <c r="W32" i="33"/>
  <c r="AB27" i="33"/>
  <c r="H91" i="33"/>
  <c r="I91" i="33" s="1"/>
  <c r="J91" i="33" s="1"/>
  <c r="K91" i="33" s="1"/>
  <c r="L91" i="33" s="1"/>
  <c r="M91" i="33" s="1"/>
  <c r="J27" i="33"/>
  <c r="W27" i="33" s="1"/>
  <c r="AB25" i="33"/>
  <c r="S25" i="33"/>
  <c r="AA25" i="33"/>
  <c r="J25" i="33"/>
  <c r="W25" i="33" s="1"/>
  <c r="U23" i="33"/>
  <c r="F23" i="33"/>
  <c r="G85" i="33"/>
  <c r="W23" i="33"/>
  <c r="H19" i="33"/>
  <c r="AB19" i="33" s="1"/>
  <c r="G79" i="33"/>
  <c r="H17" i="33"/>
  <c r="F17" i="33"/>
  <c r="AA17" i="33" s="1"/>
  <c r="W17" i="33"/>
  <c r="AC17" i="33"/>
  <c r="AB10" i="33"/>
  <c r="AC10" i="33"/>
  <c r="W10" i="33"/>
  <c r="AC37" i="21"/>
  <c r="U33" i="21"/>
  <c r="S37" i="21"/>
  <c r="AA23" i="21"/>
  <c r="AB15" i="21"/>
  <c r="J23" i="21"/>
  <c r="AC23" i="21" s="1"/>
  <c r="G85" i="21"/>
  <c r="H23" i="21"/>
  <c r="D6" i="52"/>
  <c r="D121" i="9"/>
  <c r="D7" i="52" s="1"/>
  <c r="K120" i="9"/>
  <c r="A18" i="62" s="1"/>
  <c r="O14" i="1"/>
  <c r="P14" i="1"/>
  <c r="AP7" i="1"/>
  <c r="O7" i="1"/>
  <c r="AC33" i="21"/>
  <c r="S33" i="21"/>
  <c r="AA33" i="21"/>
  <c r="W32" i="21"/>
  <c r="AA32" i="21"/>
  <c r="S32" i="21"/>
  <c r="AB32" i="21"/>
  <c r="U32" i="21"/>
  <c r="AA10" i="21"/>
  <c r="F31" i="15"/>
  <c r="M17" i="15"/>
  <c r="F59" i="67"/>
  <c r="F59" i="15"/>
  <c r="F31" i="67"/>
  <c r="M17" i="67"/>
  <c r="C30" i="11"/>
  <c r="B64" i="72"/>
  <c r="AC19" i="37"/>
  <c r="W23" i="37"/>
  <c r="AC23" i="37"/>
  <c r="U11" i="37"/>
  <c r="I63" i="37"/>
  <c r="J63" i="37" s="1"/>
  <c r="K63" i="37" s="1"/>
  <c r="L63" i="37" s="1"/>
  <c r="M63" i="37" s="1"/>
  <c r="J11" i="37"/>
  <c r="W10" i="37"/>
  <c r="AC10" i="37"/>
  <c r="U11" i="34"/>
  <c r="AC10" i="34"/>
  <c r="W10" i="34"/>
  <c r="H70" i="34"/>
  <c r="I70" i="34" s="1"/>
  <c r="J70" i="34"/>
  <c r="K70" i="34" s="1"/>
  <c r="L70" i="34" s="1"/>
  <c r="M70" i="34" s="1"/>
  <c r="J11" i="34"/>
  <c r="AC11" i="34" s="1"/>
  <c r="AC36" i="33"/>
  <c r="W36" i="33"/>
  <c r="AB36" i="33"/>
  <c r="AC27" i="33"/>
  <c r="AA23" i="33"/>
  <c r="S23" i="33"/>
  <c r="U19" i="33"/>
  <c r="U17" i="33"/>
  <c r="AB17" i="33"/>
  <c r="U23" i="21"/>
  <c r="AB23" i="21"/>
  <c r="W23" i="21"/>
  <c r="P7" i="1"/>
  <c r="AC11" i="37"/>
  <c r="W11" i="37"/>
  <c r="W11" i="34"/>
  <c r="H109" i="9"/>
  <c r="D124" i="9"/>
  <c r="H14" i="74"/>
  <c r="B7" i="74" s="1"/>
  <c r="H112" i="9"/>
  <c r="D21" i="53" s="1"/>
  <c r="B39" i="72" s="1"/>
  <c r="H111" i="9"/>
  <c r="D126" i="9"/>
  <c r="D19" i="53"/>
  <c r="B38" i="72"/>
  <c r="D59" i="9"/>
  <c r="M55" i="9"/>
  <c r="D20" i="53"/>
  <c r="B40" i="72"/>
  <c r="AD3" i="71"/>
  <c r="E19" i="69"/>
  <c r="E28" i="6"/>
  <c r="I14" i="74"/>
  <c r="B8" i="74" s="1"/>
  <c r="D127" i="9"/>
  <c r="D13" i="52" s="1"/>
  <c r="D12" i="52"/>
  <c r="F34" i="11"/>
  <c r="D22" i="67"/>
  <c r="D23" i="81"/>
  <c r="E19" i="11"/>
  <c r="E19" i="68"/>
  <c r="E19" i="82"/>
  <c r="E19" i="84"/>
  <c r="U14" i="39"/>
  <c r="AB14" i="39"/>
  <c r="W14" i="39"/>
  <c r="T13" i="1"/>
  <c r="D9" i="68"/>
  <c r="C9" i="68" s="1"/>
  <c r="D19" i="12"/>
  <c r="C19" i="12" s="1"/>
  <c r="D9" i="11"/>
  <c r="C9" i="11" s="1"/>
  <c r="AQ13" i="1"/>
  <c r="W29" i="39"/>
  <c r="S29" i="39"/>
  <c r="AB23" i="39"/>
  <c r="AC43" i="39"/>
  <c r="U45" i="39"/>
  <c r="AB44" i="39"/>
  <c r="F44" i="39"/>
  <c r="S40" i="39"/>
  <c r="S35" i="39"/>
  <c r="B63" i="89"/>
  <c r="B52" i="43"/>
  <c r="B54" i="89"/>
  <c r="B65" i="89"/>
  <c r="U40" i="39"/>
  <c r="W42" i="39"/>
  <c r="S9" i="39"/>
  <c r="J56" i="9"/>
  <c r="J57" i="9"/>
  <c r="J59" i="9" s="1"/>
  <c r="J61" i="9" s="1"/>
  <c r="K56" i="9"/>
  <c r="N56" i="9"/>
  <c r="N56" i="78"/>
  <c r="J56" i="78"/>
  <c r="J57" i="78" s="1"/>
  <c r="J59" i="78"/>
  <c r="J61" i="78" s="1"/>
  <c r="M56" i="78"/>
  <c r="N56" i="79"/>
  <c r="J56" i="79"/>
  <c r="J57" i="79" s="1"/>
  <c r="J59" i="79"/>
  <c r="J61" i="79" s="1"/>
  <c r="M56" i="79"/>
  <c r="K56" i="83"/>
  <c r="N56" i="88"/>
  <c r="J56" i="88"/>
  <c r="J57" i="88"/>
  <c r="J59" i="88" s="1"/>
  <c r="J61" i="88"/>
  <c r="M56" i="88"/>
  <c r="M56" i="9"/>
  <c r="K56" i="78"/>
  <c r="K56" i="79"/>
  <c r="N56" i="83"/>
  <c r="J56" i="83"/>
  <c r="J57" i="83" s="1"/>
  <c r="J59" i="83" s="1"/>
  <c r="J61" i="83" s="1"/>
  <c r="M56" i="83"/>
  <c r="F6" i="1"/>
  <c r="I20" i="89"/>
  <c r="G19" i="43"/>
  <c r="P22" i="43" s="1"/>
  <c r="C7" i="36"/>
  <c r="C46" i="36" s="1"/>
  <c r="C7" i="35"/>
  <c r="C48" i="35" s="1"/>
  <c r="C7" i="40"/>
  <c r="C63" i="40" s="1"/>
  <c r="M47" i="9"/>
  <c r="C7" i="34"/>
  <c r="C59" i="34" s="1"/>
  <c r="D59" i="34" s="1"/>
  <c r="C7" i="39"/>
  <c r="C68" i="39" s="1"/>
  <c r="C7" i="33"/>
  <c r="C58" i="33" s="1"/>
  <c r="G19" i="89"/>
  <c r="P24" i="89" s="1"/>
  <c r="J51" i="85"/>
  <c r="J51" i="15"/>
  <c r="J51" i="81"/>
  <c r="G41" i="68"/>
  <c r="D22" i="81"/>
  <c r="G22" i="86"/>
  <c r="D22" i="15"/>
  <c r="W32" i="39"/>
  <c r="F32" i="39"/>
  <c r="AA32" i="39"/>
  <c r="G107" i="39"/>
  <c r="H107" i="39"/>
  <c r="I107" i="39" s="1"/>
  <c r="J107" i="39"/>
  <c r="K107" i="39" s="1"/>
  <c r="L107" i="39" s="1"/>
  <c r="M107" i="39" s="1"/>
  <c r="H32" i="39"/>
  <c r="J27" i="39"/>
  <c r="AC27" i="39" s="1"/>
  <c r="J17" i="39"/>
  <c r="AC17" i="39" s="1"/>
  <c r="AC15" i="39"/>
  <c r="S15" i="39"/>
  <c r="S38" i="39"/>
  <c r="AC41" i="39"/>
  <c r="AA41" i="39"/>
  <c r="U38" i="39"/>
  <c r="AC13" i="39"/>
  <c r="W9" i="39"/>
  <c r="U9" i="39"/>
  <c r="AB8" i="39"/>
  <c r="A118" i="78"/>
  <c r="A2" i="79"/>
  <c r="A2" i="83"/>
  <c r="A118" i="88"/>
  <c r="A4" i="52"/>
  <c r="B41" i="72" s="1"/>
  <c r="C51" i="10"/>
  <c r="A2" i="78"/>
  <c r="A118" i="79"/>
  <c r="A118" i="83"/>
  <c r="C18" i="79"/>
  <c r="D18" i="79" s="1"/>
  <c r="P61" i="81"/>
  <c r="H49" i="89"/>
  <c r="H52" i="89"/>
  <c r="H53" i="89"/>
  <c r="H83" i="89"/>
  <c r="E10" i="89"/>
  <c r="E8" i="89"/>
  <c r="E11" i="89"/>
  <c r="E9" i="89"/>
  <c r="H55" i="89"/>
  <c r="N6" i="89"/>
  <c r="N9" i="89"/>
  <c r="M10" i="89"/>
  <c r="N11" i="89"/>
  <c r="M12" i="89"/>
  <c r="H81" i="89"/>
  <c r="H82" i="89"/>
  <c r="H84" i="89"/>
  <c r="H85" i="89"/>
  <c r="H86" i="89"/>
  <c r="H87" i="89"/>
  <c r="N1" i="89"/>
  <c r="N2" i="89"/>
  <c r="F59" i="89"/>
  <c r="M3" i="89"/>
  <c r="M4" i="89"/>
  <c r="M5" i="89"/>
  <c r="M6" i="89"/>
  <c r="M7" i="89"/>
  <c r="X7" i="89"/>
  <c r="M8" i="89"/>
  <c r="M9" i="89"/>
  <c r="N10" i="89"/>
  <c r="M11" i="89"/>
  <c r="F37" i="89"/>
  <c r="F38" i="89"/>
  <c r="F39" i="89"/>
  <c r="C17" i="89"/>
  <c r="I17" i="89"/>
  <c r="G17" i="89"/>
  <c r="H48" i="89"/>
  <c r="H50" i="89"/>
  <c r="H51" i="89"/>
  <c r="H54" i="89"/>
  <c r="H70" i="89"/>
  <c r="H71" i="89"/>
  <c r="H73" i="89"/>
  <c r="H74" i="89"/>
  <c r="H75" i="89"/>
  <c r="H76" i="89"/>
  <c r="H77" i="89"/>
  <c r="H66" i="43"/>
  <c r="H84" i="43"/>
  <c r="E9" i="43"/>
  <c r="E11" i="43"/>
  <c r="E8" i="43"/>
  <c r="E10" i="43"/>
  <c r="H76" i="43"/>
  <c r="M5" i="43"/>
  <c r="N6" i="43"/>
  <c r="M3" i="43"/>
  <c r="H72" i="43"/>
  <c r="H59" i="43"/>
  <c r="H61" i="43"/>
  <c r="M4" i="43"/>
  <c r="N12" i="43"/>
  <c r="M10" i="43"/>
  <c r="H71" i="43"/>
  <c r="H78" i="43"/>
  <c r="H85" i="43"/>
  <c r="M1" i="43"/>
  <c r="H86" i="43"/>
  <c r="H74" i="43"/>
  <c r="M6" i="43"/>
  <c r="N7" i="43"/>
  <c r="N2" i="43"/>
  <c r="F48" i="43" s="1"/>
  <c r="M12" i="43"/>
  <c r="N5" i="43"/>
  <c r="M9" i="43"/>
  <c r="N3" i="43"/>
  <c r="M2" i="43"/>
  <c r="M7" i="43"/>
  <c r="H88" i="43"/>
  <c r="H81" i="43"/>
  <c r="N9" i="43"/>
  <c r="M8" i="43"/>
  <c r="N10" i="43"/>
  <c r="H82" i="43"/>
  <c r="M11" i="43"/>
  <c r="N4" i="43"/>
  <c r="C6" i="43"/>
  <c r="H75" i="43"/>
  <c r="F35" i="43"/>
  <c r="F38" i="43"/>
  <c r="J17" i="43"/>
  <c r="H17" i="43"/>
  <c r="F19" i="6"/>
  <c r="E19" i="6"/>
  <c r="K6" i="1" s="1"/>
  <c r="I5" i="3"/>
  <c r="I4" i="6" s="1"/>
  <c r="G3" i="89" s="1"/>
  <c r="B113" i="89" s="1"/>
  <c r="BB13" i="3"/>
  <c r="BB5" i="3"/>
  <c r="F21" i="6"/>
  <c r="D29" i="43" s="1"/>
  <c r="M5" i="3"/>
  <c r="D9" i="82"/>
  <c r="C9" i="82" s="1"/>
  <c r="M6" i="1"/>
  <c r="F20" i="6"/>
  <c r="E20" i="6" s="1"/>
  <c r="K7" i="1" s="1"/>
  <c r="K5" i="3"/>
  <c r="BC13" i="3"/>
  <c r="BC5" i="3" s="1"/>
  <c r="BE13" i="3"/>
  <c r="BE5" i="3"/>
  <c r="O5" i="3"/>
  <c r="G23" i="6"/>
  <c r="D38" i="43" s="1"/>
  <c r="H38" i="43" s="1"/>
  <c r="D9" i="84"/>
  <c r="C9" i="84" s="1"/>
  <c r="K14" i="1"/>
  <c r="M14" i="1" s="1"/>
  <c r="E21" i="6"/>
  <c r="K8" i="1" s="1"/>
  <c r="M8" i="1"/>
  <c r="D29" i="89"/>
  <c r="D1" i="89" s="1"/>
  <c r="AA44" i="39"/>
  <c r="S44" i="39"/>
  <c r="P21" i="43"/>
  <c r="B71" i="39" s="1"/>
  <c r="P23" i="43"/>
  <c r="P22" i="89"/>
  <c r="P23" i="89"/>
  <c r="S32" i="39"/>
  <c r="H60" i="89"/>
  <c r="G60" i="89" s="1"/>
  <c r="H61" i="89"/>
  <c r="G61" i="89" s="1"/>
  <c r="H56" i="43"/>
  <c r="G56" i="43" s="1"/>
  <c r="C16" i="43"/>
  <c r="C5" i="43" s="1"/>
  <c r="D5" i="43"/>
  <c r="M7" i="1"/>
  <c r="G3" i="43"/>
  <c r="D101" i="43"/>
  <c r="D105" i="43" s="1"/>
  <c r="G101" i="43"/>
  <c r="G105" i="43" s="1"/>
  <c r="H101" i="43"/>
  <c r="H102" i="43" s="1"/>
  <c r="S2" i="43"/>
  <c r="B113" i="43"/>
  <c r="B115" i="43" s="1"/>
  <c r="AF11" i="43"/>
  <c r="AF13" i="43" s="1"/>
  <c r="Z7" i="43"/>
  <c r="S3" i="43"/>
  <c r="AH11" i="43"/>
  <c r="AD11" i="43"/>
  <c r="Z11" i="43"/>
  <c r="AI11" i="43"/>
  <c r="AI13" i="43" s="1"/>
  <c r="AE11" i="43"/>
  <c r="AE13" i="43" s="1"/>
  <c r="AA11" i="43"/>
  <c r="AA13" i="43" s="1"/>
  <c r="S6" i="43"/>
  <c r="C23" i="43"/>
  <c r="AY6" i="3"/>
  <c r="H22" i="89"/>
  <c r="M101" i="89"/>
  <c r="M107" i="89" s="1"/>
  <c r="I101" i="89"/>
  <c r="I106" i="89" s="1"/>
  <c r="E101" i="89"/>
  <c r="E107" i="89" s="1"/>
  <c r="G22" i="89"/>
  <c r="S7" i="89"/>
  <c r="S3" i="89"/>
  <c r="L101" i="89"/>
  <c r="L106" i="89" s="1"/>
  <c r="D101" i="89"/>
  <c r="D107" i="89" s="1"/>
  <c r="AG11" i="89"/>
  <c r="AG13" i="89" s="1"/>
  <c r="S4" i="89"/>
  <c r="J22" i="89"/>
  <c r="N101" i="89"/>
  <c r="N106" i="89" s="1"/>
  <c r="C23" i="89"/>
  <c r="D106" i="89"/>
  <c r="D104" i="89"/>
  <c r="D102" i="89"/>
  <c r="L107" i="89"/>
  <c r="L105" i="89"/>
  <c r="L103" i="89"/>
  <c r="N109" i="89"/>
  <c r="N104" i="89"/>
  <c r="N107" i="89"/>
  <c r="N105" i="89"/>
  <c r="E106" i="89"/>
  <c r="E104" i="89"/>
  <c r="E102" i="89"/>
  <c r="I107" i="89"/>
  <c r="I105" i="89"/>
  <c r="I103" i="89"/>
  <c r="M106" i="89"/>
  <c r="M104" i="89"/>
  <c r="M102" i="89"/>
  <c r="D3" i="6"/>
  <c r="B116" i="43"/>
  <c r="C116" i="43" s="1"/>
  <c r="B117" i="43"/>
  <c r="C117" i="43" s="1"/>
  <c r="B118" i="43"/>
  <c r="C118" i="43" s="1"/>
  <c r="I115" i="43"/>
  <c r="J115" i="43" s="1"/>
  <c r="K115" i="43" s="1"/>
  <c r="L115" i="43" s="1"/>
  <c r="M115" i="43" s="1"/>
  <c r="I117" i="43"/>
  <c r="J117" i="43" s="1"/>
  <c r="K117" i="43" s="1"/>
  <c r="L117" i="43" s="1"/>
  <c r="M117" i="43" s="1"/>
  <c r="D116" i="43"/>
  <c r="E116" i="43" s="1"/>
  <c r="F116" i="43" s="1"/>
  <c r="G116" i="43" s="1"/>
  <c r="H116" i="43" s="1"/>
  <c r="D115" i="43"/>
  <c r="E115" i="43" s="1"/>
  <c r="F115" i="43" s="1"/>
  <c r="G115" i="43" s="1"/>
  <c r="H115" i="43" s="1"/>
  <c r="H103" i="43"/>
  <c r="H109" i="43"/>
  <c r="H104" i="43"/>
  <c r="G102" i="43"/>
  <c r="G107" i="43"/>
  <c r="G106" i="43"/>
  <c r="D103" i="43"/>
  <c r="D107" i="43"/>
  <c r="D104" i="43"/>
  <c r="D102" i="43"/>
  <c r="L19" i="88"/>
  <c r="M19" i="83"/>
  <c r="C118" i="83" s="1"/>
  <c r="L19" i="79"/>
  <c r="M19" i="78"/>
  <c r="C118" i="78"/>
  <c r="M19" i="88"/>
  <c r="C118" i="88"/>
  <c r="M19" i="79"/>
  <c r="C118" i="79" s="1"/>
  <c r="L19" i="9"/>
  <c r="L19" i="83"/>
  <c r="L19" i="78"/>
  <c r="M19" i="9"/>
  <c r="C118" i="9"/>
  <c r="C14" i="74" s="1"/>
  <c r="B2" i="74" s="1"/>
  <c r="D7" i="74" s="1"/>
  <c r="C18" i="4"/>
  <c r="E61" i="40"/>
  <c r="C4" i="52"/>
  <c r="B45" i="72" s="1"/>
  <c r="C19" i="68"/>
  <c r="F52" i="15"/>
  <c r="C18" i="9" l="1"/>
  <c r="D18" i="9" s="1"/>
  <c r="C115" i="43"/>
  <c r="D8" i="74"/>
  <c r="AC44" i="21"/>
  <c r="W44" i="21"/>
  <c r="AB9" i="36"/>
  <c r="U9" i="36"/>
  <c r="AC23" i="36"/>
  <c r="W23" i="36"/>
  <c r="W12" i="37"/>
  <c r="AC12" i="37"/>
  <c r="D117" i="89"/>
  <c r="E117" i="89" s="1"/>
  <c r="F117" i="89" s="1"/>
  <c r="G117" i="89" s="1"/>
  <c r="H117" i="89" s="1"/>
  <c r="D115" i="89"/>
  <c r="E115" i="89" s="1"/>
  <c r="F115" i="89" s="1"/>
  <c r="G115" i="89" s="1"/>
  <c r="H115" i="89" s="1"/>
  <c r="I117" i="89"/>
  <c r="J117" i="89" s="1"/>
  <c r="K117" i="89" s="1"/>
  <c r="L117" i="89" s="1"/>
  <c r="M117" i="89" s="1"/>
  <c r="I115" i="89"/>
  <c r="J115" i="89" s="1"/>
  <c r="K115" i="89" s="1"/>
  <c r="L115" i="89" s="1"/>
  <c r="M115" i="89" s="1"/>
  <c r="G118" i="89"/>
  <c r="H118" i="89" s="1"/>
  <c r="D118" i="89"/>
  <c r="E118" i="89" s="1"/>
  <c r="F118" i="89" s="1"/>
  <c r="D116" i="89"/>
  <c r="E116" i="89" s="1"/>
  <c r="F116" i="89" s="1"/>
  <c r="G116" i="89" s="1"/>
  <c r="H116" i="89" s="1"/>
  <c r="I118" i="89"/>
  <c r="J118" i="89" s="1"/>
  <c r="K118" i="89" s="1"/>
  <c r="L118" i="89" s="1"/>
  <c r="M118" i="89" s="1"/>
  <c r="I116" i="89"/>
  <c r="J116" i="89" s="1"/>
  <c r="K116" i="89" s="1"/>
  <c r="L116" i="89" s="1"/>
  <c r="M116" i="89" s="1"/>
  <c r="B118" i="89"/>
  <c r="C118" i="89" s="1"/>
  <c r="B116" i="89"/>
  <c r="C116" i="89" s="1"/>
  <c r="B117" i="89"/>
  <c r="C117" i="89" s="1"/>
  <c r="B115" i="89"/>
  <c r="C101" i="43"/>
  <c r="F22" i="43"/>
  <c r="K101" i="43"/>
  <c r="N101" i="43"/>
  <c r="J101" i="43"/>
  <c r="L101" i="43"/>
  <c r="G22" i="43"/>
  <c r="E101" i="43"/>
  <c r="S5" i="43"/>
  <c r="S7" i="43"/>
  <c r="M101" i="43"/>
  <c r="AG11" i="43"/>
  <c r="AC11" i="43"/>
  <c r="Y11" i="43"/>
  <c r="Y13" i="43" s="1"/>
  <c r="M56" i="43"/>
  <c r="N56" i="43" s="1"/>
  <c r="K56" i="43"/>
  <c r="M61" i="89"/>
  <c r="N61" i="89" s="1"/>
  <c r="K61" i="89"/>
  <c r="M60" i="89"/>
  <c r="N60" i="89" s="1"/>
  <c r="K60" i="89"/>
  <c r="H49" i="43"/>
  <c r="G49" i="43" s="1"/>
  <c r="H50" i="43"/>
  <c r="G50" i="43" s="1"/>
  <c r="H53" i="43"/>
  <c r="G53" i="43" s="1"/>
  <c r="H54" i="43"/>
  <c r="G54" i="43" s="1"/>
  <c r="C16" i="89"/>
  <c r="C5" i="89" s="1"/>
  <c r="H66" i="89"/>
  <c r="G66" i="89" s="1"/>
  <c r="H63" i="89"/>
  <c r="G63" i="89" s="1"/>
  <c r="H67" i="89"/>
  <c r="G67" i="89" s="1"/>
  <c r="H62" i="89"/>
  <c r="G62" i="89" s="1"/>
  <c r="H59" i="89"/>
  <c r="G59" i="89" s="1"/>
  <c r="W39" i="34"/>
  <c r="AC39" i="34"/>
  <c r="S35" i="33"/>
  <c r="AA35" i="33"/>
  <c r="AB12" i="37"/>
  <c r="U12" i="37"/>
  <c r="W9" i="37"/>
  <c r="AC9" i="37"/>
  <c r="AC27" i="37"/>
  <c r="W27" i="37"/>
  <c r="AB14" i="40"/>
  <c r="U14" i="40"/>
  <c r="AA43" i="39"/>
  <c r="S43" i="39"/>
  <c r="S13" i="37"/>
  <c r="AA13" i="37"/>
  <c r="W25" i="36"/>
  <c r="AC25" i="36"/>
  <c r="AB25" i="35"/>
  <c r="U25" i="35"/>
  <c r="AA46" i="21"/>
  <c r="S46" i="21"/>
  <c r="U46" i="21"/>
  <c r="AB46" i="21"/>
  <c r="U44" i="21"/>
  <c r="AB44" i="21"/>
  <c r="U30" i="21"/>
  <c r="AB30" i="21"/>
  <c r="W14" i="21"/>
  <c r="AC14" i="21"/>
  <c r="AB15" i="40"/>
  <c r="U15" i="40"/>
  <c r="W20" i="35"/>
  <c r="AC20" i="35"/>
  <c r="AC23" i="40"/>
  <c r="W23" i="40"/>
  <c r="U39" i="21"/>
  <c r="AB39" i="21"/>
  <c r="AB34" i="21"/>
  <c r="U34" i="21"/>
  <c r="AC36" i="21"/>
  <c r="W36" i="21"/>
  <c r="AC40" i="33"/>
  <c r="W40" i="33"/>
  <c r="AA9" i="34"/>
  <c r="S9" i="34"/>
  <c r="W8" i="35"/>
  <c r="AC8" i="35"/>
  <c r="S12" i="35"/>
  <c r="AA12" i="35"/>
  <c r="W12" i="35"/>
  <c r="AC12" i="35"/>
  <c r="U23" i="35"/>
  <c r="AB23" i="35"/>
  <c r="H36" i="35"/>
  <c r="J36" i="35"/>
  <c r="AB23" i="36"/>
  <c r="U23" i="36"/>
  <c r="W40" i="40"/>
  <c r="AC40" i="40"/>
  <c r="J33" i="40"/>
  <c r="F33" i="40"/>
  <c r="H33" i="40"/>
  <c r="AB34" i="37"/>
  <c r="U34" i="37"/>
  <c r="W31" i="35"/>
  <c r="AC31" i="35"/>
  <c r="AC30" i="36"/>
  <c r="W30" i="36"/>
  <c r="S22" i="31"/>
  <c r="R22" i="31" s="1"/>
  <c r="B21" i="31" s="1"/>
  <c r="H55" i="43"/>
  <c r="G55" i="43" s="1"/>
  <c r="U32" i="39"/>
  <c r="AB32" i="39"/>
  <c r="S19" i="33"/>
  <c r="AA19" i="33"/>
  <c r="AQ11" i="1"/>
  <c r="AR11" i="1"/>
  <c r="G30" i="6"/>
  <c r="E29" i="6"/>
  <c r="S9" i="37"/>
  <c r="AA9" i="37"/>
  <c r="AB19" i="34"/>
  <c r="U19" i="34"/>
  <c r="AA17" i="21"/>
  <c r="S17" i="21"/>
  <c r="S31" i="34"/>
  <c r="AA31" i="34"/>
  <c r="AC31" i="34"/>
  <c r="W31" i="34"/>
  <c r="S29" i="34"/>
  <c r="AA29" i="34"/>
  <c r="U29" i="21"/>
  <c r="AB29" i="21"/>
  <c r="AB27" i="21"/>
  <c r="U27" i="21"/>
  <c r="AA44" i="34"/>
  <c r="S44" i="34"/>
  <c r="U37" i="34"/>
  <c r="AB37" i="34"/>
  <c r="AB38" i="34"/>
  <c r="U38" i="34"/>
  <c r="W17" i="40"/>
  <c r="AC17" i="40"/>
  <c r="AB14" i="35"/>
  <c r="U14" i="35"/>
  <c r="AA24" i="36"/>
  <c r="S24" i="36"/>
  <c r="AB30" i="35"/>
  <c r="U30" i="35"/>
  <c r="W21" i="40"/>
  <c r="AC21" i="40"/>
  <c r="U39" i="39"/>
  <c r="AB39" i="39"/>
  <c r="AA26" i="33"/>
  <c r="S26" i="33"/>
  <c r="AB22" i="35"/>
  <c r="U22" i="35"/>
  <c r="AA29" i="36"/>
  <c r="S29" i="36"/>
  <c r="AA39" i="21"/>
  <c r="S39" i="21"/>
  <c r="U38" i="21"/>
  <c r="AB38" i="21"/>
  <c r="W35" i="21"/>
  <c r="AC35" i="21"/>
  <c r="F9" i="21"/>
  <c r="J9" i="21"/>
  <c r="H28" i="33"/>
  <c r="F28" i="33"/>
  <c r="J28" i="33"/>
  <c r="U8" i="34"/>
  <c r="AB8" i="34"/>
  <c r="U8" i="36"/>
  <c r="AB8" i="36"/>
  <c r="AC9" i="36"/>
  <c r="W9" i="36"/>
  <c r="H13" i="36"/>
  <c r="J13" i="36"/>
  <c r="H34" i="36"/>
  <c r="J34" i="36"/>
  <c r="H33" i="36"/>
  <c r="F33" i="36"/>
  <c r="AC23" i="39"/>
  <c r="W23" i="39"/>
  <c r="F31" i="39"/>
  <c r="AA31" i="39" s="1"/>
  <c r="H31" i="39"/>
  <c r="AB40" i="40"/>
  <c r="U40" i="40"/>
  <c r="W42" i="34"/>
  <c r="AC42" i="34"/>
  <c r="AA30" i="36"/>
  <c r="S30" i="36"/>
  <c r="AB35" i="39"/>
  <c r="U35" i="39"/>
  <c r="D106" i="43"/>
  <c r="D109" i="43"/>
  <c r="G103" i="43"/>
  <c r="G104" i="43"/>
  <c r="H106" i="43"/>
  <c r="H107" i="43"/>
  <c r="H105" i="43"/>
  <c r="D117" i="43"/>
  <c r="E117" i="43" s="1"/>
  <c r="F117" i="43" s="1"/>
  <c r="G117" i="43" s="1"/>
  <c r="H117" i="43" s="1"/>
  <c r="D118" i="43"/>
  <c r="E118" i="43" s="1"/>
  <c r="F118" i="43" s="1"/>
  <c r="I118" i="43"/>
  <c r="J118" i="43" s="1"/>
  <c r="K118" i="43" s="1"/>
  <c r="L118" i="43" s="1"/>
  <c r="M118" i="43" s="1"/>
  <c r="G118" i="43"/>
  <c r="H118" i="43" s="1"/>
  <c r="I116" i="43"/>
  <c r="J116" i="43" s="1"/>
  <c r="K116" i="43" s="1"/>
  <c r="L116" i="43" s="1"/>
  <c r="M116" i="43" s="1"/>
  <c r="M103" i="89"/>
  <c r="M105" i="89"/>
  <c r="I102" i="89"/>
  <c r="I104" i="89"/>
  <c r="E103" i="89"/>
  <c r="E105" i="89"/>
  <c r="N103" i="89"/>
  <c r="N102" i="89"/>
  <c r="L102" i="89"/>
  <c r="L104" i="89"/>
  <c r="D103" i="89"/>
  <c r="D105" i="89"/>
  <c r="Y11" i="89"/>
  <c r="Y13" i="89" s="1"/>
  <c r="AI11" i="89"/>
  <c r="AI13" i="89" s="1"/>
  <c r="F101" i="89"/>
  <c r="S6" i="89"/>
  <c r="J101" i="89"/>
  <c r="E22" i="89"/>
  <c r="H101" i="89"/>
  <c r="S2" i="89"/>
  <c r="S5" i="89"/>
  <c r="Z7" i="89"/>
  <c r="Z11" i="89"/>
  <c r="Z13" i="89" s="1"/>
  <c r="AA11" i="89"/>
  <c r="AA13" i="89" s="1"/>
  <c r="AB11" i="89"/>
  <c r="AB13" i="89" s="1"/>
  <c r="AC11" i="89"/>
  <c r="AC13" i="89" s="1"/>
  <c r="AD11" i="89"/>
  <c r="AD13" i="89" s="1"/>
  <c r="AE11" i="89"/>
  <c r="AE13" i="89" s="1"/>
  <c r="AF11" i="89"/>
  <c r="AF13" i="89" s="1"/>
  <c r="AH11" i="89"/>
  <c r="AH13" i="89" s="1"/>
  <c r="AJ11" i="89"/>
  <c r="AJ13" i="89" s="1"/>
  <c r="C101" i="89"/>
  <c r="G101" i="89"/>
  <c r="K101" i="89"/>
  <c r="F22" i="89"/>
  <c r="J22" i="43"/>
  <c r="H22" i="43"/>
  <c r="AB11" i="43"/>
  <c r="AB13" i="43" s="1"/>
  <c r="AJ11" i="43"/>
  <c r="AJ13" i="43" s="1"/>
  <c r="S4" i="43"/>
  <c r="I101" i="43"/>
  <c r="N104" i="46"/>
  <c r="F101" i="43"/>
  <c r="E22" i="43"/>
  <c r="D22" i="43" s="1"/>
  <c r="C21" i="43" s="1"/>
  <c r="C11" i="39"/>
  <c r="E23" i="6"/>
  <c r="H51" i="43"/>
  <c r="G51" i="43" s="1"/>
  <c r="H65" i="89"/>
  <c r="G65" i="89" s="1"/>
  <c r="H64" i="89"/>
  <c r="G64" i="89" s="1"/>
  <c r="W17" i="39"/>
  <c r="W27" i="39"/>
  <c r="T11" i="1"/>
  <c r="H48" i="43"/>
  <c r="G48" i="43" s="1"/>
  <c r="H52" i="43"/>
  <c r="G52" i="43" s="1"/>
  <c r="F17" i="39"/>
  <c r="H17" i="39"/>
  <c r="D10" i="52"/>
  <c r="D125" i="9"/>
  <c r="D11" i="52" s="1"/>
  <c r="H110" i="9"/>
  <c r="D18" i="53" s="1"/>
  <c r="B35" i="72" s="1"/>
  <c r="D16" i="53"/>
  <c r="S17" i="33"/>
  <c r="AC25" i="33"/>
  <c r="AB9" i="21"/>
  <c r="U9" i="35"/>
  <c r="AB36" i="21"/>
  <c r="S28" i="21"/>
  <c r="AA15" i="21"/>
  <c r="AA29" i="21"/>
  <c r="AA31" i="21"/>
  <c r="F13" i="21"/>
  <c r="U45" i="21"/>
  <c r="AB45" i="21"/>
  <c r="W39" i="21"/>
  <c r="U13" i="21"/>
  <c r="U31" i="21"/>
  <c r="AB14" i="21"/>
  <c r="S31" i="33"/>
  <c r="U44" i="33"/>
  <c r="U30" i="34"/>
  <c r="W46" i="34"/>
  <c r="AB36" i="34"/>
  <c r="S35" i="35"/>
  <c r="AC25" i="35"/>
  <c r="S9" i="36"/>
  <c r="U25" i="36"/>
  <c r="S20" i="36"/>
  <c r="AA45" i="39"/>
  <c r="AB8" i="21"/>
  <c r="AA38" i="21"/>
  <c r="W41" i="21"/>
  <c r="S27" i="33"/>
  <c r="AB10" i="35"/>
  <c r="W32" i="35"/>
  <c r="W14" i="36"/>
  <c r="U26" i="36"/>
  <c r="AQ12" i="1"/>
  <c r="AR12" i="1"/>
  <c r="AC39" i="40"/>
  <c r="AC33" i="34"/>
  <c r="W33" i="34"/>
  <c r="AC39" i="39"/>
  <c r="W39" i="39"/>
  <c r="AB44" i="34"/>
  <c r="U44" i="34"/>
  <c r="S40" i="34"/>
  <c r="AA40" i="34"/>
  <c r="U34" i="33"/>
  <c r="AB34" i="33"/>
  <c r="S10" i="33"/>
  <c r="AA10" i="33"/>
  <c r="AB32" i="37"/>
  <c r="U32" i="37"/>
  <c r="AB35" i="40"/>
  <c r="U35" i="40"/>
  <c r="S14" i="35"/>
  <c r="H62" i="43"/>
  <c r="H65" i="43"/>
  <c r="H64" i="43"/>
  <c r="H67" i="43"/>
  <c r="H60" i="43"/>
  <c r="D9" i="53"/>
  <c r="B25" i="72" s="1"/>
  <c r="B24" i="72"/>
  <c r="S19" i="40"/>
  <c r="AA19" i="40"/>
  <c r="U19" i="40"/>
  <c r="AB19" i="40"/>
  <c r="F12" i="37"/>
  <c r="F36" i="35"/>
  <c r="W47" i="34"/>
  <c r="AB28" i="37"/>
  <c r="AB19" i="37"/>
  <c r="U19" i="37"/>
  <c r="U36" i="39"/>
  <c r="AB17" i="21"/>
  <c r="U17" i="21"/>
  <c r="AC14" i="37"/>
  <c r="W14" i="37"/>
  <c r="AC28" i="37"/>
  <c r="W28" i="37"/>
  <c r="W13" i="37"/>
  <c r="AC13" i="37"/>
  <c r="AB13" i="37"/>
  <c r="U13" i="37"/>
  <c r="AC35" i="35"/>
  <c r="W35" i="35"/>
  <c r="S25" i="35"/>
  <c r="AA25" i="35"/>
  <c r="S13" i="35"/>
  <c r="AA13" i="35"/>
  <c r="U45" i="34"/>
  <c r="AB45" i="34"/>
  <c r="F13" i="36"/>
  <c r="AA45" i="21"/>
  <c r="S45" i="21"/>
  <c r="AC31" i="21"/>
  <c r="W31" i="21"/>
  <c r="J13" i="21"/>
  <c r="U14" i="36"/>
  <c r="AB14" i="36"/>
  <c r="AB10" i="36"/>
  <c r="U10" i="36"/>
  <c r="W46" i="21"/>
  <c r="AC46" i="21"/>
  <c r="F44" i="21"/>
  <c r="AB28" i="21"/>
  <c r="U28" i="21"/>
  <c r="S14" i="21"/>
  <c r="AA14" i="21"/>
  <c r="AB25" i="34"/>
  <c r="U25" i="34"/>
  <c r="S15" i="40"/>
  <c r="AA15" i="40"/>
  <c r="AA17" i="40"/>
  <c r="S17" i="40"/>
  <c r="U28" i="40"/>
  <c r="AB28" i="40"/>
  <c r="S35" i="37"/>
  <c r="AA35" i="37"/>
  <c r="F34" i="36"/>
  <c r="AB16" i="36"/>
  <c r="U16" i="36"/>
  <c r="W30" i="35"/>
  <c r="AC30" i="35"/>
  <c r="AB42" i="39"/>
  <c r="U42" i="39"/>
  <c r="AA21" i="40"/>
  <c r="S21" i="40"/>
  <c r="H27" i="39"/>
  <c r="F101" i="39"/>
  <c r="G101" i="39" s="1"/>
  <c r="AA42" i="39"/>
  <c r="S42" i="39"/>
  <c r="AC27" i="35"/>
  <c r="J33" i="36"/>
  <c r="AA31" i="36"/>
  <c r="AC36" i="39"/>
  <c r="W36" i="39"/>
  <c r="J35" i="39"/>
  <c r="S36" i="39"/>
  <c r="AA36" i="39"/>
  <c r="W45" i="39"/>
  <c r="AC45" i="39"/>
  <c r="AA35" i="21"/>
  <c r="S35" i="21"/>
  <c r="W34" i="21"/>
  <c r="AC34" i="21"/>
  <c r="S36" i="21"/>
  <c r="AA36" i="21"/>
  <c r="AB43" i="21"/>
  <c r="U43" i="21"/>
  <c r="AA8" i="21"/>
  <c r="S8" i="21"/>
  <c r="F12" i="21"/>
  <c r="J12" i="21"/>
  <c r="H12" i="21"/>
  <c r="W45" i="21"/>
  <c r="AC45" i="21"/>
  <c r="AA42" i="21"/>
  <c r="S42" i="21"/>
  <c r="B52" i="89"/>
  <c r="B63" i="43"/>
  <c r="B73" i="89"/>
  <c r="B73" i="43"/>
  <c r="J9" i="34"/>
  <c r="H9" i="34"/>
  <c r="F28" i="34"/>
  <c r="J28" i="34"/>
  <c r="H28" i="34"/>
  <c r="AB8" i="35"/>
  <c r="U8" i="35"/>
  <c r="AA28" i="35"/>
  <c r="S28" i="35"/>
  <c r="AC28" i="35"/>
  <c r="W28" i="35"/>
  <c r="H13" i="33"/>
  <c r="F13" i="33"/>
  <c r="J29" i="33"/>
  <c r="H29" i="33"/>
  <c r="F29" i="33"/>
  <c r="J31" i="33"/>
  <c r="H31" i="33"/>
  <c r="H45" i="33"/>
  <c r="J45" i="33"/>
  <c r="F45" i="33"/>
  <c r="J14" i="34"/>
  <c r="F14" i="34"/>
  <c r="H14" i="34"/>
  <c r="F30" i="34"/>
  <c r="J30" i="34"/>
  <c r="H32" i="34"/>
  <c r="J32" i="34"/>
  <c r="H46" i="34"/>
  <c r="F46" i="34"/>
  <c r="H11" i="35"/>
  <c r="J11" i="35"/>
  <c r="F11" i="35"/>
  <c r="J24" i="35"/>
  <c r="F24" i="35"/>
  <c r="H24" i="35"/>
  <c r="J34" i="35"/>
  <c r="H34" i="35"/>
  <c r="F34" i="35"/>
  <c r="U27" i="35"/>
  <c r="AB27" i="35"/>
  <c r="U12" i="36"/>
  <c r="AB12" i="36"/>
  <c r="F23" i="36"/>
  <c r="AC24" i="36"/>
  <c r="W24" i="36"/>
  <c r="F32" i="36"/>
  <c r="H32" i="36"/>
  <c r="J32" i="36"/>
  <c r="H27" i="37"/>
  <c r="F27" i="37"/>
  <c r="W35" i="37"/>
  <c r="AC35" i="37"/>
  <c r="H40" i="37"/>
  <c r="J40" i="37"/>
  <c r="F40" i="37"/>
  <c r="E120" i="39"/>
  <c r="F120" i="39" s="1"/>
  <c r="G120" i="39" s="1"/>
  <c r="H120" i="39" s="1"/>
  <c r="I120" i="39" s="1"/>
  <c r="J120" i="39" s="1"/>
  <c r="K120" i="39" s="1"/>
  <c r="L120" i="39" s="1"/>
  <c r="M120" i="39" s="1"/>
  <c r="F39" i="39"/>
  <c r="AB8" i="40"/>
  <c r="U8" i="40"/>
  <c r="W9" i="40"/>
  <c r="AC9" i="40"/>
  <c r="AA34" i="40"/>
  <c r="S34" i="40"/>
  <c r="AC34" i="40"/>
  <c r="W34" i="40"/>
  <c r="AC38" i="40"/>
  <c r="W38" i="40"/>
  <c r="F40" i="40"/>
  <c r="J31" i="40"/>
  <c r="F31" i="40"/>
  <c r="H31" i="40"/>
  <c r="C36" i="69"/>
  <c r="F53" i="88"/>
  <c r="F28" i="87"/>
  <c r="F32" i="85"/>
  <c r="F60" i="85" s="1"/>
  <c r="M18" i="85"/>
  <c r="F30" i="84"/>
  <c r="D68" i="83"/>
  <c r="F54" i="83"/>
  <c r="F52" i="83"/>
  <c r="F32" i="81"/>
  <c r="F60" i="81" s="1"/>
  <c r="F32" i="80"/>
  <c r="F60" i="80" s="1"/>
  <c r="M18" i="80"/>
  <c r="D68" i="79"/>
  <c r="F54" i="79"/>
  <c r="F52" i="79"/>
  <c r="F53" i="78"/>
  <c r="D68" i="88"/>
  <c r="F54" i="88"/>
  <c r="F32" i="87"/>
  <c r="F60" i="87" s="1"/>
  <c r="F30" i="86"/>
  <c r="F28" i="85"/>
  <c r="F28" i="80"/>
  <c r="D68" i="78"/>
  <c r="F54" i="78"/>
  <c r="F52" i="88"/>
  <c r="F28" i="81"/>
  <c r="M18" i="81"/>
  <c r="F53" i="79"/>
  <c r="F52" i="78"/>
  <c r="M18" i="87"/>
  <c r="F53" i="83"/>
  <c r="F30" i="82"/>
  <c r="B13" i="53"/>
  <c r="B29" i="72" s="1"/>
  <c r="G1" i="85"/>
  <c r="G1" i="84"/>
  <c r="G1" i="81"/>
  <c r="G1" i="80"/>
  <c r="G1" i="82"/>
  <c r="G1" i="87"/>
  <c r="G1" i="86"/>
  <c r="F3" i="35"/>
  <c r="I100" i="43"/>
  <c r="L108" i="43"/>
  <c r="L109" i="43" s="1"/>
  <c r="L100" i="43"/>
  <c r="C21" i="69"/>
  <c r="C40" i="69"/>
  <c r="U21" i="33"/>
  <c r="AA21" i="37"/>
  <c r="AB29" i="39"/>
  <c r="U29" i="39"/>
  <c r="S18" i="36"/>
  <c r="AB18" i="36"/>
  <c r="U18" i="36"/>
  <c r="D43" i="71"/>
  <c r="C35" i="71"/>
  <c r="C39" i="71"/>
  <c r="O49" i="71"/>
  <c r="O48" i="71"/>
  <c r="E54" i="71"/>
  <c r="E53" i="71" s="1"/>
  <c r="D41" i="71"/>
  <c r="C26" i="71"/>
  <c r="S51" i="71"/>
  <c r="B50" i="71"/>
  <c r="T55" i="71"/>
  <c r="C54" i="71"/>
  <c r="T63" i="71"/>
  <c r="C62" i="71"/>
  <c r="AF10" i="43"/>
  <c r="AC12" i="43"/>
  <c r="AC13" i="43" s="1"/>
  <c r="AC10" i="43"/>
  <c r="AG12" i="43"/>
  <c r="AG13" i="43" s="1"/>
  <c r="AG10" i="43"/>
  <c r="BL585" i="3"/>
  <c r="AZ585" i="3" s="1"/>
  <c r="BA584" i="3"/>
  <c r="AZ584" i="3" s="1"/>
  <c r="BL581" i="3"/>
  <c r="AZ581" i="3" s="1"/>
  <c r="BA580" i="3"/>
  <c r="AZ580" i="3" s="1"/>
  <c r="BL577" i="3"/>
  <c r="AZ577" i="3" s="1"/>
  <c r="BA576" i="3"/>
  <c r="AZ576" i="3" s="1"/>
  <c r="BL573" i="3"/>
  <c r="AZ573" i="3" s="1"/>
  <c r="BA572" i="3"/>
  <c r="AZ572" i="3" s="1"/>
  <c r="BL569" i="3"/>
  <c r="AZ569" i="3" s="1"/>
  <c r="BA568" i="3"/>
  <c r="AZ568" i="3" s="1"/>
  <c r="BL565" i="3"/>
  <c r="AZ565" i="3" s="1"/>
  <c r="BA564" i="3"/>
  <c r="AZ564" i="3" s="1"/>
  <c r="BL561" i="3"/>
  <c r="AZ561" i="3" s="1"/>
  <c r="BA560" i="3"/>
  <c r="AZ560" i="3" s="1"/>
  <c r="BL557" i="3"/>
  <c r="AZ557" i="3" s="1"/>
  <c r="BA556" i="3"/>
  <c r="AZ556" i="3" s="1"/>
  <c r="BL553" i="3"/>
  <c r="AZ553" i="3" s="1"/>
  <c r="BA552" i="3"/>
  <c r="AZ552" i="3" s="1"/>
  <c r="BL549" i="3"/>
  <c r="AZ549" i="3" s="1"/>
  <c r="BA548" i="3"/>
  <c r="AZ548" i="3" s="1"/>
  <c r="BL544" i="3"/>
  <c r="AZ544" i="3" s="1"/>
  <c r="BA543" i="3"/>
  <c r="AZ543" i="3" s="1"/>
  <c r="BL536" i="3"/>
  <c r="AZ536" i="3"/>
  <c r="BA535" i="3"/>
  <c r="AZ535" i="3" s="1"/>
  <c r="BL528" i="3"/>
  <c r="AZ528" i="3" s="1"/>
  <c r="BA527" i="3"/>
  <c r="AZ527" i="3" s="1"/>
  <c r="BL520" i="3"/>
  <c r="BL516" i="3"/>
  <c r="AZ516" i="3" s="1"/>
  <c r="BA515" i="3"/>
  <c r="AZ515" i="3" s="1"/>
  <c r="BL500" i="3"/>
  <c r="AZ500" i="3"/>
  <c r="BA499" i="3"/>
  <c r="AZ499" i="3" s="1"/>
  <c r="BL484" i="3"/>
  <c r="AZ484" i="3" s="1"/>
  <c r="BA483" i="3"/>
  <c r="AZ483" i="3" s="1"/>
  <c r="BL468" i="3"/>
  <c r="AZ468" i="3"/>
  <c r="BA467" i="3"/>
  <c r="AZ467" i="3" s="1"/>
  <c r="BL452" i="3"/>
  <c r="AZ452" i="3" s="1"/>
  <c r="BA451" i="3"/>
  <c r="AZ451" i="3" s="1"/>
  <c r="BL436" i="3"/>
  <c r="AZ436" i="3"/>
  <c r="BA435" i="3"/>
  <c r="AZ435" i="3" s="1"/>
  <c r="BL420" i="3"/>
  <c r="AZ420" i="3" s="1"/>
  <c r="BA419" i="3"/>
  <c r="AZ419" i="3" s="1"/>
  <c r="BL404" i="3"/>
  <c r="AZ404" i="3"/>
  <c r="BA403" i="3"/>
  <c r="AZ403" i="3" s="1"/>
  <c r="BL388" i="3"/>
  <c r="AZ388" i="3" s="1"/>
  <c r="BA387" i="3"/>
  <c r="AZ387" i="3" s="1"/>
  <c r="BL372" i="3"/>
  <c r="AZ372" i="3"/>
  <c r="BA371" i="3"/>
  <c r="AZ371" i="3" s="1"/>
  <c r="BL356" i="3"/>
  <c r="AZ356" i="3" s="1"/>
  <c r="BA355" i="3"/>
  <c r="AZ355" i="3" s="1"/>
  <c r="BL340" i="3"/>
  <c r="AZ340" i="3"/>
  <c r="BA339" i="3"/>
  <c r="AZ339" i="3" s="1"/>
  <c r="BL324" i="3"/>
  <c r="AZ324" i="3" s="1"/>
  <c r="BA323" i="3"/>
  <c r="AZ323" i="3" s="1"/>
  <c r="BL308" i="3"/>
  <c r="AZ308" i="3"/>
  <c r="BA307" i="3"/>
  <c r="AZ307" i="3" s="1"/>
  <c r="BL292" i="3"/>
  <c r="AZ292" i="3" s="1"/>
  <c r="BA291" i="3"/>
  <c r="AZ291" i="3" s="1"/>
  <c r="BL276" i="3"/>
  <c r="AZ276" i="3"/>
  <c r="BA275" i="3"/>
  <c r="AZ275" i="3" s="1"/>
  <c r="BL260" i="3"/>
  <c r="AZ260" i="3" s="1"/>
  <c r="BA259" i="3"/>
  <c r="AZ259" i="3" s="1"/>
  <c r="BL244" i="3"/>
  <c r="AZ244" i="3"/>
  <c r="BA243" i="3"/>
  <c r="AZ243" i="3" s="1"/>
  <c r="BL228" i="3"/>
  <c r="AZ228" i="3" s="1"/>
  <c r="BA227" i="3"/>
  <c r="AZ227" i="3" s="1"/>
  <c r="BL212" i="3"/>
  <c r="AZ212" i="3"/>
  <c r="BA211" i="3"/>
  <c r="AZ211" i="3" s="1"/>
  <c r="BL187" i="3"/>
  <c r="AZ187" i="3" s="1"/>
  <c r="BA186" i="3"/>
  <c r="AZ186" i="3" s="1"/>
  <c r="G13" i="1"/>
  <c r="G11" i="1"/>
  <c r="K108" i="43"/>
  <c r="K109" i="43" s="1"/>
  <c r="K100" i="43"/>
  <c r="G108" i="43"/>
  <c r="G109" i="43" s="1"/>
  <c r="G100" i="43"/>
  <c r="AA21" i="21"/>
  <c r="S21" i="21"/>
  <c r="F49" i="71"/>
  <c r="Q50" i="71"/>
  <c r="D67" i="71"/>
  <c r="C66" i="71"/>
  <c r="Z12" i="43"/>
  <c r="Z13" i="43" s="1"/>
  <c r="Z10" i="43"/>
  <c r="AD12" i="43"/>
  <c r="AD13" i="43" s="1"/>
  <c r="AD10" i="43"/>
  <c r="AH12" i="43"/>
  <c r="AH13" i="43" s="1"/>
  <c r="AH10" i="43"/>
  <c r="BL587" i="3"/>
  <c r="AZ587" i="3" s="1"/>
  <c r="BA586" i="3"/>
  <c r="AZ586" i="3" s="1"/>
  <c r="BL583" i="3"/>
  <c r="AZ583" i="3" s="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BA547" i="3"/>
  <c r="AZ547" i="3" s="1"/>
  <c r="BL540" i="3"/>
  <c r="AZ540" i="3"/>
  <c r="BA539" i="3"/>
  <c r="AZ539" i="3" s="1"/>
  <c r="BL532" i="3"/>
  <c r="AZ532" i="3" s="1"/>
  <c r="BA531" i="3"/>
  <c r="AZ531" i="3" s="1"/>
  <c r="BL524" i="3"/>
  <c r="AZ524" i="3"/>
  <c r="BA523" i="3"/>
  <c r="AZ523" i="3" s="1"/>
  <c r="BL508" i="3"/>
  <c r="AZ508" i="3" s="1"/>
  <c r="BA507" i="3"/>
  <c r="AZ507" i="3" s="1"/>
  <c r="BL492" i="3"/>
  <c r="AZ492" i="3"/>
  <c r="BA491" i="3"/>
  <c r="AZ491" i="3" s="1"/>
  <c r="BL476" i="3"/>
  <c r="AZ476" i="3" s="1"/>
  <c r="BA475" i="3"/>
  <c r="AZ475" i="3" s="1"/>
  <c r="BL460" i="3"/>
  <c r="AZ460" i="3"/>
  <c r="BA459" i="3"/>
  <c r="AZ459" i="3" s="1"/>
  <c r="BL444" i="3"/>
  <c r="AZ444" i="3" s="1"/>
  <c r="BA443" i="3"/>
  <c r="AZ443" i="3" s="1"/>
  <c r="BL428" i="3"/>
  <c r="AZ428" i="3"/>
  <c r="BA427" i="3"/>
  <c r="AZ427" i="3" s="1"/>
  <c r="BL412" i="3"/>
  <c r="AZ412" i="3" s="1"/>
  <c r="BA411" i="3"/>
  <c r="AZ411" i="3" s="1"/>
  <c r="BL396" i="3"/>
  <c r="AZ396" i="3"/>
  <c r="BA395" i="3"/>
  <c r="AZ395" i="3" s="1"/>
  <c r="BL380" i="3"/>
  <c r="AZ380" i="3" s="1"/>
  <c r="BA379" i="3"/>
  <c r="AZ379" i="3" s="1"/>
  <c r="BL364" i="3"/>
  <c r="AZ364" i="3"/>
  <c r="BA363" i="3"/>
  <c r="AZ363" i="3" s="1"/>
  <c r="BL348" i="3"/>
  <c r="AZ348" i="3" s="1"/>
  <c r="BA347" i="3"/>
  <c r="AZ347" i="3" s="1"/>
  <c r="BL332" i="3"/>
  <c r="AZ332" i="3"/>
  <c r="BA331" i="3"/>
  <c r="AZ331" i="3" s="1"/>
  <c r="BL316" i="3"/>
  <c r="AZ316" i="3" s="1"/>
  <c r="BA315" i="3"/>
  <c r="AZ315" i="3" s="1"/>
  <c r="BL300" i="3"/>
  <c r="AZ300" i="3"/>
  <c r="BA299" i="3"/>
  <c r="AZ299" i="3" s="1"/>
  <c r="BL284" i="3"/>
  <c r="AZ284" i="3" s="1"/>
  <c r="BA283" i="3"/>
  <c r="AZ283" i="3" s="1"/>
  <c r="BL268" i="3"/>
  <c r="AZ268" i="3"/>
  <c r="BA267" i="3"/>
  <c r="AZ267" i="3" s="1"/>
  <c r="BL252" i="3"/>
  <c r="AZ252" i="3" s="1"/>
  <c r="BA251" i="3"/>
  <c r="AZ251" i="3" s="1"/>
  <c r="BL236" i="3"/>
  <c r="AZ236" i="3"/>
  <c r="BA235" i="3"/>
  <c r="AZ235" i="3" s="1"/>
  <c r="BL220" i="3"/>
  <c r="AZ220" i="3" s="1"/>
  <c r="BA219" i="3"/>
  <c r="AZ219" i="3" s="1"/>
  <c r="BL203" i="3"/>
  <c r="AZ203" i="3"/>
  <c r="BA202" i="3"/>
  <c r="AZ202" i="3" s="1"/>
  <c r="BL171" i="3"/>
  <c r="AZ171" i="3" s="1"/>
  <c r="BA170" i="3"/>
  <c r="AZ170" i="3" s="1"/>
  <c r="AZ520" i="3"/>
  <c r="BA519" i="3"/>
  <c r="AZ519" i="3" s="1"/>
  <c r="BL512" i="3"/>
  <c r="AZ512" i="3"/>
  <c r="BA511" i="3"/>
  <c r="AZ511" i="3" s="1"/>
  <c r="BL504" i="3"/>
  <c r="AZ504" i="3" s="1"/>
  <c r="BA503" i="3"/>
  <c r="AZ503" i="3" s="1"/>
  <c r="BL496" i="3"/>
  <c r="AZ496" i="3"/>
  <c r="BA495" i="3"/>
  <c r="AZ495" i="3" s="1"/>
  <c r="BL488" i="3"/>
  <c r="AZ488" i="3" s="1"/>
  <c r="BA487" i="3"/>
  <c r="AZ487" i="3" s="1"/>
  <c r="BL480" i="3"/>
  <c r="AZ480" i="3"/>
  <c r="BA479" i="3"/>
  <c r="AZ479" i="3" s="1"/>
  <c r="BL472" i="3"/>
  <c r="AZ472" i="3" s="1"/>
  <c r="BA471" i="3"/>
  <c r="AZ471" i="3" s="1"/>
  <c r="BL464" i="3"/>
  <c r="AZ464" i="3"/>
  <c r="BA463" i="3"/>
  <c r="AZ463" i="3" s="1"/>
  <c r="BL456" i="3"/>
  <c r="AZ456" i="3" s="1"/>
  <c r="BA455" i="3"/>
  <c r="AZ455" i="3" s="1"/>
  <c r="BL448" i="3"/>
  <c r="AZ448" i="3"/>
  <c r="BA447" i="3"/>
  <c r="AZ447" i="3" s="1"/>
  <c r="BL440" i="3"/>
  <c r="AZ440" i="3" s="1"/>
  <c r="BA439" i="3"/>
  <c r="AZ439" i="3" s="1"/>
  <c r="BL432" i="3"/>
  <c r="AZ432" i="3"/>
  <c r="BA431" i="3"/>
  <c r="AZ431" i="3" s="1"/>
  <c r="BL424" i="3"/>
  <c r="AZ424" i="3" s="1"/>
  <c r="BA423" i="3"/>
  <c r="AZ423" i="3" s="1"/>
  <c r="BL416" i="3"/>
  <c r="AZ416" i="3"/>
  <c r="BA415" i="3"/>
  <c r="AZ415" i="3" s="1"/>
  <c r="BL408" i="3"/>
  <c r="AZ408" i="3" s="1"/>
  <c r="BA407" i="3"/>
  <c r="AZ407" i="3" s="1"/>
  <c r="BL400" i="3"/>
  <c r="AZ400" i="3"/>
  <c r="BA399" i="3"/>
  <c r="AZ399" i="3" s="1"/>
  <c r="BL392" i="3"/>
  <c r="AZ392" i="3" s="1"/>
  <c r="BA391" i="3"/>
  <c r="AZ391" i="3" s="1"/>
  <c r="BL384" i="3"/>
  <c r="AZ384" i="3"/>
  <c r="BA383" i="3"/>
  <c r="AZ383" i="3" s="1"/>
  <c r="BL376" i="3"/>
  <c r="AZ376" i="3" s="1"/>
  <c r="BA375" i="3"/>
  <c r="AZ375" i="3" s="1"/>
  <c r="BL368" i="3"/>
  <c r="AZ368" i="3"/>
  <c r="BA367" i="3"/>
  <c r="AZ367" i="3" s="1"/>
  <c r="BL360" i="3"/>
  <c r="AZ360" i="3" s="1"/>
  <c r="BA359" i="3"/>
  <c r="AZ359" i="3" s="1"/>
  <c r="BL352" i="3"/>
  <c r="AZ352" i="3"/>
  <c r="BA351" i="3"/>
  <c r="AZ351" i="3" s="1"/>
  <c r="BL344" i="3"/>
  <c r="AZ344" i="3" s="1"/>
  <c r="BA343" i="3"/>
  <c r="AZ343" i="3" s="1"/>
  <c r="BL336" i="3"/>
  <c r="AZ336" i="3"/>
  <c r="BA335" i="3"/>
  <c r="AZ335" i="3" s="1"/>
  <c r="BL328" i="3"/>
  <c r="AZ328" i="3" s="1"/>
  <c r="BA327" i="3"/>
  <c r="AZ327" i="3" s="1"/>
  <c r="BL320" i="3"/>
  <c r="AZ320" i="3"/>
  <c r="BA319" i="3"/>
  <c r="AZ319" i="3" s="1"/>
  <c r="BL312" i="3"/>
  <c r="AZ312" i="3" s="1"/>
  <c r="BA311" i="3"/>
  <c r="AZ311" i="3" s="1"/>
  <c r="BL304" i="3"/>
  <c r="AZ304" i="3"/>
  <c r="BA303" i="3"/>
  <c r="AZ303" i="3" s="1"/>
  <c r="BL296" i="3"/>
  <c r="AZ296" i="3" s="1"/>
  <c r="BA295" i="3"/>
  <c r="AZ295" i="3" s="1"/>
  <c r="BL288" i="3"/>
  <c r="AZ288" i="3"/>
  <c r="BA287" i="3"/>
  <c r="AZ287" i="3" s="1"/>
  <c r="BL280" i="3"/>
  <c r="AZ280" i="3" s="1"/>
  <c r="BA279" i="3"/>
  <c r="AZ279" i="3" s="1"/>
  <c r="BL272" i="3"/>
  <c r="AZ272" i="3"/>
  <c r="BA271" i="3"/>
  <c r="AZ271" i="3" s="1"/>
  <c r="BL264" i="3"/>
  <c r="AZ264" i="3" s="1"/>
  <c r="BA263" i="3"/>
  <c r="AZ263" i="3" s="1"/>
  <c r="BL256" i="3"/>
  <c r="AZ256" i="3"/>
  <c r="BA255" i="3"/>
  <c r="AZ255" i="3" s="1"/>
  <c r="BL248" i="3"/>
  <c r="AZ248" i="3" s="1"/>
  <c r="BA247" i="3"/>
  <c r="AZ247" i="3" s="1"/>
  <c r="BL240" i="3"/>
  <c r="AZ240" i="3"/>
  <c r="BA239" i="3"/>
  <c r="AZ239" i="3" s="1"/>
  <c r="BL232" i="3"/>
  <c r="AZ232" i="3" s="1"/>
  <c r="BA231" i="3"/>
  <c r="AZ231" i="3" s="1"/>
  <c r="BL224" i="3"/>
  <c r="AZ224" i="3"/>
  <c r="BA223" i="3"/>
  <c r="AZ223" i="3" s="1"/>
  <c r="BL216" i="3"/>
  <c r="AZ216" i="3" s="1"/>
  <c r="BA215" i="3"/>
  <c r="AZ215" i="3" s="1"/>
  <c r="BL208" i="3"/>
  <c r="AZ208" i="3"/>
  <c r="BA207" i="3"/>
  <c r="AZ207" i="3" s="1"/>
  <c r="BL195" i="3"/>
  <c r="AZ195" i="3" s="1"/>
  <c r="BA194" i="3"/>
  <c r="AZ194" i="3" s="1"/>
  <c r="BL179" i="3"/>
  <c r="AZ179" i="3"/>
  <c r="BA178" i="3"/>
  <c r="AZ178" i="3" s="1"/>
  <c r="BL163" i="3"/>
  <c r="AZ163" i="3" s="1"/>
  <c r="BA162" i="3"/>
  <c r="AZ162" i="3" s="1"/>
  <c r="BL155" i="3"/>
  <c r="AZ155" i="3"/>
  <c r="BA154" i="3"/>
  <c r="AZ154" i="3" s="1"/>
  <c r="BL147" i="3"/>
  <c r="AZ147" i="3" s="1"/>
  <c r="BA146" i="3"/>
  <c r="AZ146" i="3" s="1"/>
  <c r="BL139" i="3"/>
  <c r="AZ139" i="3"/>
  <c r="BA138" i="3"/>
  <c r="AZ138" i="3" s="1"/>
  <c r="BL131" i="3"/>
  <c r="AZ131" i="3" s="1"/>
  <c r="BA130" i="3"/>
  <c r="AZ130" i="3" s="1"/>
  <c r="BL123" i="3"/>
  <c r="AZ123" i="3"/>
  <c r="BA122" i="3"/>
  <c r="AZ122" i="3" s="1"/>
  <c r="BL115" i="3"/>
  <c r="AZ115" i="3" s="1"/>
  <c r="BA114" i="3"/>
  <c r="AZ114" i="3" s="1"/>
  <c r="BL107" i="3"/>
  <c r="AZ107" i="3"/>
  <c r="BA106" i="3"/>
  <c r="AZ106" i="3" s="1"/>
  <c r="BL99" i="3"/>
  <c r="AZ99" i="3" s="1"/>
  <c r="BA98" i="3"/>
  <c r="AZ98" i="3" s="1"/>
  <c r="BL91" i="3"/>
  <c r="AZ91" i="3"/>
  <c r="BA90" i="3"/>
  <c r="AZ90" i="3" s="1"/>
  <c r="BL83" i="3"/>
  <c r="AZ83" i="3" s="1"/>
  <c r="BA82" i="3"/>
  <c r="AZ82" i="3" s="1"/>
  <c r="BL75" i="3"/>
  <c r="AZ75" i="3"/>
  <c r="BA74" i="3"/>
  <c r="AZ74" i="3" s="1"/>
  <c r="BL67" i="3"/>
  <c r="AZ67" i="3" s="1"/>
  <c r="BA66" i="3"/>
  <c r="AZ66" i="3" s="1"/>
  <c r="BL59" i="3"/>
  <c r="AZ59" i="3"/>
  <c r="BA58" i="3"/>
  <c r="AZ58" i="3" s="1"/>
  <c r="BL51" i="3"/>
  <c r="AZ51" i="3" s="1"/>
  <c r="BA50" i="3"/>
  <c r="AZ50" i="3" s="1"/>
  <c r="BL43" i="3"/>
  <c r="AZ43" i="3"/>
  <c r="BA42" i="3"/>
  <c r="AZ42" i="3" s="1"/>
  <c r="BL35" i="3"/>
  <c r="AZ35" i="3" s="1"/>
  <c r="BA34" i="3"/>
  <c r="AZ34" i="3" s="1"/>
  <c r="BL27" i="3"/>
  <c r="AZ27" i="3"/>
  <c r="BA26" i="3"/>
  <c r="AZ26" i="3" s="1"/>
  <c r="BL19" i="3"/>
  <c r="AZ19" i="3" s="1"/>
  <c r="BA18" i="3"/>
  <c r="AZ18" i="3" s="1"/>
  <c r="H111" i="79"/>
  <c r="D126" i="79" s="1"/>
  <c r="D127" i="79" s="1"/>
  <c r="A126" i="79"/>
  <c r="B71" i="89"/>
  <c r="B60" i="89"/>
  <c r="B49" i="89"/>
  <c r="B77" i="89"/>
  <c r="B67" i="89"/>
  <c r="B56" i="89"/>
  <c r="Q13" i="3"/>
  <c r="I10" i="92"/>
  <c r="H12" i="92"/>
  <c r="I10" i="66"/>
  <c r="D93" i="88"/>
  <c r="D78" i="83"/>
  <c r="D78" i="79"/>
  <c r="D93" i="78"/>
  <c r="D78" i="88"/>
  <c r="D93" i="83"/>
  <c r="D93" i="79"/>
  <c r="D78" i="78"/>
  <c r="G9" i="1"/>
  <c r="G7" i="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BA206" i="3"/>
  <c r="AZ206" i="3" s="1"/>
  <c r="BL199" i="3"/>
  <c r="AZ199" i="3"/>
  <c r="BA198" i="3"/>
  <c r="AZ198" i="3" s="1"/>
  <c r="BL191" i="3"/>
  <c r="AZ191" i="3" s="1"/>
  <c r="BA190" i="3"/>
  <c r="AZ190" i="3" s="1"/>
  <c r="BL183" i="3"/>
  <c r="AZ183" i="3"/>
  <c r="BA182" i="3"/>
  <c r="AZ182" i="3" s="1"/>
  <c r="BL175" i="3"/>
  <c r="AZ175" i="3" s="1"/>
  <c r="BA174" i="3"/>
  <c r="AZ174" i="3" s="1"/>
  <c r="BL167" i="3"/>
  <c r="AZ167" i="3"/>
  <c r="BA166" i="3"/>
  <c r="AZ166" i="3" s="1"/>
  <c r="BL159" i="3"/>
  <c r="AZ159" i="3" s="1"/>
  <c r="BA158" i="3"/>
  <c r="AZ158" i="3" s="1"/>
  <c r="BL151" i="3"/>
  <c r="AZ151" i="3"/>
  <c r="BA150" i="3"/>
  <c r="AZ150" i="3" s="1"/>
  <c r="BL143" i="3"/>
  <c r="AZ143" i="3" s="1"/>
  <c r="BA142" i="3"/>
  <c r="AZ142" i="3" s="1"/>
  <c r="BL135" i="3"/>
  <c r="AZ135" i="3"/>
  <c r="BA134" i="3"/>
  <c r="AZ134" i="3" s="1"/>
  <c r="BL127" i="3"/>
  <c r="AZ127" i="3" s="1"/>
  <c r="BA126" i="3"/>
  <c r="AZ126" i="3" s="1"/>
  <c r="BL119" i="3"/>
  <c r="AZ119" i="3"/>
  <c r="BA118" i="3"/>
  <c r="AZ118" i="3" s="1"/>
  <c r="BL111" i="3"/>
  <c r="AZ111" i="3" s="1"/>
  <c r="BA110" i="3"/>
  <c r="AZ110" i="3" s="1"/>
  <c r="BL103" i="3"/>
  <c r="AZ103" i="3"/>
  <c r="BA102" i="3"/>
  <c r="AZ102" i="3" s="1"/>
  <c r="BL95" i="3"/>
  <c r="AZ95" i="3" s="1"/>
  <c r="BA94" i="3"/>
  <c r="AZ94" i="3" s="1"/>
  <c r="BL87" i="3"/>
  <c r="AZ87" i="3"/>
  <c r="BA86" i="3"/>
  <c r="AZ86" i="3" s="1"/>
  <c r="BL79" i="3"/>
  <c r="AZ79" i="3" s="1"/>
  <c r="BA78" i="3"/>
  <c r="AZ78" i="3" s="1"/>
  <c r="BL71" i="3"/>
  <c r="AZ71" i="3"/>
  <c r="BA70" i="3"/>
  <c r="AZ70" i="3" s="1"/>
  <c r="BL63" i="3"/>
  <c r="AZ63" i="3" s="1"/>
  <c r="BA62" i="3"/>
  <c r="AZ62" i="3" s="1"/>
  <c r="BL55" i="3"/>
  <c r="AZ55" i="3"/>
  <c r="BA54" i="3"/>
  <c r="AZ54" i="3" s="1"/>
  <c r="BL47" i="3"/>
  <c r="AZ47" i="3" s="1"/>
  <c r="BA46" i="3"/>
  <c r="AZ46" i="3" s="1"/>
  <c r="BL39" i="3"/>
  <c r="AZ39" i="3"/>
  <c r="BA38" i="3"/>
  <c r="AZ38" i="3" s="1"/>
  <c r="BL31" i="3"/>
  <c r="AZ31" i="3" s="1"/>
  <c r="BA30" i="3"/>
  <c r="AZ30" i="3" s="1"/>
  <c r="BL23" i="3"/>
  <c r="AZ23" i="3"/>
  <c r="BA22" i="3"/>
  <c r="AZ22" i="3" s="1"/>
  <c r="BD5" i="3"/>
  <c r="E8" i="6" s="1"/>
  <c r="AA5" i="71"/>
  <c r="H112" i="79"/>
  <c r="D121" i="79"/>
  <c r="K120" i="79"/>
  <c r="C40" i="86"/>
  <c r="C21" i="86"/>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6" i="3"/>
  <c r="AZ16" i="3"/>
  <c r="BA15" i="3"/>
  <c r="AZ15" i="3" s="1"/>
  <c r="C6" i="71"/>
  <c r="D7" i="71"/>
  <c r="U7" i="71" s="1"/>
  <c r="D124" i="78"/>
  <c r="D125" i="78" s="1"/>
  <c r="H110" i="78"/>
  <c r="D124" i="79"/>
  <c r="D125" i="79" s="1"/>
  <c r="H110" i="79"/>
  <c r="D121" i="83"/>
  <c r="K120" i="83"/>
  <c r="D124" i="88"/>
  <c r="D125" i="88" s="1"/>
  <c r="H110" i="88"/>
  <c r="BA17" i="3"/>
  <c r="AZ17" i="3" s="1"/>
  <c r="BL14" i="3"/>
  <c r="AZ14" i="3" s="1"/>
  <c r="D21" i="71"/>
  <c r="C22" i="71"/>
  <c r="D17" i="71"/>
  <c r="C18" i="71"/>
  <c r="D13" i="71"/>
  <c r="C14" i="71"/>
  <c r="E10" i="71"/>
  <c r="E9" i="71" s="1"/>
  <c r="C10" i="71"/>
  <c r="D11" i="71"/>
  <c r="U11" i="71" s="1"/>
  <c r="E5" i="71"/>
  <c r="C92" i="79"/>
  <c r="C94" i="79"/>
  <c r="C40" i="82"/>
  <c r="C21" i="82"/>
  <c r="C92" i="83"/>
  <c r="C94" i="83"/>
  <c r="D124" i="83"/>
  <c r="D125" i="83" s="1"/>
  <c r="H110" i="83"/>
  <c r="N12" i="89"/>
  <c r="N8" i="89"/>
  <c r="N5" i="89"/>
  <c r="N3" i="89"/>
  <c r="D108" i="89"/>
  <c r="D109" i="89" s="1"/>
  <c r="D100" i="89"/>
  <c r="H108" i="89"/>
  <c r="H109" i="89" s="1"/>
  <c r="H100" i="89"/>
  <c r="L108" i="89"/>
  <c r="L109" i="89" s="1"/>
  <c r="L100" i="89"/>
  <c r="E70" i="89"/>
  <c r="B68" i="89" s="1"/>
  <c r="C108" i="89"/>
  <c r="C109" i="89" s="1"/>
  <c r="C100" i="89"/>
  <c r="E108" i="89"/>
  <c r="E109" i="89" s="1"/>
  <c r="E100" i="89"/>
  <c r="G108" i="89"/>
  <c r="G109" i="89" s="1"/>
  <c r="G100" i="89"/>
  <c r="I108" i="89"/>
  <c r="I109" i="89" s="1"/>
  <c r="I100" i="89"/>
  <c r="K108" i="89"/>
  <c r="K109" i="89" s="1"/>
  <c r="K100" i="89"/>
  <c r="M108" i="89"/>
  <c r="M109" i="89" s="1"/>
  <c r="M100" i="89"/>
  <c r="J15" i="92"/>
  <c r="M20" i="15"/>
  <c r="F34" i="87"/>
  <c r="F62" i="87" s="1"/>
  <c r="M20" i="80"/>
  <c r="F34" i="80"/>
  <c r="F62" i="80" s="1"/>
  <c r="M20" i="81"/>
  <c r="F34" i="81"/>
  <c r="F62" i="81" s="1"/>
  <c r="M20" i="85"/>
  <c r="F34" i="85"/>
  <c r="F62" i="85" s="1"/>
  <c r="J109" i="39"/>
  <c r="K109" i="39" s="1"/>
  <c r="L109" i="39" s="1"/>
  <c r="M109" i="39" s="1"/>
  <c r="F34" i="39"/>
  <c r="J34" i="39"/>
  <c r="H34" i="39"/>
  <c r="O16" i="1"/>
  <c r="P16" i="1"/>
  <c r="C11" i="12" s="1"/>
  <c r="C12" i="12" s="1"/>
  <c r="Y10" i="1"/>
  <c r="I9" i="90"/>
  <c r="E14" i="90"/>
  <c r="F49" i="15" s="1"/>
  <c r="P25" i="89"/>
  <c r="P24" i="43"/>
  <c r="B66" i="40" s="1"/>
  <c r="O19" i="43"/>
  <c r="C70" i="39"/>
  <c r="D68" i="39"/>
  <c r="C65" i="40"/>
  <c r="D63" i="40"/>
  <c r="P21" i="89"/>
  <c r="O19" i="89"/>
  <c r="P25" i="43"/>
  <c r="J51" i="80"/>
  <c r="J51" i="87"/>
  <c r="M47" i="79"/>
  <c r="M47" i="88"/>
  <c r="C42" i="1"/>
  <c r="C77" i="83" s="1"/>
  <c r="C74" i="83" s="1"/>
  <c r="C7" i="37"/>
  <c r="C52" i="37" s="1"/>
  <c r="M47" i="78"/>
  <c r="J1" i="73"/>
  <c r="Q52" i="67"/>
  <c r="G41" i="82"/>
  <c r="D22" i="87"/>
  <c r="G41" i="11"/>
  <c r="G26" i="12"/>
  <c r="Y7" i="1"/>
  <c r="Y8" i="1"/>
  <c r="G93" i="39"/>
  <c r="H19" i="39"/>
  <c r="F19" i="39"/>
  <c r="J19" i="39"/>
  <c r="G95" i="39"/>
  <c r="J21" i="39"/>
  <c r="F21" i="39"/>
  <c r="H21" i="39"/>
  <c r="H25" i="39"/>
  <c r="F99" i="39"/>
  <c r="G99" i="39" s="1"/>
  <c r="J25" i="39"/>
  <c r="F25" i="39"/>
  <c r="S31" i="39"/>
  <c r="W31" i="39"/>
  <c r="F34" i="82"/>
  <c r="C36" i="82" s="1"/>
  <c r="F11" i="12"/>
  <c r="C23" i="12" s="1"/>
  <c r="D23" i="67"/>
  <c r="D24" i="87"/>
  <c r="D24" i="80"/>
  <c r="D22" i="80"/>
  <c r="F34" i="86"/>
  <c r="F34" i="68"/>
  <c r="G22" i="84"/>
  <c r="G22" i="82"/>
  <c r="G41" i="69"/>
  <c r="G27" i="12"/>
  <c r="G25" i="12"/>
  <c r="G41" i="84"/>
  <c r="D24" i="85"/>
  <c r="G22" i="69"/>
  <c r="G22" i="11"/>
  <c r="E1" i="73"/>
  <c r="D22" i="85"/>
  <c r="E10" i="49"/>
  <c r="O58" i="21"/>
  <c r="H7" i="21" s="1"/>
  <c r="F7" i="36"/>
  <c r="D46" i="36"/>
  <c r="E46" i="36" s="1"/>
  <c r="F46" i="36" s="1"/>
  <c r="G46" i="36" s="1"/>
  <c r="H46" i="36" s="1"/>
  <c r="I46" i="36" s="1"/>
  <c r="J46" i="36" s="1"/>
  <c r="K46" i="36" s="1"/>
  <c r="L46" i="36" s="1"/>
  <c r="M46" i="36" s="1"/>
  <c r="N46" i="36" s="1"/>
  <c r="O46" i="36" s="1"/>
  <c r="J7" i="36"/>
  <c r="H7" i="36"/>
  <c r="G6" i="1"/>
  <c r="I20" i="43"/>
  <c r="J7" i="21"/>
  <c r="F7" i="21"/>
  <c r="E59" i="34"/>
  <c r="D58" i="33"/>
  <c r="D48" i="35"/>
  <c r="C28" i="87"/>
  <c r="C31" i="12"/>
  <c r="C48" i="86"/>
  <c r="C36" i="11"/>
  <c r="D52" i="37"/>
  <c r="C36" i="84"/>
  <c r="B11" i="49"/>
  <c r="B10" i="49"/>
  <c r="E4" i="49"/>
  <c r="E8" i="49"/>
  <c r="E11" i="49"/>
  <c r="E7" i="49"/>
  <c r="E9" i="49"/>
  <c r="E22" i="49"/>
  <c r="B8" i="49"/>
  <c r="B22" i="49"/>
  <c r="B16" i="49"/>
  <c r="E6" i="49"/>
  <c r="B13" i="49"/>
  <c r="E4" i="4" s="1"/>
  <c r="B5" i="62" s="1"/>
  <c r="B73" i="72" s="1"/>
  <c r="E21" i="49"/>
  <c r="B6" i="49"/>
  <c r="B7" i="49"/>
  <c r="E16" i="49"/>
  <c r="B4" i="49"/>
  <c r="B14" i="49"/>
  <c r="B5" i="49"/>
  <c r="B9" i="49"/>
  <c r="E5" i="49"/>
  <c r="F27" i="6" l="1"/>
  <c r="F31" i="6" s="1"/>
  <c r="E51" i="40"/>
  <c r="E56" i="39"/>
  <c r="D6" i="71"/>
  <c r="C5" i="71"/>
  <c r="Q5" i="3"/>
  <c r="H13" i="3"/>
  <c r="BF13" i="3"/>
  <c r="G22" i="6"/>
  <c r="Q49" i="71"/>
  <c r="Q48" i="71"/>
  <c r="T39" i="71"/>
  <c r="D39" i="71"/>
  <c r="S31" i="40"/>
  <c r="AA31" i="40"/>
  <c r="AA40" i="40"/>
  <c r="S40" i="40"/>
  <c r="W40" i="37"/>
  <c r="AC40" i="37"/>
  <c r="S27" i="37"/>
  <c r="AA27" i="37"/>
  <c r="W32" i="36"/>
  <c r="AC32" i="36"/>
  <c r="S32" i="36"/>
  <c r="AA32" i="36"/>
  <c r="S34" i="35"/>
  <c r="AA34" i="35"/>
  <c r="AC34" i="35"/>
  <c r="W34" i="35"/>
  <c r="AA24" i="35"/>
  <c r="S24" i="35"/>
  <c r="AA11" i="35"/>
  <c r="S11" i="35"/>
  <c r="AB11" i="35"/>
  <c r="U11" i="35"/>
  <c r="AB46" i="34"/>
  <c r="U46" i="34"/>
  <c r="AB32" i="34"/>
  <c r="U32" i="34"/>
  <c r="S30" i="34"/>
  <c r="AA30" i="34"/>
  <c r="AA14" i="34"/>
  <c r="S14" i="34"/>
  <c r="AA45" i="33"/>
  <c r="S45" i="33"/>
  <c r="AB45" i="33"/>
  <c r="U45" i="33"/>
  <c r="W31" i="33"/>
  <c r="AC31" i="33"/>
  <c r="AB29" i="33"/>
  <c r="U29" i="33"/>
  <c r="AA13" i="33"/>
  <c r="S13" i="33"/>
  <c r="U28" i="34"/>
  <c r="AB28" i="34"/>
  <c r="AA28" i="34"/>
  <c r="S28" i="34"/>
  <c r="W9" i="34"/>
  <c r="AC9" i="34"/>
  <c r="W12" i="21"/>
  <c r="AC12" i="21"/>
  <c r="AB27" i="39"/>
  <c r="U27" i="39"/>
  <c r="AA44" i="21"/>
  <c r="S44" i="21"/>
  <c r="S13" i="36"/>
  <c r="AA13" i="36"/>
  <c r="S36" i="35"/>
  <c r="AA36" i="35"/>
  <c r="AA13" i="21"/>
  <c r="S13" i="21"/>
  <c r="D17" i="53"/>
  <c r="B36" i="72" s="1"/>
  <c r="B34" i="72"/>
  <c r="AB17" i="39"/>
  <c r="U17" i="39"/>
  <c r="M52" i="43"/>
  <c r="N52" i="43" s="1"/>
  <c r="K52" i="43"/>
  <c r="M64" i="89"/>
  <c r="N64" i="89" s="1"/>
  <c r="K64" i="89"/>
  <c r="M51" i="43"/>
  <c r="N51" i="43" s="1"/>
  <c r="K51" i="43"/>
  <c r="J11" i="39"/>
  <c r="F11" i="39"/>
  <c r="H11" i="39"/>
  <c r="G107" i="89"/>
  <c r="G105" i="89"/>
  <c r="G103" i="89"/>
  <c r="G106" i="89"/>
  <c r="G104" i="89"/>
  <c r="G102" i="89"/>
  <c r="H106" i="89"/>
  <c r="H104" i="89"/>
  <c r="H102" i="89"/>
  <c r="H107" i="89"/>
  <c r="H105" i="89"/>
  <c r="H103" i="89"/>
  <c r="J109" i="89"/>
  <c r="J105" i="89"/>
  <c r="J106" i="89"/>
  <c r="J104" i="89"/>
  <c r="J107" i="89"/>
  <c r="J103" i="89"/>
  <c r="J102" i="89"/>
  <c r="F106" i="89"/>
  <c r="F102" i="89"/>
  <c r="F107" i="89"/>
  <c r="F109" i="89"/>
  <c r="F104" i="89"/>
  <c r="F105" i="89"/>
  <c r="F103" i="89"/>
  <c r="U31" i="39"/>
  <c r="AB31" i="39"/>
  <c r="S33" i="36"/>
  <c r="AA33" i="36"/>
  <c r="W34" i="36"/>
  <c r="AC34" i="36"/>
  <c r="W13" i="36"/>
  <c r="AC13" i="36"/>
  <c r="AC28" i="33"/>
  <c r="W28" i="33"/>
  <c r="AB28" i="33"/>
  <c r="U28" i="33"/>
  <c r="AA9" i="21"/>
  <c r="S9" i="21"/>
  <c r="M55" i="43"/>
  <c r="N55" i="43" s="1"/>
  <c r="K55" i="43"/>
  <c r="J55" i="43" s="1"/>
  <c r="D55" i="43" s="1"/>
  <c r="U33" i="40"/>
  <c r="AB33" i="40"/>
  <c r="W33" i="40"/>
  <c r="AC33" i="40"/>
  <c r="AB36" i="35"/>
  <c r="U36" i="35"/>
  <c r="M62" i="89"/>
  <c r="N62" i="89" s="1"/>
  <c r="K62" i="89"/>
  <c r="K63" i="89"/>
  <c r="M63" i="89"/>
  <c r="N63" i="89" s="1"/>
  <c r="M53" i="43"/>
  <c r="N53" i="43" s="1"/>
  <c r="K53" i="43"/>
  <c r="M49" i="43"/>
  <c r="N49" i="43" s="1"/>
  <c r="K49" i="43"/>
  <c r="M104" i="43"/>
  <c r="M103" i="43"/>
  <c r="M102" i="43"/>
  <c r="M109" i="43"/>
  <c r="M107" i="43"/>
  <c r="M105" i="43"/>
  <c r="M106" i="43"/>
  <c r="J105" i="43"/>
  <c r="J109" i="43"/>
  <c r="J102" i="43"/>
  <c r="J107" i="43"/>
  <c r="J103" i="43"/>
  <c r="J104" i="43"/>
  <c r="J106" i="43"/>
  <c r="K102" i="43"/>
  <c r="K103" i="43"/>
  <c r="K106" i="43"/>
  <c r="K105" i="43"/>
  <c r="K107" i="43"/>
  <c r="K104" i="43"/>
  <c r="C105" i="43"/>
  <c r="C109" i="43"/>
  <c r="C106" i="43"/>
  <c r="C103" i="43"/>
  <c r="C107" i="43"/>
  <c r="C104" i="43"/>
  <c r="C102" i="43"/>
  <c r="D113" i="43"/>
  <c r="C9" i="71"/>
  <c r="D9" i="71" s="1"/>
  <c r="D10" i="71"/>
  <c r="D14" i="71"/>
  <c r="C15" i="71"/>
  <c r="D18" i="71"/>
  <c r="C19" i="71"/>
  <c r="D22" i="71"/>
  <c r="C23" i="71"/>
  <c r="BL5" i="3"/>
  <c r="I21" i="66"/>
  <c r="C29" i="66" s="1"/>
  <c r="C28" i="66"/>
  <c r="C27" i="66" s="1"/>
  <c r="D66" i="71"/>
  <c r="C65" i="71"/>
  <c r="D65" i="71" s="1"/>
  <c r="C61" i="71"/>
  <c r="D61" i="71" s="1"/>
  <c r="D62" i="71"/>
  <c r="D54" i="71"/>
  <c r="C53" i="71"/>
  <c r="D53" i="71" s="1"/>
  <c r="N50" i="71"/>
  <c r="B49" i="71"/>
  <c r="D26" i="71"/>
  <c r="C27" i="71"/>
  <c r="T35" i="71"/>
  <c r="D35" i="71"/>
  <c r="AB31" i="40"/>
  <c r="U31" i="40"/>
  <c r="AC31" i="40"/>
  <c r="W31" i="40"/>
  <c r="S39" i="39"/>
  <c r="AA39" i="39"/>
  <c r="S40" i="37"/>
  <c r="AA40" i="37"/>
  <c r="AB40" i="37"/>
  <c r="U40" i="37"/>
  <c r="U27" i="37"/>
  <c r="AB27" i="37"/>
  <c r="U32" i="36"/>
  <c r="AB32" i="36"/>
  <c r="AA23" i="36"/>
  <c r="S23" i="36"/>
  <c r="U34" i="35"/>
  <c r="AB34" i="35"/>
  <c r="U24" i="35"/>
  <c r="AB24" i="35"/>
  <c r="W24" i="35"/>
  <c r="AC24" i="35"/>
  <c r="AC11" i="35"/>
  <c r="W11" i="35"/>
  <c r="AA46" i="34"/>
  <c r="S46" i="34"/>
  <c r="AC32" i="34"/>
  <c r="W32" i="34"/>
  <c r="AC30" i="34"/>
  <c r="W30" i="34"/>
  <c r="AB14" i="34"/>
  <c r="U14" i="34"/>
  <c r="W14" i="34"/>
  <c r="AC14" i="34"/>
  <c r="AC45" i="33"/>
  <c r="W45" i="33"/>
  <c r="U31" i="33"/>
  <c r="AB31" i="33"/>
  <c r="AA29" i="33"/>
  <c r="S29" i="33"/>
  <c r="AC29" i="33"/>
  <c r="W29" i="33"/>
  <c r="U13" i="33"/>
  <c r="AB13" i="33"/>
  <c r="W28" i="34"/>
  <c r="AC28" i="34"/>
  <c r="U9" i="34"/>
  <c r="AB9" i="34"/>
  <c r="AB12" i="21"/>
  <c r="U12" i="21"/>
  <c r="S12" i="21"/>
  <c r="AA12" i="21"/>
  <c r="AC35" i="39"/>
  <c r="W35" i="39"/>
  <c r="W33" i="36"/>
  <c r="AC33" i="36"/>
  <c r="S34" i="36"/>
  <c r="AA34" i="36"/>
  <c r="AC13" i="21"/>
  <c r="W13" i="21"/>
  <c r="S12" i="37"/>
  <c r="AA12" i="37"/>
  <c r="AA17" i="39"/>
  <c r="S17" i="39"/>
  <c r="M48" i="43"/>
  <c r="N48" i="43" s="1"/>
  <c r="K48" i="43"/>
  <c r="M65" i="89"/>
  <c r="N65" i="89" s="1"/>
  <c r="K65" i="89"/>
  <c r="K10" i="1"/>
  <c r="F104" i="43"/>
  <c r="F106" i="43"/>
  <c r="F103" i="43"/>
  <c r="F102" i="43"/>
  <c r="F107" i="43"/>
  <c r="F109" i="43"/>
  <c r="F105" i="43"/>
  <c r="I106" i="43"/>
  <c r="I102" i="43"/>
  <c r="I103" i="43"/>
  <c r="I107" i="43"/>
  <c r="I105" i="43"/>
  <c r="I104" i="43"/>
  <c r="I109" i="43"/>
  <c r="K106" i="89"/>
  <c r="K104" i="89"/>
  <c r="K102" i="89"/>
  <c r="K107" i="89"/>
  <c r="K105" i="89"/>
  <c r="K103" i="89"/>
  <c r="C106" i="89"/>
  <c r="C104" i="89"/>
  <c r="C102" i="89"/>
  <c r="C107" i="89"/>
  <c r="C105" i="89"/>
  <c r="C103" i="89"/>
  <c r="D22" i="89"/>
  <c r="C21" i="89" s="1"/>
  <c r="U33" i="36"/>
  <c r="AB33" i="36"/>
  <c r="U34" i="36"/>
  <c r="AB34" i="36"/>
  <c r="U13" i="36"/>
  <c r="AB13" i="36"/>
  <c r="AA28" i="33"/>
  <c r="S28" i="33"/>
  <c r="AC9" i="21"/>
  <c r="W9" i="21"/>
  <c r="K15" i="1"/>
  <c r="E30" i="6"/>
  <c r="AA33" i="40"/>
  <c r="S33" i="40"/>
  <c r="W36" i="35"/>
  <c r="AC36" i="35"/>
  <c r="K59" i="89"/>
  <c r="M59" i="89"/>
  <c r="N59" i="89" s="1"/>
  <c r="M67" i="89"/>
  <c r="N67" i="89" s="1"/>
  <c r="K67" i="89"/>
  <c r="M66" i="89"/>
  <c r="N66" i="89" s="1"/>
  <c r="K66" i="89"/>
  <c r="J66" i="89" s="1"/>
  <c r="D66" i="89" s="1"/>
  <c r="M54" i="43"/>
  <c r="N54" i="43" s="1"/>
  <c r="K54" i="43"/>
  <c r="M50" i="43"/>
  <c r="N50" i="43" s="1"/>
  <c r="K50" i="43"/>
  <c r="J60" i="89"/>
  <c r="D60" i="89"/>
  <c r="J61" i="89"/>
  <c r="D61" i="89"/>
  <c r="D56" i="43"/>
  <c r="J56" i="43"/>
  <c r="E103" i="43"/>
  <c r="E105" i="43"/>
  <c r="E107" i="43"/>
  <c r="E102" i="43"/>
  <c r="E104" i="43"/>
  <c r="E106" i="43"/>
  <c r="E109" i="43"/>
  <c r="L102" i="43"/>
  <c r="L105" i="43"/>
  <c r="L104" i="43"/>
  <c r="L103" i="43"/>
  <c r="L106" i="43"/>
  <c r="L107" i="43"/>
  <c r="N106" i="43"/>
  <c r="N105" i="43"/>
  <c r="N102" i="43"/>
  <c r="N103" i="43"/>
  <c r="N109" i="43"/>
  <c r="N107" i="43"/>
  <c r="N104" i="43"/>
  <c r="C115" i="89"/>
  <c r="D113" i="89" s="1"/>
  <c r="C4" i="4"/>
  <c r="K4" i="4" s="1"/>
  <c r="B46" i="48" s="1"/>
  <c r="B4" i="72" s="1"/>
  <c r="AB34" i="39"/>
  <c r="U34" i="39"/>
  <c r="S34" i="39"/>
  <c r="AA34" i="39"/>
  <c r="W34" i="39"/>
  <c r="AC34" i="39"/>
  <c r="C15" i="12"/>
  <c r="Z6" i="1"/>
  <c r="C30" i="68"/>
  <c r="C28" i="80"/>
  <c r="C77" i="88"/>
  <c r="C74" i="88" s="1"/>
  <c r="C48" i="84"/>
  <c r="C28" i="15"/>
  <c r="C30" i="84"/>
  <c r="C48" i="69"/>
  <c r="C28" i="67"/>
  <c r="C30" i="86"/>
  <c r="C48" i="82"/>
  <c r="C24" i="12"/>
  <c r="C28" i="81"/>
  <c r="C13" i="12"/>
  <c r="D65" i="40"/>
  <c r="E63" i="40"/>
  <c r="E68" i="39"/>
  <c r="D70" i="39"/>
  <c r="C77" i="9"/>
  <c r="C74" i="9" s="1"/>
  <c r="C77" i="78"/>
  <c r="C74" i="78" s="1"/>
  <c r="C30" i="69"/>
  <c r="C30" i="82"/>
  <c r="C48" i="68"/>
  <c r="C77" i="79"/>
  <c r="C74" i="79" s="1"/>
  <c r="C28" i="85"/>
  <c r="AC19" i="39"/>
  <c r="W19" i="39"/>
  <c r="AB19" i="39"/>
  <c r="U19" i="39"/>
  <c r="AA19" i="39"/>
  <c r="S19" i="39"/>
  <c r="AB21" i="39"/>
  <c r="U21" i="39"/>
  <c r="W21" i="39"/>
  <c r="AC21" i="39"/>
  <c r="AA21" i="39"/>
  <c r="S21" i="39"/>
  <c r="S25" i="39"/>
  <c r="AA25" i="39"/>
  <c r="AC25" i="39"/>
  <c r="W25" i="39"/>
  <c r="U25" i="39"/>
  <c r="AB25" i="39"/>
  <c r="C36" i="86"/>
  <c r="C36" i="68"/>
  <c r="U7" i="21"/>
  <c r="AB7" i="21"/>
  <c r="T48" i="21" s="1"/>
  <c r="G48" i="21" s="1"/>
  <c r="E52" i="37"/>
  <c r="E48" i="35"/>
  <c r="S7" i="21"/>
  <c r="AA7" i="21"/>
  <c r="R48" i="21" s="1"/>
  <c r="W7" i="21"/>
  <c r="AC7" i="21"/>
  <c r="V48" i="21" s="1"/>
  <c r="I48" i="21" s="1"/>
  <c r="W7" i="36"/>
  <c r="AC7" i="36"/>
  <c r="V36" i="36" s="1"/>
  <c r="I36" i="36" s="1"/>
  <c r="S7" i="36"/>
  <c r="AA7" i="36"/>
  <c r="R36" i="36" s="1"/>
  <c r="E58" i="33"/>
  <c r="F59" i="34"/>
  <c r="AB7" i="36"/>
  <c r="T36" i="36" s="1"/>
  <c r="G36" i="36" s="1"/>
  <c r="U7" i="36"/>
  <c r="B4" i="62" l="1"/>
  <c r="B71" i="72" s="1"/>
  <c r="J59" i="89"/>
  <c r="D59" i="89"/>
  <c r="J65" i="89"/>
  <c r="D65" i="89"/>
  <c r="D48" i="43"/>
  <c r="J48" i="43"/>
  <c r="T27" i="71"/>
  <c r="D27" i="71"/>
  <c r="N48" i="71"/>
  <c r="N49" i="71"/>
  <c r="C25" i="66"/>
  <c r="C31" i="66" s="1"/>
  <c r="C32" i="66"/>
  <c r="E26" i="66"/>
  <c r="C30" i="66"/>
  <c r="D23" i="71"/>
  <c r="M19" i="89" s="1"/>
  <c r="M19" i="43"/>
  <c r="T23" i="71"/>
  <c r="D19" i="71"/>
  <c r="T19" i="71"/>
  <c r="D15" i="71"/>
  <c r="M20" i="89" s="1"/>
  <c r="C19" i="89" s="1"/>
  <c r="T15" i="71"/>
  <c r="D49" i="43"/>
  <c r="J49" i="43"/>
  <c r="D53" i="43"/>
  <c r="J53" i="43"/>
  <c r="D62" i="89"/>
  <c r="J62" i="89"/>
  <c r="S11" i="39"/>
  <c r="AA11" i="39"/>
  <c r="D51" i="43"/>
  <c r="J51" i="43"/>
  <c r="D64" i="89"/>
  <c r="J64" i="89"/>
  <c r="D52" i="43"/>
  <c r="J52" i="43"/>
  <c r="G27" i="6"/>
  <c r="G31" i="6" s="1"/>
  <c r="E22" i="6"/>
  <c r="D39" i="43"/>
  <c r="H5" i="3"/>
  <c r="G13" i="3"/>
  <c r="D50" i="43"/>
  <c r="J50" i="43"/>
  <c r="D54" i="43"/>
  <c r="J54" i="43"/>
  <c r="D67" i="89"/>
  <c r="J67" i="89"/>
  <c r="M10" i="1"/>
  <c r="D1" i="66"/>
  <c r="E10" i="66" s="1"/>
  <c r="J63" i="89"/>
  <c r="D63" i="89"/>
  <c r="U11" i="39"/>
  <c r="AB11" i="39"/>
  <c r="AC11" i="39"/>
  <c r="W11" i="39"/>
  <c r="BF5" i="3"/>
  <c r="BA13" i="3"/>
  <c r="D5" i="71"/>
  <c r="M20" i="43"/>
  <c r="C19" i="43" s="1"/>
  <c r="F68" i="39"/>
  <c r="E70" i="39"/>
  <c r="F63" i="40"/>
  <c r="E65" i="40"/>
  <c r="G40" i="36"/>
  <c r="H40" i="36" s="1"/>
  <c r="G41" i="36"/>
  <c r="H41" i="36" s="1"/>
  <c r="E48" i="21"/>
  <c r="R49" i="21"/>
  <c r="F52" i="37"/>
  <c r="G59" i="34"/>
  <c r="F58" i="33"/>
  <c r="R37" i="36"/>
  <c r="E36" i="36"/>
  <c r="I40" i="36"/>
  <c r="J40" i="36" s="1"/>
  <c r="I41" i="36"/>
  <c r="J41" i="36" s="1"/>
  <c r="I52" i="21"/>
  <c r="J52" i="21" s="1"/>
  <c r="F48" i="35"/>
  <c r="G52" i="21"/>
  <c r="H52" i="21" s="1"/>
  <c r="G53" i="21"/>
  <c r="H53" i="21" s="1"/>
  <c r="M29" i="81"/>
  <c r="F36" i="15"/>
  <c r="E2" i="84"/>
  <c r="F26" i="67"/>
  <c r="F6" i="80"/>
  <c r="E13" i="76"/>
  <c r="AO11" i="1"/>
  <c r="F8" i="67"/>
  <c r="F8" i="81"/>
  <c r="F16" i="87"/>
  <c r="AO12" i="1"/>
  <c r="B8" i="76"/>
  <c r="F26" i="15"/>
  <c r="M8" i="67"/>
  <c r="F8" i="85"/>
  <c r="M27" i="87"/>
  <c r="F40" i="67"/>
  <c r="F16" i="85"/>
  <c r="M26" i="15"/>
  <c r="F8" i="15"/>
  <c r="L48" i="15"/>
  <c r="D2" i="21"/>
  <c r="J15" i="80"/>
  <c r="M6" i="85"/>
  <c r="M8" i="15"/>
  <c r="C76" i="80"/>
  <c r="F7" i="81"/>
  <c r="M22" i="87"/>
  <c r="F13" i="81"/>
  <c r="F40" i="85"/>
  <c r="M26" i="80"/>
  <c r="B12" i="76"/>
  <c r="M23" i="80"/>
  <c r="D2" i="34"/>
  <c r="F38" i="87"/>
  <c r="F6" i="15"/>
  <c r="M27" i="85"/>
  <c r="D35" i="79"/>
  <c r="D2" i="37"/>
  <c r="C19" i="88"/>
  <c r="L47" i="81"/>
  <c r="L48" i="87"/>
  <c r="M6" i="67"/>
  <c r="E8" i="76"/>
  <c r="M9" i="87"/>
  <c r="C76" i="87"/>
  <c r="M27" i="80"/>
  <c r="M24" i="15"/>
  <c r="F41" i="15"/>
  <c r="F40" i="15"/>
  <c r="F9" i="67"/>
  <c r="M28" i="85"/>
  <c r="M27" i="81"/>
  <c r="F3" i="73"/>
  <c r="M6" i="15"/>
  <c r="D34" i="88"/>
  <c r="F37" i="87"/>
  <c r="M6" i="87"/>
  <c r="F16" i="15"/>
  <c r="B9" i="76"/>
  <c r="E7" i="76"/>
  <c r="C76" i="67"/>
  <c r="F8" i="80"/>
  <c r="F37" i="85"/>
  <c r="M23" i="87"/>
  <c r="F13" i="15"/>
  <c r="M8" i="81"/>
  <c r="C76" i="15"/>
  <c r="E2" i="82"/>
  <c r="F13" i="85"/>
  <c r="F6" i="67"/>
  <c r="F7" i="67"/>
  <c r="B6" i="76"/>
  <c r="F16" i="67"/>
  <c r="M22" i="85"/>
  <c r="B10" i="76"/>
  <c r="F8" i="87"/>
  <c r="D19" i="88"/>
  <c r="D7" i="73"/>
  <c r="C20" i="78"/>
  <c r="M24" i="85"/>
  <c r="M6" i="80"/>
  <c r="E9" i="76"/>
  <c r="M28" i="67"/>
  <c r="M9" i="15"/>
  <c r="F26" i="87"/>
  <c r="M29" i="85"/>
  <c r="L47" i="80"/>
  <c r="F43" i="81"/>
  <c r="F40" i="80"/>
  <c r="AO13" i="1"/>
  <c r="E2" i="69"/>
  <c r="F37" i="15"/>
  <c r="M8" i="80"/>
  <c r="D34" i="78"/>
  <c r="E10" i="76"/>
  <c r="F20" i="31"/>
  <c r="M8" i="87"/>
  <c r="D20" i="83"/>
  <c r="D2" i="33"/>
  <c r="M22" i="81"/>
  <c r="F13" i="80"/>
  <c r="D4" i="73"/>
  <c r="M28" i="87"/>
  <c r="D3" i="73"/>
  <c r="F26" i="85"/>
  <c r="F26" i="80"/>
  <c r="F4" i="73"/>
  <c r="M28" i="80"/>
  <c r="J15" i="15"/>
  <c r="F9" i="15"/>
  <c r="F37" i="67"/>
  <c r="F26" i="81"/>
  <c r="M9" i="67"/>
  <c r="M9" i="80"/>
  <c r="M24" i="67"/>
  <c r="D19" i="78"/>
  <c r="M26" i="67"/>
  <c r="F43" i="67"/>
  <c r="M22" i="15"/>
  <c r="C20" i="83"/>
  <c r="F16" i="80"/>
  <c r="F35" i="67"/>
  <c r="M28" i="15"/>
  <c r="F36" i="80"/>
  <c r="F9" i="87"/>
  <c r="E6" i="76"/>
  <c r="F42" i="85"/>
  <c r="F5" i="73"/>
  <c r="B7" i="76"/>
  <c r="M26" i="85"/>
  <c r="F38" i="81"/>
  <c r="L48" i="67"/>
  <c r="M21" i="67"/>
  <c r="M23" i="67"/>
  <c r="F13" i="87"/>
  <c r="M23" i="15"/>
  <c r="E2" i="86"/>
  <c r="F6" i="85"/>
  <c r="L47" i="15"/>
  <c r="F36" i="67"/>
  <c r="M24" i="87"/>
  <c r="F40" i="81"/>
  <c r="E11" i="76"/>
  <c r="M26" i="87"/>
  <c r="M23" i="81"/>
  <c r="F38" i="85"/>
  <c r="F42" i="81"/>
  <c r="F40" i="87"/>
  <c r="M27" i="67"/>
  <c r="D34" i="79"/>
  <c r="C76" i="85"/>
  <c r="F42" i="15"/>
  <c r="C19" i="78"/>
  <c r="B13" i="76"/>
  <c r="F37" i="81"/>
  <c r="L48" i="85"/>
  <c r="C76" i="81"/>
  <c r="B11" i="76"/>
  <c r="D34" i="83"/>
  <c r="L48" i="80"/>
  <c r="J15" i="67"/>
  <c r="F43" i="85"/>
  <c r="F37" i="80"/>
  <c r="M22" i="67"/>
  <c r="M9" i="81"/>
  <c r="C20" i="88"/>
  <c r="L48" i="81"/>
  <c r="F36" i="81"/>
  <c r="E12" i="76"/>
  <c r="D20" i="78"/>
  <c r="M24" i="80"/>
  <c r="D35" i="83"/>
  <c r="L47" i="67"/>
  <c r="M29" i="15"/>
  <c r="F36" i="85"/>
  <c r="D2" i="35"/>
  <c r="F38" i="80"/>
  <c r="D20" i="88"/>
  <c r="D6" i="73"/>
  <c r="L47" i="87"/>
  <c r="F9" i="80"/>
  <c r="M8" i="85"/>
  <c r="J15" i="87"/>
  <c r="D35" i="78"/>
  <c r="M22" i="80"/>
  <c r="F42" i="67"/>
  <c r="F7" i="15"/>
  <c r="M24" i="81"/>
  <c r="F6" i="73"/>
  <c r="M23" i="85"/>
  <c r="M28" i="81"/>
  <c r="C19" i="83"/>
  <c r="F38" i="67"/>
  <c r="F7" i="80"/>
  <c r="J15" i="85"/>
  <c r="F6" i="87"/>
  <c r="J15" i="81"/>
  <c r="F43" i="15"/>
  <c r="L47" i="85"/>
  <c r="M9" i="85"/>
  <c r="F43" i="80"/>
  <c r="D5" i="73"/>
  <c r="F38" i="15"/>
  <c r="M29" i="67"/>
  <c r="F42" i="80"/>
  <c r="M29" i="80"/>
  <c r="F42" i="87"/>
  <c r="D2" i="36"/>
  <c r="F13" i="67"/>
  <c r="F7" i="73"/>
  <c r="M6" i="81"/>
  <c r="D35" i="88"/>
  <c r="D19" i="83"/>
  <c r="F9" i="81"/>
  <c r="F16" i="81"/>
  <c r="F9" i="85"/>
  <c r="F7" i="85"/>
  <c r="F36" i="87"/>
  <c r="F41" i="67"/>
  <c r="M26" i="81"/>
  <c r="F50" i="85" l="1"/>
  <c r="M7" i="85"/>
  <c r="J6" i="85" s="1"/>
  <c r="C27" i="80"/>
  <c r="F69" i="67"/>
  <c r="C27" i="85"/>
  <c r="D102" i="83"/>
  <c r="D21" i="83"/>
  <c r="F64" i="87"/>
  <c r="E20" i="43"/>
  <c r="N17" i="43" s="1"/>
  <c r="E20" i="89"/>
  <c r="N17" i="89" s="1"/>
  <c r="G20" i="89" s="1"/>
  <c r="C20" i="89" s="1"/>
  <c r="C36" i="89" s="1"/>
  <c r="G36" i="89" s="1"/>
  <c r="I36" i="89" s="1"/>
  <c r="D103" i="83"/>
  <c r="B20" i="31"/>
  <c r="F66" i="15"/>
  <c r="F71" i="80"/>
  <c r="F65" i="15"/>
  <c r="L58" i="85"/>
  <c r="N59" i="85"/>
  <c r="M59" i="85"/>
  <c r="L59" i="85"/>
  <c r="Q61" i="85" s="1"/>
  <c r="F71" i="15"/>
  <c r="B13" i="70"/>
  <c r="F68" i="80"/>
  <c r="F71" i="81"/>
  <c r="M59" i="80"/>
  <c r="L59" i="80"/>
  <c r="Q61" i="80" s="1"/>
  <c r="L58" i="80"/>
  <c r="N59" i="80"/>
  <c r="M7" i="80"/>
  <c r="J6" i="80" s="1"/>
  <c r="F50" i="80"/>
  <c r="F66" i="67"/>
  <c r="C27" i="87"/>
  <c r="D22" i="83"/>
  <c r="C102" i="83"/>
  <c r="C21" i="83"/>
  <c r="G19" i="83"/>
  <c r="G21" i="83" s="1"/>
  <c r="M7" i="15"/>
  <c r="F50" i="15"/>
  <c r="G20" i="78"/>
  <c r="C103" i="78"/>
  <c r="F70" i="67"/>
  <c r="D102" i="88"/>
  <c r="D21" i="88"/>
  <c r="F51" i="87"/>
  <c r="L59" i="87"/>
  <c r="M59" i="87"/>
  <c r="L58" i="87"/>
  <c r="N59" i="87"/>
  <c r="B2" i="76"/>
  <c r="K1" i="73"/>
  <c r="F50" i="67"/>
  <c r="M7" i="67"/>
  <c r="J6" i="67" s="1"/>
  <c r="D103" i="88"/>
  <c r="C6" i="67"/>
  <c r="F66" i="80"/>
  <c r="F64" i="85"/>
  <c r="Q71" i="15"/>
  <c r="M59" i="67"/>
  <c r="N59" i="67"/>
  <c r="L58" i="67"/>
  <c r="Q60" i="67" s="1"/>
  <c r="L59" i="67"/>
  <c r="F65" i="85"/>
  <c r="D103" i="78"/>
  <c r="F51" i="80"/>
  <c r="Q71" i="67"/>
  <c r="F64" i="81"/>
  <c r="J59" i="81"/>
  <c r="L57" i="81"/>
  <c r="J53" i="81"/>
  <c r="Q52" i="81" s="1"/>
  <c r="I54" i="81"/>
  <c r="J60" i="81"/>
  <c r="Q48" i="81" s="1"/>
  <c r="J57" i="81"/>
  <c r="J55" i="81" s="1"/>
  <c r="J58" i="81" s="1"/>
  <c r="Q50" i="81" s="1"/>
  <c r="L56" i="81"/>
  <c r="L60" i="81"/>
  <c r="L46" i="81"/>
  <c r="C103" i="88"/>
  <c r="G20" i="88"/>
  <c r="F65" i="87"/>
  <c r="F65" i="80"/>
  <c r="F71" i="85"/>
  <c r="J6" i="15"/>
  <c r="J57" i="80"/>
  <c r="J55" i="80" s="1"/>
  <c r="J58" i="80" s="1"/>
  <c r="Q50" i="80" s="1"/>
  <c r="J59" i="80"/>
  <c r="L60" i="80"/>
  <c r="L57" i="80"/>
  <c r="L56" i="80"/>
  <c r="I54" i="80"/>
  <c r="J60" i="80"/>
  <c r="Q48" i="80" s="1"/>
  <c r="J53" i="80"/>
  <c r="Q52" i="80" s="1"/>
  <c r="Q71" i="81"/>
  <c r="F68" i="15"/>
  <c r="J57" i="85"/>
  <c r="J55" i="85" s="1"/>
  <c r="J58" i="85" s="1"/>
  <c r="Q50" i="85" s="1"/>
  <c r="J53" i="85"/>
  <c r="L56" i="85"/>
  <c r="L57" i="85"/>
  <c r="I54" i="85"/>
  <c r="J60" i="85"/>
  <c r="Q48" i="85" s="1"/>
  <c r="J59" i="85"/>
  <c r="L60" i="85"/>
  <c r="Q66" i="85" s="1"/>
  <c r="F69" i="15"/>
  <c r="F65" i="81"/>
  <c r="D22" i="78"/>
  <c r="G19" i="78"/>
  <c r="G21" i="78" s="1"/>
  <c r="C21" i="78"/>
  <c r="C102" i="78"/>
  <c r="Q71" i="87"/>
  <c r="Q71" i="85"/>
  <c r="J60" i="87"/>
  <c r="Q48" i="87" s="1"/>
  <c r="L57" i="87"/>
  <c r="J53" i="87"/>
  <c r="F1" i="87" s="1"/>
  <c r="L56" i="87"/>
  <c r="J57" i="87"/>
  <c r="J55" i="87" s="1"/>
  <c r="J58" i="87" s="1"/>
  <c r="Q50" i="87" s="1"/>
  <c r="J59" i="87"/>
  <c r="I54" i="87"/>
  <c r="L60" i="87"/>
  <c r="Q66" i="87" s="1"/>
  <c r="F68" i="87"/>
  <c r="L59" i="81"/>
  <c r="M59" i="81"/>
  <c r="N59" i="81"/>
  <c r="L58" i="81"/>
  <c r="D22" i="88"/>
  <c r="C21" i="88"/>
  <c r="C102" i="88"/>
  <c r="G19" i="88"/>
  <c r="G21" i="88" s="1"/>
  <c r="F66" i="85"/>
  <c r="C6" i="15"/>
  <c r="F68" i="81"/>
  <c r="F66" i="87"/>
  <c r="F64" i="67"/>
  <c r="L59" i="15"/>
  <c r="Q74" i="15" s="1"/>
  <c r="L58" i="15"/>
  <c r="Q60" i="15" s="1"/>
  <c r="N59" i="15"/>
  <c r="M59" i="15"/>
  <c r="C6" i="85"/>
  <c r="F68" i="85"/>
  <c r="M7" i="81"/>
  <c r="J6" i="81" s="1"/>
  <c r="F50" i="81"/>
  <c r="H31" i="77"/>
  <c r="N25" i="66"/>
  <c r="N22" i="66"/>
  <c r="H28" i="77"/>
  <c r="J20" i="67"/>
  <c r="Q71" i="80"/>
  <c r="L56" i="67"/>
  <c r="I54" i="67"/>
  <c r="J57" i="67"/>
  <c r="J55" i="67" s="1"/>
  <c r="J58" i="67" s="1"/>
  <c r="Q50" i="67" s="1"/>
  <c r="F66" i="81"/>
  <c r="J57" i="15"/>
  <c r="J55" i="15" s="1"/>
  <c r="J58" i="15" s="1"/>
  <c r="Q50" i="15" s="1"/>
  <c r="L56" i="15"/>
  <c r="J59" i="15"/>
  <c r="J53" i="15"/>
  <c r="Q52" i="15" s="1"/>
  <c r="I54" i="15"/>
  <c r="J60" i="15"/>
  <c r="Q48" i="15" s="1"/>
  <c r="L60" i="15"/>
  <c r="L57" i="15"/>
  <c r="F51" i="15"/>
  <c r="E2" i="76"/>
  <c r="F64" i="80"/>
  <c r="F68" i="67"/>
  <c r="C34" i="67"/>
  <c r="F63" i="67"/>
  <c r="C62" i="67" s="1"/>
  <c r="F51" i="85"/>
  <c r="C103" i="83"/>
  <c r="G20" i="83"/>
  <c r="C27" i="15"/>
  <c r="F71" i="67"/>
  <c r="B12" i="70"/>
  <c r="D21" i="78"/>
  <c r="D102" i="78"/>
  <c r="F51" i="81"/>
  <c r="F51" i="67"/>
  <c r="B11" i="70"/>
  <c r="C27" i="81"/>
  <c r="C6" i="80"/>
  <c r="F65" i="67"/>
  <c r="C27" i="67"/>
  <c r="F64" i="15"/>
  <c r="I1" i="73"/>
  <c r="B39" i="1" s="1"/>
  <c r="L46" i="15"/>
  <c r="O17" i="43"/>
  <c r="E12" i="6"/>
  <c r="E10" i="6"/>
  <c r="E13" i="6"/>
  <c r="E14" i="6"/>
  <c r="E15" i="6"/>
  <c r="E11" i="6"/>
  <c r="G5" i="3"/>
  <c r="B3" i="3" s="1"/>
  <c r="H39" i="43"/>
  <c r="D1" i="43"/>
  <c r="U8" i="1"/>
  <c r="G41" i="66"/>
  <c r="E48" i="43"/>
  <c r="B46" i="43" s="1"/>
  <c r="C24" i="43" s="1"/>
  <c r="AZ13" i="3"/>
  <c r="BA5" i="3"/>
  <c r="K9" i="1"/>
  <c r="E59" i="89"/>
  <c r="B57" i="89" s="1"/>
  <c r="C24" i="89" s="1"/>
  <c r="G63" i="40"/>
  <c r="F65" i="40"/>
  <c r="G68" i="39"/>
  <c r="F70" i="39"/>
  <c r="G48" i="35"/>
  <c r="H48" i="35" s="1"/>
  <c r="I48" i="35" s="1"/>
  <c r="J48" i="35" s="1"/>
  <c r="K48" i="35" s="1"/>
  <c r="L48" i="35" s="1"/>
  <c r="M48" i="35" s="1"/>
  <c r="N48" i="35" s="1"/>
  <c r="O48" i="35" s="1"/>
  <c r="F7" i="35"/>
  <c r="J7" i="35"/>
  <c r="C37" i="36"/>
  <c r="B2" i="36" s="1"/>
  <c r="B3" i="36" s="1"/>
  <c r="C36" i="36"/>
  <c r="G58" i="33"/>
  <c r="H58" i="33" s="1"/>
  <c r="I58" i="33" s="1"/>
  <c r="J58" i="33" s="1"/>
  <c r="K58" i="33" s="1"/>
  <c r="L58" i="33" s="1"/>
  <c r="M58" i="33" s="1"/>
  <c r="N58" i="33" s="1"/>
  <c r="O58" i="33" s="1"/>
  <c r="G52" i="37"/>
  <c r="E52" i="21"/>
  <c r="F52" i="21" s="1"/>
  <c r="E53" i="21"/>
  <c r="F53" i="21" s="1"/>
  <c r="H7" i="35"/>
  <c r="I53" i="21"/>
  <c r="J53" i="21" s="1"/>
  <c r="E40" i="36"/>
  <c r="F40" i="36" s="1"/>
  <c r="E41" i="36"/>
  <c r="F41" i="36" s="1"/>
  <c r="H59" i="34"/>
  <c r="C48" i="21"/>
  <c r="C49" i="21"/>
  <c r="AE9" i="1"/>
  <c r="C16" i="81"/>
  <c r="C16" i="80"/>
  <c r="F43" i="87"/>
  <c r="C14" i="67"/>
  <c r="M29" i="87"/>
  <c r="F7" i="87"/>
  <c r="G1" i="73"/>
  <c r="C16" i="85"/>
  <c r="C16" i="67"/>
  <c r="F6" i="81"/>
  <c r="C16" i="15"/>
  <c r="C17" i="67"/>
  <c r="Q57" i="87" l="1"/>
  <c r="F11" i="80"/>
  <c r="C53" i="80" s="1"/>
  <c r="L46" i="87"/>
  <c r="Q74" i="80"/>
  <c r="F1" i="15"/>
  <c r="L46" i="80"/>
  <c r="C49" i="85"/>
  <c r="C49" i="80"/>
  <c r="Q73" i="15"/>
  <c r="Q52" i="87"/>
  <c r="C32" i="83"/>
  <c r="C35" i="83" s="1"/>
  <c r="F118" i="83" s="1"/>
  <c r="F119" i="83" s="1"/>
  <c r="C48" i="80"/>
  <c r="C60" i="80" s="1"/>
  <c r="C49" i="15"/>
  <c r="C39" i="89"/>
  <c r="G39" i="89" s="1"/>
  <c r="I39" i="89" s="1"/>
  <c r="T2" i="89"/>
  <c r="V2" i="89" s="1"/>
  <c r="C49" i="81"/>
  <c r="B3" i="76"/>
  <c r="F11" i="87"/>
  <c r="C53" i="87" s="1"/>
  <c r="Q61" i="15"/>
  <c r="M11" i="85"/>
  <c r="J10" i="85" s="1"/>
  <c r="J5" i="85" s="1"/>
  <c r="J26" i="85" s="1"/>
  <c r="C35" i="89"/>
  <c r="E35" i="89" s="1"/>
  <c r="T10" i="89"/>
  <c r="V10" i="89" s="1"/>
  <c r="T15" i="89"/>
  <c r="V15" i="89" s="1"/>
  <c r="T8" i="89"/>
  <c r="V8" i="89" s="1"/>
  <c r="T9" i="89"/>
  <c r="V9" i="89" s="1"/>
  <c r="T5" i="89"/>
  <c r="V5" i="89" s="1"/>
  <c r="C33" i="89"/>
  <c r="G33" i="89" s="1"/>
  <c r="I33" i="89" s="1"/>
  <c r="T12" i="89"/>
  <c r="V12" i="89" s="1"/>
  <c r="F1" i="81"/>
  <c r="M11" i="80"/>
  <c r="J10" i="80" s="1"/>
  <c r="J5" i="80" s="1"/>
  <c r="C49" i="67"/>
  <c r="B40" i="1"/>
  <c r="C15" i="67"/>
  <c r="C18" i="67"/>
  <c r="Q57" i="15"/>
  <c r="Q66" i="15"/>
  <c r="Q73" i="81"/>
  <c r="Q60" i="81"/>
  <c r="Q52" i="85"/>
  <c r="F1" i="85"/>
  <c r="Q57" i="81"/>
  <c r="Q66" i="81"/>
  <c r="M17" i="43"/>
  <c r="G20" i="43" s="1"/>
  <c r="C20" i="43" s="1"/>
  <c r="C37" i="43" s="1"/>
  <c r="P17" i="43"/>
  <c r="C32" i="78"/>
  <c r="Q73" i="67"/>
  <c r="F1" i="80"/>
  <c r="L46" i="85"/>
  <c r="Q74" i="85"/>
  <c r="Q57" i="85"/>
  <c r="C32" i="88"/>
  <c r="H118" i="88" s="1"/>
  <c r="F11" i="67"/>
  <c r="M11" i="15"/>
  <c r="J10" i="15" s="1"/>
  <c r="J5" i="15" s="1"/>
  <c r="F11" i="15"/>
  <c r="F11" i="85"/>
  <c r="M11" i="87"/>
  <c r="M11" i="81"/>
  <c r="J10" i="81" s="1"/>
  <c r="J5" i="81" s="1"/>
  <c r="M11" i="67"/>
  <c r="J10" i="67" s="1"/>
  <c r="J5" i="67" s="1"/>
  <c r="F11" i="81"/>
  <c r="Q74" i="81"/>
  <c r="Q61" i="81"/>
  <c r="Q57" i="80"/>
  <c r="Q66" i="80"/>
  <c r="Q61" i="67"/>
  <c r="Q74" i="67"/>
  <c r="Q73" i="87"/>
  <c r="Q60" i="87"/>
  <c r="Q74" i="87"/>
  <c r="Q61" i="87"/>
  <c r="Q60" i="80"/>
  <c r="Q73" i="80"/>
  <c r="Q73" i="85"/>
  <c r="Q60" i="85"/>
  <c r="O17" i="89"/>
  <c r="M17" i="89"/>
  <c r="P17" i="89"/>
  <c r="T4" i="89"/>
  <c r="V4" i="89" s="1"/>
  <c r="T11" i="89"/>
  <c r="V11" i="89" s="1"/>
  <c r="T7" i="89"/>
  <c r="V7" i="89" s="1"/>
  <c r="C38" i="89"/>
  <c r="G38" i="89" s="1"/>
  <c r="I38" i="89" s="1"/>
  <c r="T16" i="89"/>
  <c r="V16" i="89" s="1"/>
  <c r="C37" i="89"/>
  <c r="G37" i="89" s="1"/>
  <c r="I37" i="89" s="1"/>
  <c r="C34" i="89"/>
  <c r="G34" i="89" s="1"/>
  <c r="I34" i="89" s="1"/>
  <c r="C29" i="89"/>
  <c r="C30" i="89" s="1"/>
  <c r="E30" i="89" s="1"/>
  <c r="T6" i="89"/>
  <c r="V6" i="89" s="1"/>
  <c r="T13" i="89"/>
  <c r="V13" i="89" s="1"/>
  <c r="T3" i="89"/>
  <c r="V3" i="89" s="1"/>
  <c r="F71" i="87"/>
  <c r="F50" i="87"/>
  <c r="C49" i="87" s="1"/>
  <c r="M7" i="87"/>
  <c r="J6" i="87" s="1"/>
  <c r="C6" i="87"/>
  <c r="C6" i="81"/>
  <c r="T14" i="89"/>
  <c r="V14" i="89" s="1"/>
  <c r="AZ5" i="3"/>
  <c r="E237" i="3"/>
  <c r="E261" i="3"/>
  <c r="E304" i="3"/>
  <c r="E528" i="3"/>
  <c r="E565" i="3"/>
  <c r="E183" i="3"/>
  <c r="E213" i="3"/>
  <c r="E361" i="3"/>
  <c r="E17" i="3"/>
  <c r="E503" i="3"/>
  <c r="E302" i="3"/>
  <c r="E388" i="3"/>
  <c r="E583" i="3"/>
  <c r="AA6" i="3"/>
  <c r="E399" i="3"/>
  <c r="E336" i="3"/>
  <c r="E280" i="3"/>
  <c r="E246" i="3"/>
  <c r="E124" i="3"/>
  <c r="E293" i="3"/>
  <c r="E397" i="3"/>
  <c r="E314" i="3"/>
  <c r="E568" i="3"/>
  <c r="E511" i="3"/>
  <c r="AN6" i="3"/>
  <c r="AI6" i="3"/>
  <c r="E506" i="3"/>
  <c r="E538" i="3"/>
  <c r="E418" i="3"/>
  <c r="E439" i="3"/>
  <c r="E338" i="3"/>
  <c r="E380" i="3"/>
  <c r="E321" i="3"/>
  <c r="E231" i="3"/>
  <c r="E298" i="3"/>
  <c r="E216" i="3"/>
  <c r="E169" i="3"/>
  <c r="E217" i="3"/>
  <c r="E526" i="3"/>
  <c r="E268" i="3"/>
  <c r="E322" i="3"/>
  <c r="E516" i="3"/>
  <c r="E569" i="3"/>
  <c r="E396" i="3"/>
  <c r="E229" i="3"/>
  <c r="E151" i="3"/>
  <c r="E358" i="3"/>
  <c r="E559" i="3"/>
  <c r="E551" i="3"/>
  <c r="E578" i="3"/>
  <c r="E423" i="3"/>
  <c r="E382" i="3"/>
  <c r="E263" i="3"/>
  <c r="E245" i="3"/>
  <c r="E130" i="3"/>
  <c r="E134" i="3"/>
  <c r="E254" i="3"/>
  <c r="E91" i="3"/>
  <c r="E221" i="3"/>
  <c r="E180" i="3"/>
  <c r="E140" i="3"/>
  <c r="E85" i="3"/>
  <c r="E223" i="3"/>
  <c r="E238" i="3"/>
  <c r="E197" i="3"/>
  <c r="E116" i="3"/>
  <c r="E173" i="3"/>
  <c r="E105" i="3"/>
  <c r="E369" i="3"/>
  <c r="E393" i="3"/>
  <c r="E525" i="3"/>
  <c r="E499" i="3"/>
  <c r="E542"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53" i="3"/>
  <c r="E501" i="3"/>
  <c r="E426" i="3"/>
  <c r="E329" i="3"/>
  <c r="E410" i="3"/>
  <c r="E143" i="3"/>
  <c r="E533" i="3"/>
  <c r="E561" i="3"/>
  <c r="E453" i="3"/>
  <c r="E244" i="3"/>
  <c r="E191" i="3"/>
  <c r="E188" i="3"/>
  <c r="E181" i="3"/>
  <c r="E149" i="3"/>
  <c r="E212" i="3"/>
  <c r="E167" i="3"/>
  <c r="E141" i="3"/>
  <c r="E312" i="3"/>
  <c r="AD6" i="3"/>
  <c r="E560" i="3"/>
  <c r="E437" i="3"/>
  <c r="E472" i="3"/>
  <c r="E481" i="3"/>
  <c r="E406" i="3"/>
  <c r="E424" i="3"/>
  <c r="E465" i="3"/>
  <c r="E344" i="3"/>
  <c r="E587" i="3"/>
  <c r="E577" i="3"/>
  <c r="E429" i="3"/>
  <c r="E468" i="3"/>
  <c r="E496" i="3"/>
  <c r="E454" i="3"/>
  <c r="E55" i="3"/>
  <c r="E106" i="3"/>
  <c r="E73" i="3"/>
  <c r="E146" i="3"/>
  <c r="E203" i="3"/>
  <c r="E171" i="3"/>
  <c r="E256"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75" i="3"/>
  <c r="E343" i="3"/>
  <c r="E508" i="3"/>
  <c r="E574" i="3"/>
  <c r="E285" i="3"/>
  <c r="E390" i="3"/>
  <c r="E523" i="3"/>
  <c r="E434" i="3"/>
  <c r="E296" i="3"/>
  <c r="E136" i="3"/>
  <c r="E236" i="3"/>
  <c r="E269" i="3"/>
  <c r="E89" i="3"/>
  <c r="E252" i="3"/>
  <c r="E204" i="3"/>
  <c r="E164" i="3"/>
  <c r="E327" i="3"/>
  <c r="E576" i="3"/>
  <c r="E534" i="3"/>
  <c r="E405" i="3"/>
  <c r="E456" i="3"/>
  <c r="E469" i="3"/>
  <c r="E512" i="3"/>
  <c r="E408" i="3"/>
  <c r="E451" i="3"/>
  <c r="E360" i="3"/>
  <c r="E556" i="3"/>
  <c r="E497" i="3"/>
  <c r="E498" i="3"/>
  <c r="E419" i="3"/>
  <c r="E483" i="3"/>
  <c r="E401" i="3"/>
  <c r="E463" i="3"/>
  <c r="E40" i="3"/>
  <c r="E25" i="3"/>
  <c r="E108" i="3"/>
  <c r="E178" i="3"/>
  <c r="E119" i="3"/>
  <c r="E202" i="3"/>
  <c r="E242"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23" i="3"/>
  <c r="E289" i="3"/>
  <c r="E364" i="3"/>
  <c r="E20" i="3"/>
  <c r="E176" i="3"/>
  <c r="E265" i="3"/>
  <c r="E524" i="3"/>
  <c r="E34" i="3"/>
  <c r="E206" i="3"/>
  <c r="E251" i="3"/>
  <c r="AF6" i="3"/>
  <c r="E80" i="3"/>
  <c r="E158" i="3"/>
  <c r="E308" i="3"/>
  <c r="E22" i="3"/>
  <c r="O6" i="3"/>
  <c r="M6" i="3"/>
  <c r="E114" i="3"/>
  <c r="E415" i="3"/>
  <c r="E395" i="3"/>
  <c r="E260" i="3"/>
  <c r="E550" i="3"/>
  <c r="E239" i="3"/>
  <c r="E545" i="3"/>
  <c r="E510" i="3"/>
  <c r="E352" i="3"/>
  <c r="E205" i="3"/>
  <c r="E128" i="3"/>
  <c r="E385" i="3"/>
  <c r="E518" i="3"/>
  <c r="E536" i="3"/>
  <c r="AB6" i="3"/>
  <c r="E387" i="3"/>
  <c r="E335" i="3"/>
  <c r="E215" i="3"/>
  <c r="E189" i="3"/>
  <c r="E366" i="3"/>
  <c r="E282" i="3"/>
  <c r="E347" i="3"/>
  <c r="E431" i="3"/>
  <c r="E201" i="3"/>
  <c r="E514" i="3"/>
  <c r="E586" i="3"/>
  <c r="E350" i="3"/>
  <c r="E301" i="3"/>
  <c r="E185" i="3"/>
  <c r="E135" i="3"/>
  <c r="E161" i="3"/>
  <c r="E120" i="3"/>
  <c r="E277" i="3"/>
  <c r="E177" i="3"/>
  <c r="E133" i="3"/>
  <c r="E330" i="3"/>
  <c r="E585" i="3"/>
  <c r="U6" i="3"/>
  <c r="E515" i="3"/>
  <c r="E411" i="3"/>
  <c r="E478" i="3"/>
  <c r="E548" i="3"/>
  <c r="E414" i="3"/>
  <c r="E432" i="3"/>
  <c r="E477" i="3"/>
  <c r="E367" i="3"/>
  <c r="E505" i="3"/>
  <c r="E547" i="3"/>
  <c r="AS6" i="3"/>
  <c r="E403" i="3"/>
  <c r="E476" i="3"/>
  <c r="E546" i="3"/>
  <c r="E447" i="3"/>
  <c r="E71" i="3"/>
  <c r="E27" i="3"/>
  <c r="E92" i="3"/>
  <c r="E162" i="3"/>
  <c r="E126" i="3"/>
  <c r="E186" i="3"/>
  <c r="E272" i="3"/>
  <c r="E319" i="3"/>
  <c r="E328" i="3"/>
  <c r="E337" i="3"/>
  <c r="E368" i="3"/>
  <c r="E99" i="3"/>
  <c r="E157" i="3"/>
  <c r="E253" i="3"/>
  <c r="E286" i="3"/>
  <c r="E532" i="3"/>
  <c r="E529" i="3"/>
  <c r="E474" i="3"/>
  <c r="E438" i="3"/>
  <c r="E288" i="3"/>
  <c r="W6" i="3"/>
  <c r="E537" i="3"/>
  <c r="E471" i="3"/>
  <c r="E475" i="3"/>
  <c r="E54" i="3"/>
  <c r="E168" i="3"/>
  <c r="E208" i="3"/>
  <c r="E210" i="3"/>
  <c r="E291" i="3"/>
  <c r="E331" i="3"/>
  <c r="E317" i="3"/>
  <c r="E384" i="3"/>
  <c r="E44" i="3"/>
  <c r="E29" i="3"/>
  <c r="E441" i="3"/>
  <c r="E425" i="3"/>
  <c r="E64" i="3"/>
  <c r="E103" i="3"/>
  <c r="E142" i="3"/>
  <c r="E267" i="3"/>
  <c r="E300" i="3"/>
  <c r="E310" i="3"/>
  <c r="E23" i="3"/>
  <c r="E67" i="3"/>
  <c r="E144" i="3"/>
  <c r="E233" i="3"/>
  <c r="E381" i="3"/>
  <c r="E63" i="3"/>
  <c r="E118" i="3"/>
  <c r="E283" i="3"/>
  <c r="E513" i="3"/>
  <c r="E530" i="3"/>
  <c r="E539" i="3"/>
  <c r="E97" i="3"/>
  <c r="AK6" i="3"/>
  <c r="E262" i="3"/>
  <c r="E148" i="3"/>
  <c r="E207" i="3"/>
  <c r="E145" i="3"/>
  <c r="E379" i="3"/>
  <c r="E564" i="3"/>
  <c r="E427" i="3"/>
  <c r="E507" i="3"/>
  <c r="E440" i="3"/>
  <c r="E376" i="3"/>
  <c r="E452" i="3"/>
  <c r="E420" i="3"/>
  <c r="E104" i="3"/>
  <c r="E115" i="3"/>
  <c r="E139" i="3"/>
  <c r="E281" i="3"/>
  <c r="E243" i="3"/>
  <c r="E332" i="3"/>
  <c r="E391" i="3"/>
  <c r="E356" i="3"/>
  <c r="AL6" i="3"/>
  <c r="E42" i="3"/>
  <c r="E94" i="3"/>
  <c r="E488" i="3"/>
  <c r="E482" i="3"/>
  <c r="E18" i="3"/>
  <c r="E78" i="3"/>
  <c r="E190" i="3"/>
  <c r="E220" i="3"/>
  <c r="E235" i="3"/>
  <c r="E383" i="3"/>
  <c r="E522" i="3"/>
  <c r="E86" i="3"/>
  <c r="E147" i="3"/>
  <c r="E50" i="3"/>
  <c r="E218" i="3"/>
  <c r="E101" i="3"/>
  <c r="E232" i="3"/>
  <c r="E102" i="3"/>
  <c r="E287" i="3"/>
  <c r="E83" i="3"/>
  <c r="K6" i="3"/>
  <c r="E509" i="3"/>
  <c r="E353" i="3"/>
  <c r="V6" i="3"/>
  <c r="E407" i="3"/>
  <c r="E294" i="3"/>
  <c r="E125" i="3"/>
  <c r="N6" i="3"/>
  <c r="E247" i="3"/>
  <c r="E570" i="3"/>
  <c r="E303" i="3"/>
  <c r="E61" i="3"/>
  <c r="E117" i="3"/>
  <c r="E193" i="3"/>
  <c r="E519" i="3"/>
  <c r="AG6" i="3"/>
  <c r="E448" i="3"/>
  <c r="P6" i="3"/>
  <c r="E443" i="3"/>
  <c r="E345" i="3"/>
  <c r="E557" i="3"/>
  <c r="E531" i="3"/>
  <c r="E489" i="3"/>
  <c r="E28" i="3"/>
  <c r="E70" i="3"/>
  <c r="E182" i="3"/>
  <c r="E211" i="3"/>
  <c r="E153" i="3"/>
  <c r="E270" i="3"/>
  <c r="E196" i="3"/>
  <c r="E77" i="3"/>
  <c r="E575" i="3"/>
  <c r="E458" i="3"/>
  <c r="E457" i="3"/>
  <c r="E571" i="3"/>
  <c r="E433" i="3"/>
  <c r="E111" i="3"/>
  <c r="E279" i="3"/>
  <c r="E316" i="3"/>
  <c r="E334" i="3"/>
  <c r="E572" i="3"/>
  <c r="E109" i="3"/>
  <c r="E484" i="3"/>
  <c r="E46" i="3"/>
  <c r="E200" i="3"/>
  <c r="E371" i="3"/>
  <c r="E84" i="3"/>
  <c r="E184" i="3"/>
  <c r="E68" i="3"/>
  <c r="E264" i="3"/>
  <c r="E21" i="3"/>
  <c r="E359" i="3"/>
  <c r="E156" i="3"/>
  <c r="E271" i="3"/>
  <c r="E493" i="3"/>
  <c r="E486" i="3"/>
  <c r="E490" i="3"/>
  <c r="E494" i="3"/>
  <c r="E26" i="3"/>
  <c r="E198" i="3"/>
  <c r="E226" i="3"/>
  <c r="E346" i="3"/>
  <c r="E372" i="3"/>
  <c r="E43" i="3"/>
  <c r="E412" i="3"/>
  <c r="E129" i="3"/>
  <c r="E275" i="3"/>
  <c r="E342" i="3"/>
  <c r="E112" i="3"/>
  <c r="E62" i="3"/>
  <c r="E49" i="3"/>
  <c r="E113" i="3"/>
  <c r="I6" i="3"/>
  <c r="E69" i="3"/>
  <c r="E278" i="3"/>
  <c r="E563" i="3"/>
  <c r="E172" i="3"/>
  <c r="E445" i="3"/>
  <c r="E535" i="3"/>
  <c r="E567" i="3"/>
  <c r="E461" i="3"/>
  <c r="E227" i="3"/>
  <c r="E165" i="3"/>
  <c r="E495" i="3"/>
  <c r="E16" i="3"/>
  <c r="E320" i="3"/>
  <c r="E230" i="3"/>
  <c r="E553" i="3"/>
  <c r="E579" i="3"/>
  <c r="E311" i="3"/>
  <c r="E402" i="3"/>
  <c r="E159" i="3"/>
  <c r="E290" i="3"/>
  <c r="E45" i="3"/>
  <c r="E224" i="3"/>
  <c r="E313" i="3"/>
  <c r="Z6" i="3"/>
  <c r="AO6" i="3"/>
  <c r="E485" i="3"/>
  <c r="E400" i="3"/>
  <c r="E558" i="3"/>
  <c r="E581" i="3"/>
  <c r="E444" i="3"/>
  <c r="E404" i="3"/>
  <c r="E88" i="3"/>
  <c r="E121" i="3"/>
  <c r="E166" i="3"/>
  <c r="E295" i="3"/>
  <c r="E555" i="3"/>
  <c r="E549" i="3"/>
  <c r="E228" i="3"/>
  <c r="E199" i="3"/>
  <c r="E573" i="3"/>
  <c r="E527" i="3"/>
  <c r="E562" i="3"/>
  <c r="E450" i="3"/>
  <c r="E72" i="3"/>
  <c r="E150" i="3"/>
  <c r="E273" i="3"/>
  <c r="E377" i="3"/>
  <c r="E30" i="3"/>
  <c r="E480" i="3"/>
  <c r="E467" i="3"/>
  <c r="E160" i="3"/>
  <c r="E249" i="3"/>
  <c r="E492" i="3"/>
  <c r="E33" i="3"/>
  <c r="E355" i="3"/>
  <c r="E81" i="3"/>
  <c r="E309" i="3"/>
  <c r="E305" i="3"/>
  <c r="S6" i="3"/>
  <c r="E306" i="3"/>
  <c r="E122" i="3"/>
  <c r="E107" i="3"/>
  <c r="E543" i="3"/>
  <c r="E422" i="3"/>
  <c r="AH6" i="3"/>
  <c r="E470" i="3"/>
  <c r="E41" i="3"/>
  <c r="E225" i="3"/>
  <c r="E276" i="3"/>
  <c r="E333" i="3"/>
  <c r="L6" i="3"/>
  <c r="E60" i="3"/>
  <c r="E428" i="3"/>
  <c r="E96" i="3"/>
  <c r="E174" i="3"/>
  <c r="E324" i="3"/>
  <c r="E35" i="3"/>
  <c r="E340" i="3"/>
  <c r="E365" i="3"/>
  <c r="E370" i="3"/>
  <c r="E326" i="3"/>
  <c r="AR6" i="3"/>
  <c r="J6" i="3"/>
  <c r="AE6" i="3"/>
  <c r="T6" i="3"/>
  <c r="AM6" i="3"/>
  <c r="AJ6" i="3"/>
  <c r="X6" i="3"/>
  <c r="R6" i="3"/>
  <c r="Q6" i="3"/>
  <c r="E61" i="39"/>
  <c r="E56" i="40"/>
  <c r="E64" i="39"/>
  <c r="E59" i="40"/>
  <c r="E16" i="6"/>
  <c r="M9" i="1"/>
  <c r="H16" i="1"/>
  <c r="Q16" i="1"/>
  <c r="K16" i="1"/>
  <c r="C34" i="69"/>
  <c r="G16" i="1"/>
  <c r="E27" i="6"/>
  <c r="BA6" i="3"/>
  <c r="E13" i="3"/>
  <c r="E60" i="40"/>
  <c r="E65" i="39"/>
  <c r="E58" i="40"/>
  <c r="E63" i="39"/>
  <c r="E62" i="39"/>
  <c r="E57" i="40"/>
  <c r="H7" i="33"/>
  <c r="U7" i="33" s="1"/>
  <c r="J7" i="33"/>
  <c r="W7" i="33" s="1"/>
  <c r="H68" i="39"/>
  <c r="G70" i="39"/>
  <c r="H63" i="40"/>
  <c r="G65" i="40"/>
  <c r="E36" i="89"/>
  <c r="AB7" i="33"/>
  <c r="T48" i="33" s="1"/>
  <c r="G48" i="33" s="1"/>
  <c r="U7" i="35"/>
  <c r="AB7" i="35"/>
  <c r="T38" i="35" s="1"/>
  <c r="G38" i="35" s="1"/>
  <c r="F7" i="33"/>
  <c r="W7" i="35"/>
  <c r="AC7" i="35"/>
  <c r="V38" i="35" s="1"/>
  <c r="I38" i="35" s="1"/>
  <c r="H52" i="37"/>
  <c r="I52" i="37" s="1"/>
  <c r="J52" i="37" s="1"/>
  <c r="K52" i="37" s="1"/>
  <c r="L52" i="37" s="1"/>
  <c r="M52" i="37" s="1"/>
  <c r="N52" i="37" s="1"/>
  <c r="O52" i="37" s="1"/>
  <c r="I59" i="34"/>
  <c r="AC7" i="33"/>
  <c r="V48" i="33" s="1"/>
  <c r="I48" i="33" s="1"/>
  <c r="AA7" i="35"/>
  <c r="R38" i="35" s="1"/>
  <c r="S7" i="35"/>
  <c r="AE6" i="1"/>
  <c r="AE8" i="1"/>
  <c r="F41" i="87"/>
  <c r="C16" i="87"/>
  <c r="F41" i="81"/>
  <c r="AE10" i="1"/>
  <c r="AE7" i="1"/>
  <c r="C10" i="80" l="1"/>
  <c r="C5" i="80" s="1"/>
  <c r="C32" i="80" s="1"/>
  <c r="E39" i="89"/>
  <c r="C66" i="80"/>
  <c r="AG6" i="1"/>
  <c r="E38" i="89"/>
  <c r="H118" i="83"/>
  <c r="C34" i="83"/>
  <c r="D118" i="83" s="1"/>
  <c r="D119" i="83" s="1"/>
  <c r="T9" i="43"/>
  <c r="V9" i="43" s="1"/>
  <c r="T13" i="43"/>
  <c r="V13" i="43" s="1"/>
  <c r="C33" i="43"/>
  <c r="E33" i="43" s="1"/>
  <c r="C48" i="87"/>
  <c r="C10" i="87"/>
  <c r="C5" i="87" s="1"/>
  <c r="E37" i="89"/>
  <c r="T16" i="43"/>
  <c r="V16" i="43" s="1"/>
  <c r="T6" i="43"/>
  <c r="V6" i="43" s="1"/>
  <c r="T12" i="43"/>
  <c r="V12" i="43" s="1"/>
  <c r="G35" i="89"/>
  <c r="I35" i="89" s="1"/>
  <c r="C27" i="89" s="1"/>
  <c r="H101" i="83"/>
  <c r="D45" i="83" s="1"/>
  <c r="C85" i="83" s="1"/>
  <c r="J18" i="80"/>
  <c r="J26" i="80"/>
  <c r="J24" i="80"/>
  <c r="E33" i="89"/>
  <c r="C35" i="88"/>
  <c r="F118" i="88" s="1"/>
  <c r="F119" i="88" s="1"/>
  <c r="C19" i="67"/>
  <c r="C20" i="67" s="1"/>
  <c r="C26" i="67" s="1"/>
  <c r="E29" i="89"/>
  <c r="C39" i="43"/>
  <c r="E39" i="43" s="1"/>
  <c r="T10" i="43"/>
  <c r="V10" i="43" s="1"/>
  <c r="T15" i="43"/>
  <c r="V15" i="43" s="1"/>
  <c r="T5" i="43"/>
  <c r="V5" i="43" s="1"/>
  <c r="T11" i="43"/>
  <c r="V11" i="43" s="1"/>
  <c r="T2" i="43"/>
  <c r="V2" i="43" s="1"/>
  <c r="F69" i="87"/>
  <c r="J24" i="15"/>
  <c r="J19" i="15"/>
  <c r="J18" i="15"/>
  <c r="J26" i="67"/>
  <c r="J29" i="67" s="1"/>
  <c r="J24" i="67"/>
  <c r="J18" i="67"/>
  <c r="C10" i="15"/>
  <c r="C5" i="15" s="1"/>
  <c r="C53" i="15"/>
  <c r="C48" i="15" s="1"/>
  <c r="C53" i="67"/>
  <c r="C48" i="67" s="1"/>
  <c r="C10" i="67"/>
  <c r="C5" i="67" s="1"/>
  <c r="C35" i="78"/>
  <c r="H118" i="78"/>
  <c r="T4" i="43"/>
  <c r="V4" i="43" s="1"/>
  <c r="C38" i="43"/>
  <c r="G38" i="43" s="1"/>
  <c r="I38" i="43" s="1"/>
  <c r="T8" i="43"/>
  <c r="V8" i="43" s="1"/>
  <c r="C29" i="43"/>
  <c r="C30" i="43" s="1"/>
  <c r="E30" i="43" s="1"/>
  <c r="T3" i="43"/>
  <c r="V3" i="43" s="1"/>
  <c r="C36" i="43"/>
  <c r="E36" i="43" s="1"/>
  <c r="T14" i="43"/>
  <c r="V14" i="43" s="1"/>
  <c r="C35" i="43"/>
  <c r="G35" i="43" s="1"/>
  <c r="I35" i="43" s="1"/>
  <c r="C34" i="43"/>
  <c r="G34" i="43" s="1"/>
  <c r="I34" i="43" s="1"/>
  <c r="T7" i="43"/>
  <c r="V7" i="43" s="1"/>
  <c r="J10" i="87"/>
  <c r="J5" i="87" s="1"/>
  <c r="J26" i="87" s="1"/>
  <c r="J29" i="87" s="1"/>
  <c r="C10" i="81"/>
  <c r="C5" i="81" s="1"/>
  <c r="C53" i="81"/>
  <c r="C48" i="81" s="1"/>
  <c r="J26" i="81"/>
  <c r="J29" i="81" s="1"/>
  <c r="J24" i="81"/>
  <c r="J18" i="81"/>
  <c r="C53" i="85"/>
  <c r="C48" i="85" s="1"/>
  <c r="C10" i="85"/>
  <c r="C5" i="85" s="1"/>
  <c r="C104" i="88"/>
  <c r="H101" i="88"/>
  <c r="H119" i="88"/>
  <c r="J18" i="85"/>
  <c r="J24" i="85"/>
  <c r="F22" i="86"/>
  <c r="F24" i="80"/>
  <c r="C24" i="80" s="1"/>
  <c r="F24" i="85"/>
  <c r="C24" i="85" s="1"/>
  <c r="F25" i="12"/>
  <c r="C26" i="12" s="1"/>
  <c r="D25" i="12" s="1"/>
  <c r="F24" i="67"/>
  <c r="F24" i="15"/>
  <c r="C24" i="15" s="1"/>
  <c r="F24" i="81"/>
  <c r="C24" i="81" s="1"/>
  <c r="F22" i="11"/>
  <c r="F22" i="82"/>
  <c r="F22" i="69"/>
  <c r="F24" i="87"/>
  <c r="C24" i="87" s="1"/>
  <c r="F22" i="68"/>
  <c r="F22" i="84"/>
  <c r="E34" i="89"/>
  <c r="F69" i="81"/>
  <c r="G37" i="43"/>
  <c r="I37" i="43" s="1"/>
  <c r="E37" i="43"/>
  <c r="H10" i="39"/>
  <c r="F10" i="39"/>
  <c r="J10" i="40"/>
  <c r="H10" i="40"/>
  <c r="J10" i="39"/>
  <c r="F10" i="40"/>
  <c r="M16" i="1"/>
  <c r="E66" i="39"/>
  <c r="AC6" i="3"/>
  <c r="BS6" i="3"/>
  <c r="BI6" i="3"/>
  <c r="BN6" i="3"/>
  <c r="BQ6" i="3"/>
  <c r="BM6" i="3"/>
  <c r="BT6" i="3"/>
  <c r="E3" i="6"/>
  <c r="BG6" i="3"/>
  <c r="BB6" i="3"/>
  <c r="BE6" i="3"/>
  <c r="BH6" i="3"/>
  <c r="BJ6" i="3"/>
  <c r="BC6" i="3"/>
  <c r="BR6" i="3"/>
  <c r="BO6" i="3"/>
  <c r="BK6" i="3"/>
  <c r="BP6" i="3"/>
  <c r="AY79" i="3"/>
  <c r="AY143" i="3"/>
  <c r="AY19" i="3"/>
  <c r="AY83" i="3"/>
  <c r="AY147" i="3"/>
  <c r="AY232" i="3"/>
  <c r="AY296" i="3"/>
  <c r="AY360" i="3"/>
  <c r="AY424" i="3"/>
  <c r="AY488" i="3"/>
  <c r="AY252" i="3"/>
  <c r="AY380" i="3"/>
  <c r="AY508" i="3"/>
  <c r="AY555" i="3"/>
  <c r="AY563" i="3"/>
  <c r="AY571" i="3"/>
  <c r="AY579" i="3"/>
  <c r="AY587" i="3"/>
  <c r="AY260" i="3"/>
  <c r="AY388" i="3"/>
  <c r="AY516" i="3"/>
  <c r="AY31" i="3"/>
  <c r="AY95" i="3"/>
  <c r="AY159" i="3"/>
  <c r="AY35" i="3"/>
  <c r="AY99" i="3"/>
  <c r="AY163" i="3"/>
  <c r="AY248" i="3"/>
  <c r="AY312" i="3"/>
  <c r="AY376" i="3"/>
  <c r="AY440" i="3"/>
  <c r="AY504" i="3"/>
  <c r="AY284" i="3"/>
  <c r="AY412" i="3"/>
  <c r="AY532" i="3"/>
  <c r="AY292" i="3"/>
  <c r="AY420" i="3"/>
  <c r="AY528" i="3"/>
  <c r="AY17" i="3"/>
  <c r="AY21" i="3"/>
  <c r="AY29" i="3"/>
  <c r="AY37" i="3"/>
  <c r="AY45" i="3"/>
  <c r="AY53" i="3"/>
  <c r="AY61" i="3"/>
  <c r="AY69" i="3"/>
  <c r="AY77" i="3"/>
  <c r="AY85" i="3"/>
  <c r="AY93" i="3"/>
  <c r="AY101" i="3"/>
  <c r="AY109" i="3"/>
  <c r="AY117" i="3"/>
  <c r="AY125" i="3"/>
  <c r="AY133" i="3"/>
  <c r="AY141" i="3"/>
  <c r="AY149" i="3"/>
  <c r="AY157" i="3"/>
  <c r="AY165" i="3"/>
  <c r="AY173" i="3"/>
  <c r="AY181" i="3"/>
  <c r="AY189" i="3"/>
  <c r="AY197" i="3"/>
  <c r="AY205" i="3"/>
  <c r="AY38" i="3"/>
  <c r="AY70" i="3"/>
  <c r="AY102" i="3"/>
  <c r="AY134" i="3"/>
  <c r="AY166" i="3"/>
  <c r="AY198" i="3"/>
  <c r="AY214" i="3"/>
  <c r="AY222" i="3"/>
  <c r="AY230" i="3"/>
  <c r="AY238" i="3"/>
  <c r="AY246"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26" i="3"/>
  <c r="AY58" i="3"/>
  <c r="AY90" i="3"/>
  <c r="AY122" i="3"/>
  <c r="AY154" i="3"/>
  <c r="AY207" i="3"/>
  <c r="AY239" i="3"/>
  <c r="AY271" i="3"/>
  <c r="AY303" i="3"/>
  <c r="AY335" i="3"/>
  <c r="AY367" i="3"/>
  <c r="AY399" i="3"/>
  <c r="AY431" i="3"/>
  <c r="AY463" i="3"/>
  <c r="AY495" i="3"/>
  <c r="AY520" i="3"/>
  <c r="AY235" i="3"/>
  <c r="AY299" i="3"/>
  <c r="AY363" i="3"/>
  <c r="AY427" i="3"/>
  <c r="AY491" i="3"/>
  <c r="AY539" i="3"/>
  <c r="AY243" i="3"/>
  <c r="AY307" i="3"/>
  <c r="AY371" i="3"/>
  <c r="AY435" i="3"/>
  <c r="AY499" i="3"/>
  <c r="AY548" i="3"/>
  <c r="AY556" i="3"/>
  <c r="AY564" i="3"/>
  <c r="AY572" i="3"/>
  <c r="AY580" i="3"/>
  <c r="AY14" i="3"/>
  <c r="AY16" i="3"/>
  <c r="AY24" i="3"/>
  <c r="AY32" i="3"/>
  <c r="AY40" i="3"/>
  <c r="AY48" i="3"/>
  <c r="AY56" i="3"/>
  <c r="AY64" i="3"/>
  <c r="AY72" i="3"/>
  <c r="AY80" i="3"/>
  <c r="AY88" i="3"/>
  <c r="AY96" i="3"/>
  <c r="AY104" i="3"/>
  <c r="AY112" i="3"/>
  <c r="AY120" i="3"/>
  <c r="AY128" i="3"/>
  <c r="AY136" i="3"/>
  <c r="AY144" i="3"/>
  <c r="AY152" i="3"/>
  <c r="AY160" i="3"/>
  <c r="AY168" i="3"/>
  <c r="AY176" i="3"/>
  <c r="AY184" i="3"/>
  <c r="AY192" i="3"/>
  <c r="AY200" i="3"/>
  <c r="BD6" i="3"/>
  <c r="AY23" i="3"/>
  <c r="AY39" i="3"/>
  <c r="AY55" i="3"/>
  <c r="AY71" i="3"/>
  <c r="AY87" i="3"/>
  <c r="AY103" i="3"/>
  <c r="AY119" i="3"/>
  <c r="AY135" i="3"/>
  <c r="AY151" i="3"/>
  <c r="AY167" i="3"/>
  <c r="AY183" i="3"/>
  <c r="AY199" i="3"/>
  <c r="AY209" i="3"/>
  <c r="AY217" i="3"/>
  <c r="AY225" i="3"/>
  <c r="AY233" i="3"/>
  <c r="AY241" i="3"/>
  <c r="AY249" i="3"/>
  <c r="AY257" i="3"/>
  <c r="AY265" i="3"/>
  <c r="AY273" i="3"/>
  <c r="AY281" i="3"/>
  <c r="AY289" i="3"/>
  <c r="AY297" i="3"/>
  <c r="AY305" i="3"/>
  <c r="AY313" i="3"/>
  <c r="AY321" i="3"/>
  <c r="AY329" i="3"/>
  <c r="AY337" i="3"/>
  <c r="AY345" i="3"/>
  <c r="AY353" i="3"/>
  <c r="AY361" i="3"/>
  <c r="AY369" i="3"/>
  <c r="AY377" i="3"/>
  <c r="AY385" i="3"/>
  <c r="AY393" i="3"/>
  <c r="AY401" i="3"/>
  <c r="AY409" i="3"/>
  <c r="AY417" i="3"/>
  <c r="AY425" i="3"/>
  <c r="AY433" i="3"/>
  <c r="AY441" i="3"/>
  <c r="AY449" i="3"/>
  <c r="AY457" i="3"/>
  <c r="AY465" i="3"/>
  <c r="AY473" i="3"/>
  <c r="AY481" i="3"/>
  <c r="AY489" i="3"/>
  <c r="AY497" i="3"/>
  <c r="AY505" i="3"/>
  <c r="AY513" i="3"/>
  <c r="AY521" i="3"/>
  <c r="AY529" i="3"/>
  <c r="AY537" i="3"/>
  <c r="AY545" i="3"/>
  <c r="AY18" i="3"/>
  <c r="AY34" i="3"/>
  <c r="AY50" i="3"/>
  <c r="AY66" i="3"/>
  <c r="AY82" i="3"/>
  <c r="AY98" i="3"/>
  <c r="AY114" i="3"/>
  <c r="AY130" i="3"/>
  <c r="AY146" i="3"/>
  <c r="AY162" i="3"/>
  <c r="AY194" i="3"/>
  <c r="AY215" i="3"/>
  <c r="AY231" i="3"/>
  <c r="AY247" i="3"/>
  <c r="AY263" i="3"/>
  <c r="AY279" i="3"/>
  <c r="AY295" i="3"/>
  <c r="AY311" i="3"/>
  <c r="AY327" i="3"/>
  <c r="AY343" i="3"/>
  <c r="AY359" i="3"/>
  <c r="AY375" i="3"/>
  <c r="AY391" i="3"/>
  <c r="AY407" i="3"/>
  <c r="AY423" i="3"/>
  <c r="AY439" i="3"/>
  <c r="AY455" i="3"/>
  <c r="AY471" i="3"/>
  <c r="AY487" i="3"/>
  <c r="AY503" i="3"/>
  <c r="AY519" i="3"/>
  <c r="AY203" i="3"/>
  <c r="AY236" i="3"/>
  <c r="AY268" i="3"/>
  <c r="AY300" i="3"/>
  <c r="AY332" i="3"/>
  <c r="AY364" i="3"/>
  <c r="AY396" i="3"/>
  <c r="AY428" i="3"/>
  <c r="AY460" i="3"/>
  <c r="AY492" i="3"/>
  <c r="AY524" i="3"/>
  <c r="AY540" i="3"/>
  <c r="AY550" i="3"/>
  <c r="AY558" i="3"/>
  <c r="AY566" i="3"/>
  <c r="AY574" i="3"/>
  <c r="AY582" i="3"/>
  <c r="AY186" i="3"/>
  <c r="AY227" i="3"/>
  <c r="AY259" i="3"/>
  <c r="AY291" i="3"/>
  <c r="AY323" i="3"/>
  <c r="AY355" i="3"/>
  <c r="AY387" i="3"/>
  <c r="AY419" i="3"/>
  <c r="AY451" i="3"/>
  <c r="AY483" i="3"/>
  <c r="AY515" i="3"/>
  <c r="AY536" i="3"/>
  <c r="AY549" i="3"/>
  <c r="AY557" i="3"/>
  <c r="AY565" i="3"/>
  <c r="AY573" i="3"/>
  <c r="AY581" i="3"/>
  <c r="AY47" i="3"/>
  <c r="AY111" i="3"/>
  <c r="AY175" i="3"/>
  <c r="AY51" i="3"/>
  <c r="AY115" i="3"/>
  <c r="AY195" i="3"/>
  <c r="AY264" i="3"/>
  <c r="AY328" i="3"/>
  <c r="AY392" i="3"/>
  <c r="AY456" i="3"/>
  <c r="AY171" i="3"/>
  <c r="AY316" i="3"/>
  <c r="AY444" i="3"/>
  <c r="AY551" i="3"/>
  <c r="AY559" i="3"/>
  <c r="AY567" i="3"/>
  <c r="AY575" i="3"/>
  <c r="AY583" i="3"/>
  <c r="AY187" i="3"/>
  <c r="AY324" i="3"/>
  <c r="AY452" i="3"/>
  <c r="AY544" i="3"/>
  <c r="AY63" i="3"/>
  <c r="AY127" i="3"/>
  <c r="AY191" i="3"/>
  <c r="AY67" i="3"/>
  <c r="AY131" i="3"/>
  <c r="AY216" i="3"/>
  <c r="AY280" i="3"/>
  <c r="AY344" i="3"/>
  <c r="AY408" i="3"/>
  <c r="AY472" i="3"/>
  <c r="AY220" i="3"/>
  <c r="AY348" i="3"/>
  <c r="AY476" i="3"/>
  <c r="AY228" i="3"/>
  <c r="AY356" i="3"/>
  <c r="AY484" i="3"/>
  <c r="AY15" i="3"/>
  <c r="AY25" i="3"/>
  <c r="AY33" i="3"/>
  <c r="AY41" i="3"/>
  <c r="AY49" i="3"/>
  <c r="AY57" i="3"/>
  <c r="AY65" i="3"/>
  <c r="AY73" i="3"/>
  <c r="AY81" i="3"/>
  <c r="AY89" i="3"/>
  <c r="AY97" i="3"/>
  <c r="AY105" i="3"/>
  <c r="AY113" i="3"/>
  <c r="AY121" i="3"/>
  <c r="AY129" i="3"/>
  <c r="AY137" i="3"/>
  <c r="AY145" i="3"/>
  <c r="AY153" i="3"/>
  <c r="AY161" i="3"/>
  <c r="AY169" i="3"/>
  <c r="AY177" i="3"/>
  <c r="AY185" i="3"/>
  <c r="AY193" i="3"/>
  <c r="AY201" i="3"/>
  <c r="AY22" i="3"/>
  <c r="AY54" i="3"/>
  <c r="AY86" i="3"/>
  <c r="AY118" i="3"/>
  <c r="AY150" i="3"/>
  <c r="AY182" i="3"/>
  <c r="AY210" i="3"/>
  <c r="AY218" i="3"/>
  <c r="AY226" i="3"/>
  <c r="AY234" i="3"/>
  <c r="AY242" i="3"/>
  <c r="AY250"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42" i="3"/>
  <c r="AY74" i="3"/>
  <c r="AY106" i="3"/>
  <c r="AY138" i="3"/>
  <c r="AY178" i="3"/>
  <c r="AY223" i="3"/>
  <c r="AY255" i="3"/>
  <c r="AY287" i="3"/>
  <c r="AY319" i="3"/>
  <c r="AY351" i="3"/>
  <c r="AY383" i="3"/>
  <c r="AY415" i="3"/>
  <c r="AY447" i="3"/>
  <c r="AY479" i="3"/>
  <c r="AY511" i="3"/>
  <c r="AY202" i="3"/>
  <c r="AY267" i="3"/>
  <c r="AY331" i="3"/>
  <c r="AY395" i="3"/>
  <c r="AY459" i="3"/>
  <c r="AY523" i="3"/>
  <c r="AY211" i="3"/>
  <c r="AY275" i="3"/>
  <c r="AY339" i="3"/>
  <c r="AY403" i="3"/>
  <c r="AY467" i="3"/>
  <c r="AY535" i="3"/>
  <c r="AY552" i="3"/>
  <c r="AY560" i="3"/>
  <c r="AY568" i="3"/>
  <c r="AY576" i="3"/>
  <c r="AY584" i="3"/>
  <c r="AY20" i="3"/>
  <c r="AY28" i="3"/>
  <c r="AY36" i="3"/>
  <c r="AY44" i="3"/>
  <c r="AY52" i="3"/>
  <c r="AY60" i="3"/>
  <c r="AY68" i="3"/>
  <c r="AY76" i="3"/>
  <c r="AY84" i="3"/>
  <c r="AY92" i="3"/>
  <c r="AY100" i="3"/>
  <c r="AY108" i="3"/>
  <c r="AY116" i="3"/>
  <c r="AY124" i="3"/>
  <c r="AY132" i="3"/>
  <c r="AY140" i="3"/>
  <c r="AY148" i="3"/>
  <c r="AY156" i="3"/>
  <c r="AY164" i="3"/>
  <c r="AY172" i="3"/>
  <c r="AY180" i="3"/>
  <c r="AY188" i="3"/>
  <c r="AY196" i="3"/>
  <c r="AY204" i="3"/>
  <c r="AY30" i="3"/>
  <c r="AY46" i="3"/>
  <c r="AY62" i="3"/>
  <c r="AY78" i="3"/>
  <c r="AY94" i="3"/>
  <c r="AY110" i="3"/>
  <c r="AY126" i="3"/>
  <c r="AY142" i="3"/>
  <c r="AY158" i="3"/>
  <c r="AY174" i="3"/>
  <c r="AY190" i="3"/>
  <c r="AY206" i="3"/>
  <c r="AY213" i="3"/>
  <c r="AY221" i="3"/>
  <c r="AY229" i="3"/>
  <c r="AY237" i="3"/>
  <c r="AY245" i="3"/>
  <c r="AY253" i="3"/>
  <c r="AY261" i="3"/>
  <c r="AY269" i="3"/>
  <c r="AY277" i="3"/>
  <c r="AY285" i="3"/>
  <c r="AY293" i="3"/>
  <c r="AY301" i="3"/>
  <c r="AY309" i="3"/>
  <c r="AY317" i="3"/>
  <c r="AY325" i="3"/>
  <c r="AY333" i="3"/>
  <c r="AY341" i="3"/>
  <c r="AY349" i="3"/>
  <c r="AY357" i="3"/>
  <c r="AY365" i="3"/>
  <c r="AY373" i="3"/>
  <c r="AY381" i="3"/>
  <c r="AY389" i="3"/>
  <c r="AY397" i="3"/>
  <c r="AY405" i="3"/>
  <c r="AY413" i="3"/>
  <c r="AY421" i="3"/>
  <c r="AY429" i="3"/>
  <c r="AY437" i="3"/>
  <c r="AY445" i="3"/>
  <c r="AY453" i="3"/>
  <c r="AY461" i="3"/>
  <c r="AY469" i="3"/>
  <c r="AY477" i="3"/>
  <c r="AY485" i="3"/>
  <c r="AY493" i="3"/>
  <c r="AY501" i="3"/>
  <c r="AY509" i="3"/>
  <c r="AY517" i="3"/>
  <c r="AY525" i="3"/>
  <c r="AY533" i="3"/>
  <c r="AY541" i="3"/>
  <c r="AY27" i="3"/>
  <c r="AY43" i="3"/>
  <c r="AY59" i="3"/>
  <c r="AY75" i="3"/>
  <c r="AY91" i="3"/>
  <c r="AY107" i="3"/>
  <c r="AY123" i="3"/>
  <c r="AY139" i="3"/>
  <c r="AY155" i="3"/>
  <c r="AY179" i="3"/>
  <c r="AY208" i="3"/>
  <c r="AY224" i="3"/>
  <c r="AY240" i="3"/>
  <c r="AY256" i="3"/>
  <c r="AY272" i="3"/>
  <c r="AY288" i="3"/>
  <c r="AY304" i="3"/>
  <c r="AY320" i="3"/>
  <c r="AY336" i="3"/>
  <c r="AY352" i="3"/>
  <c r="AY368" i="3"/>
  <c r="AY384" i="3"/>
  <c r="AY400" i="3"/>
  <c r="AY416" i="3"/>
  <c r="AY432" i="3"/>
  <c r="AY448" i="3"/>
  <c r="AY464" i="3"/>
  <c r="AY480" i="3"/>
  <c r="AY496" i="3"/>
  <c r="AY512" i="3"/>
  <c r="AY170" i="3"/>
  <c r="AY219" i="3"/>
  <c r="AY251" i="3"/>
  <c r="AY283" i="3"/>
  <c r="AY315" i="3"/>
  <c r="AY347" i="3"/>
  <c r="AY379" i="3"/>
  <c r="AY411" i="3"/>
  <c r="AY443" i="3"/>
  <c r="AY475" i="3"/>
  <c r="AY507" i="3"/>
  <c r="AY531" i="3"/>
  <c r="AY547" i="3"/>
  <c r="AY554" i="3"/>
  <c r="AY562" i="3"/>
  <c r="AY570" i="3"/>
  <c r="AY578" i="3"/>
  <c r="AY586" i="3"/>
  <c r="AY212" i="3"/>
  <c r="AY244" i="3"/>
  <c r="AY276" i="3"/>
  <c r="AY308" i="3"/>
  <c r="AY340" i="3"/>
  <c r="AY372" i="3"/>
  <c r="AY404" i="3"/>
  <c r="AY436" i="3"/>
  <c r="AY468" i="3"/>
  <c r="AY500" i="3"/>
  <c r="AY527" i="3"/>
  <c r="AY543" i="3"/>
  <c r="AY553" i="3"/>
  <c r="AY561" i="3"/>
  <c r="AY569" i="3"/>
  <c r="AY577" i="3"/>
  <c r="AY585" i="3"/>
  <c r="BL6" i="3"/>
  <c r="BF6" i="3"/>
  <c r="N26" i="66"/>
  <c r="E31" i="6"/>
  <c r="K20" i="6"/>
  <c r="K25" i="6"/>
  <c r="M25" i="6" s="1"/>
  <c r="I25" i="6" s="1"/>
  <c r="K21" i="6"/>
  <c r="K26" i="6"/>
  <c r="M26" i="6" s="1"/>
  <c r="I26" i="6" s="1"/>
  <c r="K19" i="6"/>
  <c r="K24" i="6"/>
  <c r="M24" i="6" s="1"/>
  <c r="I24" i="6" s="1"/>
  <c r="K23" i="6"/>
  <c r="K22" i="6"/>
  <c r="C38" i="69"/>
  <c r="C35" i="69"/>
  <c r="F27" i="86"/>
  <c r="F27" i="11"/>
  <c r="F28" i="12"/>
  <c r="C29" i="12" s="1"/>
  <c r="D28" i="12" s="1"/>
  <c r="F27" i="68"/>
  <c r="F27" i="69"/>
  <c r="F27" i="84"/>
  <c r="F27" i="82"/>
  <c r="H6" i="3"/>
  <c r="E6" i="3" s="1"/>
  <c r="AY13" i="3"/>
  <c r="F7" i="37"/>
  <c r="AA7" i="37" s="1"/>
  <c r="R42" i="37" s="1"/>
  <c r="J7" i="37"/>
  <c r="W7" i="37" s="1"/>
  <c r="I63" i="40"/>
  <c r="H65" i="40"/>
  <c r="H70" i="39"/>
  <c r="I68" i="39"/>
  <c r="E38" i="35"/>
  <c r="I43" i="35" s="1"/>
  <c r="J43" i="35" s="1"/>
  <c r="R39" i="35"/>
  <c r="I52" i="33"/>
  <c r="J52" i="33" s="1"/>
  <c r="S7" i="37"/>
  <c r="AC7" i="37"/>
  <c r="V42" i="37" s="1"/>
  <c r="I42" i="37" s="1"/>
  <c r="G42" i="35"/>
  <c r="H42" i="35" s="1"/>
  <c r="G43" i="35"/>
  <c r="H43" i="35" s="1"/>
  <c r="G53" i="33"/>
  <c r="H53" i="33" s="1"/>
  <c r="G52" i="33"/>
  <c r="H52" i="33" s="1"/>
  <c r="J59" i="34"/>
  <c r="H7" i="37"/>
  <c r="I42" i="35"/>
  <c r="J42" i="35" s="1"/>
  <c r="AA7" i="33"/>
  <c r="R48" i="33" s="1"/>
  <c r="S7" i="33"/>
  <c r="M27" i="15"/>
  <c r="F41" i="85"/>
  <c r="F41" i="80"/>
  <c r="C33" i="80" l="1"/>
  <c r="C38" i="80"/>
  <c r="H119" i="83"/>
  <c r="C104" i="83"/>
  <c r="D53" i="83"/>
  <c r="C64" i="83"/>
  <c r="C63" i="83" s="1"/>
  <c r="C67" i="83" s="1"/>
  <c r="C68" i="83" s="1"/>
  <c r="D54" i="83" s="1"/>
  <c r="H107" i="83"/>
  <c r="D122" i="83" s="1"/>
  <c r="D123" i="83" s="1"/>
  <c r="G36" i="43"/>
  <c r="I36" i="43" s="1"/>
  <c r="J18" i="87"/>
  <c r="D55" i="83"/>
  <c r="M53" i="83" s="1"/>
  <c r="C93" i="83"/>
  <c r="C86" i="83" s="1"/>
  <c r="C95" i="83" s="1"/>
  <c r="G33" i="43"/>
  <c r="I33" i="43" s="1"/>
  <c r="E38" i="43"/>
  <c r="C32" i="87"/>
  <c r="C38" i="87"/>
  <c r="C33" i="87"/>
  <c r="G39" i="43"/>
  <c r="I39" i="43" s="1"/>
  <c r="C60" i="87"/>
  <c r="C66" i="87"/>
  <c r="E35" i="43"/>
  <c r="E29" i="43"/>
  <c r="E41" i="43" s="1"/>
  <c r="C26" i="89"/>
  <c r="B2" i="89" s="1"/>
  <c r="B3" i="89" s="1"/>
  <c r="D52" i="83"/>
  <c r="C72" i="83"/>
  <c r="C78" i="83"/>
  <c r="C73" i="83" s="1"/>
  <c r="M48" i="83"/>
  <c r="J24" i="87"/>
  <c r="E34" i="43"/>
  <c r="C34" i="88"/>
  <c r="D118" i="88" s="1"/>
  <c r="D119" i="88" s="1"/>
  <c r="F69" i="85"/>
  <c r="J29" i="85"/>
  <c r="J29" i="80"/>
  <c r="F69" i="80"/>
  <c r="C44" i="68"/>
  <c r="D41" i="68" s="1"/>
  <c r="C24" i="68"/>
  <c r="C26" i="68"/>
  <c r="D22" i="68" s="1"/>
  <c r="C44" i="69"/>
  <c r="D41" i="69" s="1"/>
  <c r="C26" i="69"/>
  <c r="D22" i="69" s="1"/>
  <c r="C44" i="11"/>
  <c r="D41" i="11" s="1"/>
  <c r="C26" i="11"/>
  <c r="D22" i="11" s="1"/>
  <c r="C23" i="11"/>
  <c r="C60" i="85"/>
  <c r="C66" i="85"/>
  <c r="C60" i="81"/>
  <c r="C66" i="81"/>
  <c r="F118" i="78"/>
  <c r="F119" i="78" s="1"/>
  <c r="C34" i="78"/>
  <c r="D118" i="78" s="1"/>
  <c r="D119" i="78" s="1"/>
  <c r="C66" i="67"/>
  <c r="C60" i="67"/>
  <c r="C33" i="15"/>
  <c r="C38" i="15"/>
  <c r="C32" i="15"/>
  <c r="C26" i="84"/>
  <c r="D22" i="84" s="1"/>
  <c r="C44" i="84"/>
  <c r="D41" i="84" s="1"/>
  <c r="C26" i="82"/>
  <c r="D22" i="82" s="1"/>
  <c r="C44" i="82"/>
  <c r="D41" i="82" s="1"/>
  <c r="C24" i="67"/>
  <c r="C23" i="67"/>
  <c r="C26" i="86"/>
  <c r="D22" i="86" s="1"/>
  <c r="C44" i="86"/>
  <c r="D41" i="86" s="1"/>
  <c r="M48" i="88"/>
  <c r="D45" i="88"/>
  <c r="H107" i="88"/>
  <c r="C38" i="85"/>
  <c r="C33" i="85"/>
  <c r="C32" i="85"/>
  <c r="H119" i="78"/>
  <c r="H101" i="78"/>
  <c r="C104" i="78"/>
  <c r="C38" i="67"/>
  <c r="C32" i="67"/>
  <c r="C60" i="15"/>
  <c r="C61" i="15"/>
  <c r="C66" i="15"/>
  <c r="C29" i="82"/>
  <c r="D27" i="82" s="1"/>
  <c r="C47" i="82"/>
  <c r="D45" i="82" s="1"/>
  <c r="C47" i="69"/>
  <c r="D45" i="69" s="1"/>
  <c r="C29" i="69"/>
  <c r="D27" i="69" s="1"/>
  <c r="C29" i="86"/>
  <c r="D27" i="86" s="1"/>
  <c r="C47" i="86"/>
  <c r="D45" i="86" s="1"/>
  <c r="S10" i="1"/>
  <c r="M23" i="6"/>
  <c r="I23" i="6" s="1"/>
  <c r="S6" i="1"/>
  <c r="M19" i="6"/>
  <c r="K27" i="6"/>
  <c r="S8" i="1"/>
  <c r="M21" i="6"/>
  <c r="I21" i="6" s="1"/>
  <c r="S7" i="1"/>
  <c r="M20" i="6"/>
  <c r="I20" i="6" s="1"/>
  <c r="M18" i="83"/>
  <c r="B118" i="83" s="1"/>
  <c r="L18" i="83"/>
  <c r="L18" i="88"/>
  <c r="D3" i="33"/>
  <c r="D14" i="12"/>
  <c r="M18" i="9"/>
  <c r="B118" i="9" s="1"/>
  <c r="B14" i="74" s="1"/>
  <c r="B1" i="74" s="1"/>
  <c r="E6" i="6"/>
  <c r="L18" i="9"/>
  <c r="D3" i="37"/>
  <c r="D24" i="6"/>
  <c r="D5" i="6"/>
  <c r="D21" i="6"/>
  <c r="D26" i="6"/>
  <c r="M18" i="78"/>
  <c r="B118" i="78" s="1"/>
  <c r="L18" i="78"/>
  <c r="M18" i="79"/>
  <c r="B118" i="79" s="1"/>
  <c r="D3" i="34"/>
  <c r="D19" i="11"/>
  <c r="C19" i="11" s="1"/>
  <c r="D37" i="11"/>
  <c r="C37" i="11" s="1"/>
  <c r="M18" i="88"/>
  <c r="B118" i="88" s="1"/>
  <c r="L18" i="79"/>
  <c r="C17" i="4"/>
  <c r="D3" i="21"/>
  <c r="B2" i="21" s="1"/>
  <c r="B3" i="21" s="1"/>
  <c r="D25" i="6"/>
  <c r="D20" i="6"/>
  <c r="D9" i="6"/>
  <c r="D19" i="6"/>
  <c r="D28" i="6"/>
  <c r="D8" i="6"/>
  <c r="D23" i="6"/>
  <c r="D29" i="6"/>
  <c r="D22" i="6"/>
  <c r="D13" i="6"/>
  <c r="D12" i="6"/>
  <c r="D11" i="6"/>
  <c r="D14" i="6"/>
  <c r="D10" i="6"/>
  <c r="D15" i="6"/>
  <c r="S10" i="40"/>
  <c r="AA10" i="40"/>
  <c r="AB10" i="40"/>
  <c r="U10" i="40"/>
  <c r="AA10" i="39"/>
  <c r="S10" i="39"/>
  <c r="C29" i="84"/>
  <c r="D27" i="84" s="1"/>
  <c r="C47" i="84"/>
  <c r="D45" i="84" s="1"/>
  <c r="C47" i="68"/>
  <c r="D45" i="68" s="1"/>
  <c r="C29" i="68"/>
  <c r="D27" i="68" s="1"/>
  <c r="C29" i="11"/>
  <c r="D27" i="11" s="1"/>
  <c r="C47" i="11"/>
  <c r="D45" i="11" s="1"/>
  <c r="S9" i="1"/>
  <c r="M22" i="6"/>
  <c r="I22" i="6" s="1"/>
  <c r="S24" i="6"/>
  <c r="H24" i="6"/>
  <c r="H26" i="6"/>
  <c r="S26" i="6"/>
  <c r="S25" i="6"/>
  <c r="H25" i="6"/>
  <c r="C38" i="81"/>
  <c r="C32" i="81"/>
  <c r="L16" i="1"/>
  <c r="N16" i="1"/>
  <c r="C34" i="84"/>
  <c r="C34" i="11"/>
  <c r="C34" i="82"/>
  <c r="C34" i="86"/>
  <c r="C34" i="68"/>
  <c r="AC10" i="39"/>
  <c r="W10" i="39"/>
  <c r="AC10" i="40"/>
  <c r="W10" i="40"/>
  <c r="AB10" i="39"/>
  <c r="U10" i="39"/>
  <c r="J63" i="40"/>
  <c r="I65" i="40"/>
  <c r="J68" i="39"/>
  <c r="I70" i="39"/>
  <c r="H108" i="83"/>
  <c r="R49" i="33"/>
  <c r="E48" i="33"/>
  <c r="U7" i="37"/>
  <c r="AB7" i="37"/>
  <c r="T42" i="37" s="1"/>
  <c r="G42" i="37" s="1"/>
  <c r="K59" i="34"/>
  <c r="L59" i="34" s="1"/>
  <c r="M59" i="34" s="1"/>
  <c r="N59" i="34" s="1"/>
  <c r="O59" i="34" s="1"/>
  <c r="J7" i="34" s="1"/>
  <c r="I46" i="37"/>
  <c r="J46" i="37" s="1"/>
  <c r="R43" i="37"/>
  <c r="E42" i="37"/>
  <c r="E43" i="35"/>
  <c r="F43" i="35" s="1"/>
  <c r="E42" i="35"/>
  <c r="F42" i="35" s="1"/>
  <c r="C39" i="35"/>
  <c r="B2" i="35" s="1"/>
  <c r="B3" i="35" s="1"/>
  <c r="C38" i="35"/>
  <c r="C17" i="15"/>
  <c r="C17" i="80"/>
  <c r="C17" i="87"/>
  <c r="C17" i="85"/>
  <c r="C17" i="81"/>
  <c r="M49" i="83" l="1"/>
  <c r="L67" i="83" s="1"/>
  <c r="M67" i="83" s="1"/>
  <c r="C27" i="43"/>
  <c r="C79" i="83"/>
  <c r="C80" i="83" s="1"/>
  <c r="E80" i="83" s="1"/>
  <c r="E81" i="83" s="1"/>
  <c r="C26" i="43"/>
  <c r="B2" i="43" s="1"/>
  <c r="B3" i="43" s="1"/>
  <c r="C29" i="67"/>
  <c r="C13" i="67" s="1"/>
  <c r="M49" i="88"/>
  <c r="D122" i="88"/>
  <c r="D123" i="88" s="1"/>
  <c r="H108" i="88"/>
  <c r="D45" i="78"/>
  <c r="M48" i="78"/>
  <c r="H107" i="78"/>
  <c r="C93" i="88"/>
  <c r="C86" i="88" s="1"/>
  <c r="D53" i="88"/>
  <c r="D55" i="88"/>
  <c r="M53" i="88" s="1"/>
  <c r="C72" i="88"/>
  <c r="C64" i="88"/>
  <c r="C63" i="88" s="1"/>
  <c r="C67" i="88" s="1"/>
  <c r="C68" i="88" s="1"/>
  <c r="D54" i="88" s="1"/>
  <c r="C85" i="88"/>
  <c r="C78" i="88"/>
  <c r="C73" i="88" s="1"/>
  <c r="D52" i="88"/>
  <c r="C35" i="68"/>
  <c r="C38" i="68"/>
  <c r="C38" i="82"/>
  <c r="C35" i="82"/>
  <c r="C38" i="84"/>
  <c r="C35" i="84"/>
  <c r="H22" i="6"/>
  <c r="S22" i="6"/>
  <c r="R22" i="6"/>
  <c r="R9" i="1" s="1"/>
  <c r="D30" i="6"/>
  <c r="R25" i="6"/>
  <c r="B4" i="52"/>
  <c r="B43" i="72" s="1"/>
  <c r="A7" i="51"/>
  <c r="B7" i="72" s="1"/>
  <c r="A10" i="51"/>
  <c r="B9" i="72" s="1"/>
  <c r="I118" i="88"/>
  <c r="G118" i="88"/>
  <c r="C20" i="11"/>
  <c r="C25" i="11" s="1"/>
  <c r="C28" i="11"/>
  <c r="C27" i="11" s="1"/>
  <c r="C24" i="11"/>
  <c r="C22" i="11" s="1"/>
  <c r="G118" i="78"/>
  <c r="I118" i="78"/>
  <c r="R26" i="6"/>
  <c r="D6" i="6"/>
  <c r="D10" i="82"/>
  <c r="D10" i="86"/>
  <c r="D10" i="69"/>
  <c r="D10" i="84"/>
  <c r="D20" i="12"/>
  <c r="C20" i="12" s="1"/>
  <c r="D10" i="68"/>
  <c r="D10" i="11"/>
  <c r="C10" i="11" s="1"/>
  <c r="D17" i="12"/>
  <c r="C17" i="12" s="1"/>
  <c r="C14" i="12"/>
  <c r="C16" i="12" s="1"/>
  <c r="G118" i="83"/>
  <c r="I118" i="83"/>
  <c r="AQ7" i="1"/>
  <c r="AR7" i="1"/>
  <c r="E7" i="70"/>
  <c r="T7" i="1"/>
  <c r="E8" i="70"/>
  <c r="AR8" i="1"/>
  <c r="AQ8" i="1"/>
  <c r="T8" i="1"/>
  <c r="M27" i="6"/>
  <c r="I19" i="6"/>
  <c r="H23" i="6"/>
  <c r="R23" i="6" s="1"/>
  <c r="R10" i="1" s="1"/>
  <c r="S23" i="6"/>
  <c r="C38" i="86"/>
  <c r="C35" i="86"/>
  <c r="C38" i="11"/>
  <c r="C35" i="11"/>
  <c r="C33" i="11"/>
  <c r="F50" i="69"/>
  <c r="F50" i="11"/>
  <c r="F50" i="82"/>
  <c r="F50" i="86"/>
  <c r="F50" i="84"/>
  <c r="F50" i="68"/>
  <c r="AR9" i="1"/>
  <c r="AQ9" i="1"/>
  <c r="T9" i="1"/>
  <c r="E9" i="70"/>
  <c r="D16" i="6"/>
  <c r="D27" i="6"/>
  <c r="D31" i="6" s="1"/>
  <c r="R20" i="6"/>
  <c r="R7" i="1" s="1"/>
  <c r="R24" i="6"/>
  <c r="C7" i="74"/>
  <c r="C8" i="74"/>
  <c r="H20" i="6"/>
  <c r="S20" i="6"/>
  <c r="H21" i="6"/>
  <c r="R21" i="6" s="1"/>
  <c r="R8" i="1" s="1"/>
  <c r="S21" i="6"/>
  <c r="E6" i="70"/>
  <c r="T6" i="1"/>
  <c r="AQ6" i="1"/>
  <c r="AR6" i="1"/>
  <c r="S16" i="1"/>
  <c r="AQ10" i="1"/>
  <c r="AR10" i="1"/>
  <c r="T10" i="1"/>
  <c r="E10" i="70"/>
  <c r="J65" i="40"/>
  <c r="K63" i="40"/>
  <c r="H7" i="34"/>
  <c r="U7" i="34" s="1"/>
  <c r="J70" i="39"/>
  <c r="K68" i="39"/>
  <c r="L68" i="83"/>
  <c r="M68" i="83" s="1"/>
  <c r="L63" i="83"/>
  <c r="M63" i="83" s="1"/>
  <c r="M69" i="83" s="1"/>
  <c r="N69" i="83" s="1"/>
  <c r="W7" i="34"/>
  <c r="AC7" i="34"/>
  <c r="V49" i="34" s="1"/>
  <c r="I49" i="34" s="1"/>
  <c r="E46" i="37"/>
  <c r="F46" i="37" s="1"/>
  <c r="E47" i="37"/>
  <c r="F47" i="37" s="1"/>
  <c r="C48" i="33"/>
  <c r="C49" i="33"/>
  <c r="B2" i="33" s="1"/>
  <c r="B3" i="33" s="1"/>
  <c r="F7" i="34"/>
  <c r="C43" i="37"/>
  <c r="B2" i="37" s="1"/>
  <c r="B3" i="37" s="1"/>
  <c r="C42" i="37"/>
  <c r="I47" i="37"/>
  <c r="J47" i="37" s="1"/>
  <c r="G46" i="37"/>
  <c r="H46" i="37" s="1"/>
  <c r="G47" i="37"/>
  <c r="H47" i="37" s="1"/>
  <c r="E53" i="33"/>
  <c r="F53" i="33" s="1"/>
  <c r="E52" i="33"/>
  <c r="F52" i="33" s="1"/>
  <c r="I53" i="33"/>
  <c r="J53" i="33" s="1"/>
  <c r="C96" i="83"/>
  <c r="E96" i="83" s="1"/>
  <c r="E97" i="83" s="1"/>
  <c r="C97" i="83"/>
  <c r="D58" i="83" s="1"/>
  <c r="D56" i="83" s="1"/>
  <c r="M54" i="83" s="1"/>
  <c r="N57" i="83" s="1"/>
  <c r="F35" i="87"/>
  <c r="C14" i="81"/>
  <c r="C14" i="80"/>
  <c r="M21" i="80"/>
  <c r="F35" i="80"/>
  <c r="F35" i="81"/>
  <c r="C14" i="85"/>
  <c r="C14" i="15"/>
  <c r="M21" i="87"/>
  <c r="C14" i="87"/>
  <c r="F35" i="85"/>
  <c r="E2" i="68"/>
  <c r="M21" i="85"/>
  <c r="M21" i="81"/>
  <c r="L65" i="83" l="1"/>
  <c r="M65" i="83" s="1"/>
  <c r="L66" i="83"/>
  <c r="M66" i="83" s="1"/>
  <c r="L64" i="83"/>
  <c r="M64" i="83" s="1"/>
  <c r="C36" i="67"/>
  <c r="Q49" i="67"/>
  <c r="J59" i="67"/>
  <c r="J60" i="67" s="1"/>
  <c r="L46" i="67" s="1"/>
  <c r="C57" i="67"/>
  <c r="C61" i="67" s="1"/>
  <c r="C59" i="67" s="1"/>
  <c r="C81" i="83"/>
  <c r="J19" i="67"/>
  <c r="J17" i="67" s="1"/>
  <c r="J14" i="67"/>
  <c r="J22" i="67" s="1"/>
  <c r="C33" i="67"/>
  <c r="C31" i="67" s="1"/>
  <c r="Q48" i="67"/>
  <c r="C95" i="88"/>
  <c r="C79" i="88"/>
  <c r="D122" i="78"/>
  <c r="D123" i="78" s="1"/>
  <c r="M49" i="78"/>
  <c r="H108" i="78"/>
  <c r="D55" i="78"/>
  <c r="M53" i="78" s="1"/>
  <c r="C93" i="78"/>
  <c r="C86" i="78" s="1"/>
  <c r="D52" i="78"/>
  <c r="C64" i="78"/>
  <c r="C63" i="78" s="1"/>
  <c r="C67" i="78" s="1"/>
  <c r="C68" i="78" s="1"/>
  <c r="D54" i="78" s="1"/>
  <c r="C78" i="78"/>
  <c r="C73" i="78" s="1"/>
  <c r="C72" i="78"/>
  <c r="D53" i="78"/>
  <c r="C85" i="78"/>
  <c r="C95" i="78" s="1"/>
  <c r="J13" i="67"/>
  <c r="J23" i="67" s="1"/>
  <c r="C75" i="67"/>
  <c r="C37" i="67"/>
  <c r="C56" i="67"/>
  <c r="C65" i="67" s="1"/>
  <c r="Q70" i="67"/>
  <c r="L68" i="88"/>
  <c r="M68" i="88" s="1"/>
  <c r="L64" i="88"/>
  <c r="M64" i="88" s="1"/>
  <c r="L63" i="88"/>
  <c r="M63" i="88" s="1"/>
  <c r="M69" i="88" s="1"/>
  <c r="N69" i="88" s="1"/>
  <c r="L66" i="88"/>
  <c r="M66" i="88" s="1"/>
  <c r="L65" i="88"/>
  <c r="M65" i="88" s="1"/>
  <c r="L67" i="88"/>
  <c r="M67" i="88" s="1"/>
  <c r="E118" i="88"/>
  <c r="J20" i="81"/>
  <c r="F63" i="81"/>
  <c r="C62" i="81" s="1"/>
  <c r="C34" i="81"/>
  <c r="F63" i="85"/>
  <c r="C62" i="85" s="1"/>
  <c r="C34" i="85"/>
  <c r="C31" i="85" s="1"/>
  <c r="J20" i="85"/>
  <c r="C18" i="87"/>
  <c r="C15" i="87"/>
  <c r="C18" i="85"/>
  <c r="C15" i="85"/>
  <c r="C15" i="15"/>
  <c r="C18" i="15"/>
  <c r="J20" i="80"/>
  <c r="C34" i="80"/>
  <c r="C31" i="80" s="1"/>
  <c r="F63" i="80"/>
  <c r="C62" i="80" s="1"/>
  <c r="C15" i="81"/>
  <c r="C18" i="81"/>
  <c r="C18" i="80"/>
  <c r="C15" i="80"/>
  <c r="J20" i="87"/>
  <c r="F63" i="87"/>
  <c r="C62" i="87" s="1"/>
  <c r="C34" i="87"/>
  <c r="C31" i="87" s="1"/>
  <c r="AB7" i="34"/>
  <c r="T49" i="34" s="1"/>
  <c r="G49" i="34" s="1"/>
  <c r="E2" i="70"/>
  <c r="C10" i="68"/>
  <c r="B29" i="1" s="1"/>
  <c r="D19" i="68"/>
  <c r="D37" i="68" s="1"/>
  <c r="C37" i="68" s="1"/>
  <c r="C33" i="68" s="1"/>
  <c r="C10" i="84"/>
  <c r="D19" i="84"/>
  <c r="C10" i="86"/>
  <c r="D19" i="86"/>
  <c r="E118" i="78"/>
  <c r="C105" i="78"/>
  <c r="H102" i="78"/>
  <c r="C31" i="11"/>
  <c r="C105" i="88"/>
  <c r="H102" i="88"/>
  <c r="T16" i="1"/>
  <c r="I6" i="6"/>
  <c r="I5" i="6"/>
  <c r="C39" i="11"/>
  <c r="C42" i="11"/>
  <c r="H19" i="6"/>
  <c r="S19" i="6"/>
  <c r="S27" i="6" s="1"/>
  <c r="I27" i="6"/>
  <c r="C105" i="83"/>
  <c r="H102" i="83"/>
  <c r="E118" i="83"/>
  <c r="C10" i="69"/>
  <c r="C8" i="69" s="1"/>
  <c r="C5" i="69" s="1"/>
  <c r="D19" i="69"/>
  <c r="C10" i="82"/>
  <c r="D19" i="82"/>
  <c r="K65" i="40"/>
  <c r="L63" i="40"/>
  <c r="L68" i="39"/>
  <c r="K70" i="39"/>
  <c r="S7" i="34"/>
  <c r="AA7" i="34"/>
  <c r="R49" i="34" s="1"/>
  <c r="G53" i="34"/>
  <c r="H53" i="34" s="1"/>
  <c r="G54" i="34"/>
  <c r="H54" i="34" s="1"/>
  <c r="I53" i="34"/>
  <c r="J53" i="34" s="1"/>
  <c r="P57" i="83"/>
  <c r="N58" i="83"/>
  <c r="N59" i="83"/>
  <c r="C18" i="12" l="1"/>
  <c r="C21" i="12" s="1"/>
  <c r="C64" i="67"/>
  <c r="C30" i="67"/>
  <c r="C39" i="67" s="1"/>
  <c r="C80" i="67" s="1"/>
  <c r="C79" i="67" s="1"/>
  <c r="C19" i="81"/>
  <c r="C20" i="81" s="1"/>
  <c r="C26" i="81" s="1"/>
  <c r="L64" i="78"/>
  <c r="M64" i="78" s="1"/>
  <c r="L66" i="78"/>
  <c r="M66" i="78" s="1"/>
  <c r="L63" i="78"/>
  <c r="M63" i="78" s="1"/>
  <c r="M69" i="78" s="1"/>
  <c r="N69" i="78" s="1"/>
  <c r="L65" i="78"/>
  <c r="M65" i="78" s="1"/>
  <c r="L68" i="78"/>
  <c r="M68" i="78" s="1"/>
  <c r="L67" i="78"/>
  <c r="M67" i="78" s="1"/>
  <c r="C81" i="88"/>
  <c r="C80" i="88"/>
  <c r="E80" i="88" s="1"/>
  <c r="E81" i="88" s="1"/>
  <c r="C19" i="15"/>
  <c r="C20" i="15" s="1"/>
  <c r="C26" i="15" s="1"/>
  <c r="C19" i="87"/>
  <c r="C20" i="87" s="1"/>
  <c r="C26" i="87" s="1"/>
  <c r="Q69" i="67"/>
  <c r="Q68" i="67" s="1"/>
  <c r="J16" i="67"/>
  <c r="J25" i="67" s="1"/>
  <c r="C97" i="78"/>
  <c r="D58" i="78" s="1"/>
  <c r="D56" i="78" s="1"/>
  <c r="M54" i="78" s="1"/>
  <c r="N57" i="78" s="1"/>
  <c r="C96" i="78"/>
  <c r="E96" i="78" s="1"/>
  <c r="E97" i="78" s="1"/>
  <c r="C79" i="78"/>
  <c r="C97" i="88"/>
  <c r="D58" i="88" s="1"/>
  <c r="D56" i="88" s="1"/>
  <c r="M54" i="88" s="1"/>
  <c r="N57" i="88" s="1"/>
  <c r="C96" i="88"/>
  <c r="E96" i="88" s="1"/>
  <c r="E97" i="88" s="1"/>
  <c r="C58" i="67"/>
  <c r="C67" i="67" s="1"/>
  <c r="C68" i="67" s="1"/>
  <c r="C19" i="80"/>
  <c r="C20" i="80" s="1"/>
  <c r="C26" i="80" s="1"/>
  <c r="C19" i="85"/>
  <c r="C20" i="85" s="1"/>
  <c r="C26" i="85" s="1"/>
  <c r="C22" i="12"/>
  <c r="C30" i="12" s="1"/>
  <c r="C28" i="12" s="1"/>
  <c r="C19" i="82"/>
  <c r="C24" i="82" s="1"/>
  <c r="D37" i="82"/>
  <c r="C37" i="82" s="1"/>
  <c r="C33" i="82" s="1"/>
  <c r="D37" i="69"/>
  <c r="C37" i="69" s="1"/>
  <c r="C33" i="69" s="1"/>
  <c r="C19" i="69"/>
  <c r="C24" i="69" s="1"/>
  <c r="C8" i="86"/>
  <c r="C5" i="86" s="1"/>
  <c r="C23" i="86" s="1"/>
  <c r="C8" i="68"/>
  <c r="C8" i="84"/>
  <c r="C5" i="84" s="1"/>
  <c r="C8" i="82"/>
  <c r="C5" i="82" s="1"/>
  <c r="C23" i="69"/>
  <c r="H27" i="6"/>
  <c r="R19" i="6"/>
  <c r="C46" i="11"/>
  <c r="C45" i="11" s="1"/>
  <c r="C43" i="11"/>
  <c r="C41" i="11" s="1"/>
  <c r="C49" i="11" s="1"/>
  <c r="C51" i="11" s="1"/>
  <c r="C52" i="11" s="1"/>
  <c r="D37" i="86"/>
  <c r="C37" i="86" s="1"/>
  <c r="C33" i="86" s="1"/>
  <c r="C19" i="86"/>
  <c r="D37" i="84"/>
  <c r="C37" i="84" s="1"/>
  <c r="C33" i="84" s="1"/>
  <c r="C19" i="84"/>
  <c r="C24" i="84" s="1"/>
  <c r="C39" i="68"/>
  <c r="C42" i="68"/>
  <c r="M68" i="39"/>
  <c r="L70" i="39"/>
  <c r="L65" i="40"/>
  <c r="M63" i="40"/>
  <c r="R50" i="34"/>
  <c r="E49" i="34"/>
  <c r="N61" i="83"/>
  <c r="N60" i="83"/>
  <c r="L51" i="67"/>
  <c r="C40" i="67" l="1"/>
  <c r="Q65" i="67" s="1"/>
  <c r="C23" i="80"/>
  <c r="C29" i="80" s="1"/>
  <c r="C20" i="69"/>
  <c r="C25" i="69" s="1"/>
  <c r="C22" i="69" s="1"/>
  <c r="Q67" i="67"/>
  <c r="L57" i="67"/>
  <c r="L60" i="67" s="1"/>
  <c r="C80" i="78"/>
  <c r="E80" i="78" s="1"/>
  <c r="E81" i="78" s="1"/>
  <c r="C81" i="78"/>
  <c r="P57" i="78"/>
  <c r="N58" i="78"/>
  <c r="C23" i="85"/>
  <c r="C29" i="85" s="1"/>
  <c r="C13" i="85" s="1"/>
  <c r="C45" i="67"/>
  <c r="C46" i="67" s="1"/>
  <c r="C71" i="67"/>
  <c r="N58" i="88"/>
  <c r="P57" i="88"/>
  <c r="N59" i="88"/>
  <c r="N59" i="78"/>
  <c r="C23" i="81"/>
  <c r="C29" i="81" s="1"/>
  <c r="C57" i="81" s="1"/>
  <c r="C56" i="11"/>
  <c r="C57" i="11" s="1"/>
  <c r="B2" i="11"/>
  <c r="B3" i="11" s="1"/>
  <c r="C23" i="87"/>
  <c r="C29" i="87" s="1"/>
  <c r="C23" i="15"/>
  <c r="C29" i="15" s="1"/>
  <c r="C46" i="68"/>
  <c r="C45" i="68" s="1"/>
  <c r="C43" i="68"/>
  <c r="C41" i="68" s="1"/>
  <c r="C39" i="84"/>
  <c r="C43" i="84" s="1"/>
  <c r="C42" i="84"/>
  <c r="C39" i="86"/>
  <c r="C43" i="86" s="1"/>
  <c r="C42" i="86"/>
  <c r="R27" i="6"/>
  <c r="R6" i="1"/>
  <c r="C20" i="82"/>
  <c r="C23" i="82"/>
  <c r="C39" i="69"/>
  <c r="C42" i="69"/>
  <c r="C27" i="12"/>
  <c r="C25" i="12" s="1"/>
  <c r="C32" i="12" s="1"/>
  <c r="B2" i="12" s="1"/>
  <c r="B3" i="12" s="1"/>
  <c r="C33" i="81"/>
  <c r="C31" i="81" s="1"/>
  <c r="C20" i="86"/>
  <c r="C24" i="86"/>
  <c r="C20" i="84"/>
  <c r="C23" i="84"/>
  <c r="C39" i="82"/>
  <c r="C43" i="82" s="1"/>
  <c r="C42" i="82"/>
  <c r="N68" i="39"/>
  <c r="M70" i="39"/>
  <c r="M65" i="40"/>
  <c r="N63" i="40"/>
  <c r="E53" i="34"/>
  <c r="F53" i="34" s="1"/>
  <c r="E54" i="34"/>
  <c r="F54" i="34" s="1"/>
  <c r="I54" i="34"/>
  <c r="J54" i="34" s="1"/>
  <c r="C49" i="34"/>
  <c r="C50" i="34"/>
  <c r="B2" i="34" s="1"/>
  <c r="B3" i="34" s="1"/>
  <c r="M21" i="15"/>
  <c r="F35" i="15"/>
  <c r="D2" i="67" l="1"/>
  <c r="B2" i="67" s="1"/>
  <c r="Q56" i="67"/>
  <c r="C43" i="67"/>
  <c r="Q47" i="67"/>
  <c r="Q53" i="67" s="1"/>
  <c r="C83" i="67"/>
  <c r="C82" i="67" s="1"/>
  <c r="C36" i="85"/>
  <c r="C46" i="86"/>
  <c r="C45" i="86" s="1"/>
  <c r="C28" i="69"/>
  <c r="C27" i="69" s="1"/>
  <c r="C36" i="81"/>
  <c r="C13" i="81"/>
  <c r="Q70" i="81" s="1"/>
  <c r="J14" i="81"/>
  <c r="J13" i="81" s="1"/>
  <c r="J23" i="81" s="1"/>
  <c r="Q49" i="81"/>
  <c r="J19" i="81"/>
  <c r="J17" i="81" s="1"/>
  <c r="J14" i="85"/>
  <c r="J13" i="85" s="1"/>
  <c r="J23" i="85" s="1"/>
  <c r="J19" i="85"/>
  <c r="J17" i="85" s="1"/>
  <c r="C57" i="85"/>
  <c r="C64" i="85" s="1"/>
  <c r="Q49" i="85"/>
  <c r="N61" i="88"/>
  <c r="N60" i="88"/>
  <c r="Q57" i="67"/>
  <c r="Q62" i="67" s="1"/>
  <c r="Q66" i="67"/>
  <c r="Q75" i="67" s="1"/>
  <c r="C41" i="82"/>
  <c r="N60" i="78"/>
  <c r="N61" i="78"/>
  <c r="C46" i="82"/>
  <c r="C45" i="82" s="1"/>
  <c r="C31" i="69"/>
  <c r="C49" i="68"/>
  <c r="C51" i="68" s="1"/>
  <c r="C41" i="86"/>
  <c r="C41" i="84"/>
  <c r="J20" i="15"/>
  <c r="J17" i="15" s="1"/>
  <c r="C34" i="15"/>
  <c r="C31" i="15" s="1"/>
  <c r="F63" i="15"/>
  <c r="C62" i="15" s="1"/>
  <c r="C59" i="15" s="1"/>
  <c r="C37" i="85"/>
  <c r="C75" i="85"/>
  <c r="C56" i="85"/>
  <c r="C65" i="85" s="1"/>
  <c r="Q70" i="85"/>
  <c r="C61" i="81"/>
  <c r="C59" i="81" s="1"/>
  <c r="C64" i="81"/>
  <c r="C13" i="80"/>
  <c r="C36" i="80"/>
  <c r="Q49" i="80"/>
  <c r="J19" i="80"/>
  <c r="J17" i="80" s="1"/>
  <c r="C57" i="80"/>
  <c r="J14" i="80"/>
  <c r="C46" i="84"/>
  <c r="C45" i="84" s="1"/>
  <c r="C36" i="15"/>
  <c r="C57" i="15"/>
  <c r="C64" i="15" s="1"/>
  <c r="Q49" i="15"/>
  <c r="C13" i="15"/>
  <c r="J14" i="15"/>
  <c r="C28" i="84"/>
  <c r="C27" i="84" s="1"/>
  <c r="C25" i="84"/>
  <c r="C22" i="84" s="1"/>
  <c r="C28" i="86"/>
  <c r="C27" i="86" s="1"/>
  <c r="C25" i="86"/>
  <c r="C22" i="86" s="1"/>
  <c r="C46" i="69"/>
  <c r="C45" i="69" s="1"/>
  <c r="C43" i="69"/>
  <c r="C41" i="69" s="1"/>
  <c r="C28" i="82"/>
  <c r="C27" i="82" s="1"/>
  <c r="C25" i="82"/>
  <c r="C22" i="82" s="1"/>
  <c r="R16" i="1"/>
  <c r="C36" i="87"/>
  <c r="J19" i="87"/>
  <c r="J17" i="87" s="1"/>
  <c r="Q49" i="87"/>
  <c r="C13" i="87"/>
  <c r="J14" i="87"/>
  <c r="C57" i="87"/>
  <c r="N65" i="40"/>
  <c r="O63" i="40"/>
  <c r="O65" i="40" s="1"/>
  <c r="F7" i="40" s="1"/>
  <c r="O68" i="39"/>
  <c r="O70" i="39" s="1"/>
  <c r="N70" i="39"/>
  <c r="C37" i="81" l="1"/>
  <c r="C30" i="85"/>
  <c r="C39" i="85" s="1"/>
  <c r="C80" i="85" s="1"/>
  <c r="C79" i="85" s="1"/>
  <c r="C30" i="81"/>
  <c r="B3" i="67"/>
  <c r="C49" i="86"/>
  <c r="C51" i="86" s="1"/>
  <c r="J22" i="81"/>
  <c r="J16" i="81" s="1"/>
  <c r="J25" i="81" s="1"/>
  <c r="J22" i="85"/>
  <c r="C75" i="81"/>
  <c r="C61" i="85"/>
  <c r="C59" i="85" s="1"/>
  <c r="C56" i="81"/>
  <c r="C65" i="81" s="1"/>
  <c r="C58" i="81" s="1"/>
  <c r="C67" i="81" s="1"/>
  <c r="C68" i="81" s="1"/>
  <c r="C71" i="81" s="1"/>
  <c r="C49" i="82"/>
  <c r="C51" i="82" s="1"/>
  <c r="C49" i="84"/>
  <c r="C51" i="84" s="1"/>
  <c r="C31" i="82"/>
  <c r="C52" i="82" s="1"/>
  <c r="B2" i="82" s="1"/>
  <c r="B3" i="82" s="1"/>
  <c r="C31" i="84"/>
  <c r="C52" i="84" s="1"/>
  <c r="B2" i="84" s="1"/>
  <c r="B3" i="84" s="1"/>
  <c r="J16" i="85"/>
  <c r="J25" i="85" s="1"/>
  <c r="C61" i="87"/>
  <c r="C59" i="87" s="1"/>
  <c r="C64" i="87"/>
  <c r="C56" i="87"/>
  <c r="C65" i="87" s="1"/>
  <c r="C75" i="87"/>
  <c r="C37" i="87"/>
  <c r="C30" i="87" s="1"/>
  <c r="C39" i="87" s="1"/>
  <c r="Q70" i="87"/>
  <c r="C31" i="86"/>
  <c r="C52" i="86" s="1"/>
  <c r="J22" i="15"/>
  <c r="J13" i="15"/>
  <c r="J23" i="15" s="1"/>
  <c r="J13" i="80"/>
  <c r="J23" i="80" s="1"/>
  <c r="J22" i="80"/>
  <c r="C58" i="85"/>
  <c r="C67" i="85" s="1"/>
  <c r="C68" i="85" s="1"/>
  <c r="J22" i="87"/>
  <c r="J13" i="87"/>
  <c r="J23" i="87" s="1"/>
  <c r="C37" i="15"/>
  <c r="C30" i="15" s="1"/>
  <c r="C39" i="15" s="1"/>
  <c r="Q70" i="15"/>
  <c r="C56" i="15"/>
  <c r="C65" i="15" s="1"/>
  <c r="C58" i="15" s="1"/>
  <c r="C67" i="15" s="1"/>
  <c r="C68" i="15" s="1"/>
  <c r="C75" i="15"/>
  <c r="C49" i="69"/>
  <c r="C51" i="69" s="1"/>
  <c r="C61" i="80"/>
  <c r="C59" i="80" s="1"/>
  <c r="C64" i="80"/>
  <c r="C75" i="80"/>
  <c r="C37" i="80"/>
  <c r="C30" i="80" s="1"/>
  <c r="C39" i="80" s="1"/>
  <c r="C56" i="80"/>
  <c r="C65" i="80" s="1"/>
  <c r="Q70" i="80"/>
  <c r="D44" i="81"/>
  <c r="C39" i="81"/>
  <c r="S7" i="40"/>
  <c r="AA7" i="40"/>
  <c r="R42" i="40" s="1"/>
  <c r="F7" i="39"/>
  <c r="H7" i="39"/>
  <c r="J7" i="39"/>
  <c r="H7" i="40"/>
  <c r="J7" i="40"/>
  <c r="L51" i="85"/>
  <c r="Q69" i="85" l="1"/>
  <c r="Q68" i="85" s="1"/>
  <c r="C40" i="85"/>
  <c r="B2" i="85" s="1"/>
  <c r="C57" i="84"/>
  <c r="C56" i="84" s="1"/>
  <c r="C57" i="82"/>
  <c r="C56" i="82" s="1"/>
  <c r="C80" i="15"/>
  <c r="C79" i="15" s="1"/>
  <c r="J16" i="87"/>
  <c r="J25" i="87" s="1"/>
  <c r="Q67" i="85"/>
  <c r="C40" i="80"/>
  <c r="Q69" i="80"/>
  <c r="Q68" i="80" s="1"/>
  <c r="Q69" i="81"/>
  <c r="Q68" i="81" s="1"/>
  <c r="C40" i="81"/>
  <c r="C80" i="81"/>
  <c r="C79" i="81" s="1"/>
  <c r="C80" i="80"/>
  <c r="C79" i="80" s="1"/>
  <c r="C71" i="15"/>
  <c r="C40" i="15"/>
  <c r="C46" i="15" s="1"/>
  <c r="Q69" i="15"/>
  <c r="Q68" i="15" s="1"/>
  <c r="Q69" i="87"/>
  <c r="Q68" i="87" s="1"/>
  <c r="C40" i="87"/>
  <c r="C58" i="80"/>
  <c r="C67" i="80" s="1"/>
  <c r="C68" i="80" s="1"/>
  <c r="C52" i="69"/>
  <c r="B2" i="69" s="1"/>
  <c r="B3" i="69" s="1"/>
  <c r="C71" i="85"/>
  <c r="J16" i="80"/>
  <c r="J25" i="80" s="1"/>
  <c r="J16" i="15"/>
  <c r="J25" i="15" s="1"/>
  <c r="J26" i="15" s="1"/>
  <c r="J29" i="15" s="1"/>
  <c r="B2" i="86"/>
  <c r="B3" i="86" s="1"/>
  <c r="C57" i="86"/>
  <c r="C56" i="86" s="1"/>
  <c r="C80" i="87"/>
  <c r="C79" i="87" s="1"/>
  <c r="C58" i="87"/>
  <c r="C67" i="87" s="1"/>
  <c r="C68" i="87" s="1"/>
  <c r="AB7" i="40"/>
  <c r="T42" i="40" s="1"/>
  <c r="G42" i="40" s="1"/>
  <c r="U7" i="40"/>
  <c r="U7" i="39"/>
  <c r="AB7" i="39"/>
  <c r="T47" i="39" s="1"/>
  <c r="G47" i="39" s="1"/>
  <c r="R43" i="40"/>
  <c r="E42" i="40"/>
  <c r="W7" i="40"/>
  <c r="AC7" i="40"/>
  <c r="V42" i="40" s="1"/>
  <c r="I42" i="40" s="1"/>
  <c r="I46" i="40" s="1"/>
  <c r="J46" i="40" s="1"/>
  <c r="AC7" i="39"/>
  <c r="V47" i="39" s="1"/>
  <c r="I47" i="39" s="1"/>
  <c r="W7" i="39"/>
  <c r="AA7" i="39"/>
  <c r="R47" i="39" s="1"/>
  <c r="S7" i="39"/>
  <c r="L51" i="80"/>
  <c r="L51" i="87"/>
  <c r="L51" i="81"/>
  <c r="AO10" i="1"/>
  <c r="L51" i="15"/>
  <c r="C43" i="85" l="1"/>
  <c r="C46" i="85"/>
  <c r="C83" i="85"/>
  <c r="C82" i="85" s="1"/>
  <c r="Q65" i="85"/>
  <c r="Q75" i="85" s="1"/>
  <c r="Q56" i="85"/>
  <c r="Q62" i="85" s="1"/>
  <c r="Q47" i="85"/>
  <c r="Q53" i="85" s="1"/>
  <c r="Q47" i="15"/>
  <c r="Q53" i="15" s="1"/>
  <c r="B10" i="70"/>
  <c r="Q67" i="87"/>
  <c r="Q67" i="15"/>
  <c r="Q67" i="81"/>
  <c r="Q67" i="80"/>
  <c r="C71" i="87"/>
  <c r="C46" i="87"/>
  <c r="C71" i="80"/>
  <c r="C46" i="80"/>
  <c r="B3" i="85"/>
  <c r="C43" i="15"/>
  <c r="B2" i="15"/>
  <c r="Q56" i="15"/>
  <c r="Q62" i="15" s="1"/>
  <c r="Q65" i="15"/>
  <c r="Q75" i="15" s="1"/>
  <c r="C83" i="15"/>
  <c r="C82" i="15" s="1"/>
  <c r="Q65" i="81"/>
  <c r="Q75" i="81" s="1"/>
  <c r="B2" i="81"/>
  <c r="Q47" i="81"/>
  <c r="Q53" i="81" s="1"/>
  <c r="Q56" i="81"/>
  <c r="Q62" i="81" s="1"/>
  <c r="C43" i="81"/>
  <c r="C83" i="81"/>
  <c r="C82" i="81" s="1"/>
  <c r="C46" i="81"/>
  <c r="B2" i="80"/>
  <c r="C43" i="80"/>
  <c r="Q65" i="80"/>
  <c r="Q75" i="80" s="1"/>
  <c r="Q56" i="80"/>
  <c r="Q62" i="80" s="1"/>
  <c r="Q47" i="80"/>
  <c r="Q53" i="80" s="1"/>
  <c r="C83" i="80"/>
  <c r="C82" i="80" s="1"/>
  <c r="C57" i="69"/>
  <c r="C56" i="69" s="1"/>
  <c r="Q56" i="87"/>
  <c r="Q62" i="87" s="1"/>
  <c r="Q47" i="87"/>
  <c r="Q53" i="87" s="1"/>
  <c r="Q65" i="87"/>
  <c r="Q75" i="87" s="1"/>
  <c r="B2" i="87"/>
  <c r="C43" i="87"/>
  <c r="C83" i="87"/>
  <c r="C82" i="87" s="1"/>
  <c r="I47" i="40"/>
  <c r="J47" i="40" s="1"/>
  <c r="E46" i="40"/>
  <c r="F46" i="40" s="1"/>
  <c r="E47" i="40"/>
  <c r="F47" i="40" s="1"/>
  <c r="G51" i="39"/>
  <c r="H51" i="39" s="1"/>
  <c r="G52" i="39"/>
  <c r="H52" i="39" s="1"/>
  <c r="R48" i="39"/>
  <c r="E47" i="39"/>
  <c r="I52" i="39" s="1"/>
  <c r="J52" i="39" s="1"/>
  <c r="I51" i="39"/>
  <c r="J51" i="39" s="1"/>
  <c r="C42" i="40"/>
  <c r="C43" i="40"/>
  <c r="G46" i="40"/>
  <c r="H46" i="40" s="1"/>
  <c r="G47" i="40"/>
  <c r="H47" i="40" s="1"/>
  <c r="AO8" i="1"/>
  <c r="AO7" i="1"/>
  <c r="AO6" i="1"/>
  <c r="AO9" i="1"/>
  <c r="B6" i="70" l="1"/>
  <c r="B9" i="70"/>
  <c r="B7" i="70"/>
  <c r="B8" i="70"/>
  <c r="B3" i="15"/>
  <c r="B3" i="87"/>
  <c r="B3" i="80"/>
  <c r="B3" i="81"/>
  <c r="C47" i="39"/>
  <c r="C48" i="39"/>
  <c r="B60" i="40"/>
  <c r="F60" i="40" s="1"/>
  <c r="B57" i="40"/>
  <c r="F57" i="40" s="1"/>
  <c r="B56" i="40"/>
  <c r="F56" i="40" s="1"/>
  <c r="B58" i="40"/>
  <c r="F58" i="40" s="1"/>
  <c r="B51" i="40"/>
  <c r="F51" i="40" s="1"/>
  <c r="B55" i="40"/>
  <c r="F55" i="40" s="1"/>
  <c r="B53" i="40"/>
  <c r="F53" i="40" s="1"/>
  <c r="B59" i="40"/>
  <c r="F59" i="40" s="1"/>
  <c r="B54" i="40"/>
  <c r="F54" i="40" s="1"/>
  <c r="B52" i="40"/>
  <c r="F52" i="40" s="1"/>
  <c r="F61" i="40"/>
  <c r="B2" i="40" s="1"/>
  <c r="B3" i="40" s="1"/>
  <c r="E51" i="39"/>
  <c r="F51" i="39" s="1"/>
  <c r="E52" i="39"/>
  <c r="F52" i="39" s="1"/>
  <c r="B2" i="70" l="1"/>
  <c r="B60" i="39"/>
  <c r="F60" i="39" s="1"/>
  <c r="B62" i="39"/>
  <c r="F62" i="39" s="1"/>
  <c r="B61" i="39"/>
  <c r="F61" i="39" s="1"/>
  <c r="B65" i="39"/>
  <c r="F65" i="39" s="1"/>
  <c r="B63" i="39"/>
  <c r="F63" i="39" s="1"/>
  <c r="B64" i="39"/>
  <c r="F64" i="39" s="1"/>
  <c r="B58" i="39"/>
  <c r="F58" i="39" s="1"/>
  <c r="B57" i="39"/>
  <c r="F57" i="39" s="1"/>
  <c r="B59" i="39"/>
  <c r="F59" i="39" s="1"/>
  <c r="B56" i="39"/>
  <c r="F56" i="39" s="1"/>
  <c r="D19" i="9"/>
  <c r="C19" i="79"/>
  <c r="C21" i="79" l="1"/>
  <c r="C102" i="79"/>
  <c r="D102" i="9"/>
  <c r="D21" i="9"/>
  <c r="B3" i="70"/>
  <c r="F66" i="39"/>
  <c r="B2" i="39" s="1"/>
  <c r="C6" i="68" s="1"/>
  <c r="C7" i="68" s="1"/>
  <c r="C5" i="68" s="1"/>
  <c r="C20" i="79"/>
  <c r="D20" i="9"/>
  <c r="D103" i="9" l="1"/>
  <c r="C103" i="79"/>
  <c r="B3" i="39"/>
  <c r="C23" i="68"/>
  <c r="C20" i="68"/>
  <c r="C25" i="68" s="1"/>
  <c r="C28" i="68" l="1"/>
  <c r="C27" i="68" s="1"/>
  <c r="C22" i="68"/>
  <c r="C31" i="68" l="1"/>
  <c r="C52" i="68" s="1"/>
  <c r="D54" i="68" l="1"/>
  <c r="C57" i="68"/>
  <c r="C56" i="68" s="1"/>
  <c r="B2" i="68"/>
  <c r="C19" i="9"/>
  <c r="D19" i="79"/>
  <c r="D102" i="79" l="1"/>
  <c r="G19" i="79"/>
  <c r="D21" i="79"/>
  <c r="D22" i="79"/>
  <c r="C102" i="9"/>
  <c r="G19" i="9"/>
  <c r="C21" i="9"/>
  <c r="D22" i="9"/>
  <c r="B3" i="68"/>
  <c r="D34" i="9"/>
  <c r="D20" i="79"/>
  <c r="C20" i="9"/>
  <c r="D35" i="9"/>
  <c r="C103" i="9" l="1"/>
  <c r="G20" i="9"/>
  <c r="D103" i="79"/>
  <c r="G20" i="79"/>
  <c r="C32" i="9"/>
  <c r="G21" i="9"/>
  <c r="C32" i="79"/>
  <c r="K15" i="66"/>
  <c r="G21" i="79"/>
  <c r="C35" i="79" l="1"/>
  <c r="F118" i="79" s="1"/>
  <c r="H118" i="79"/>
  <c r="H118" i="9"/>
  <c r="C35" i="9"/>
  <c r="F118" i="9" s="1"/>
  <c r="C34" i="9" l="1"/>
  <c r="D118" i="9" s="1"/>
  <c r="D4" i="52" s="1"/>
  <c r="B47" i="72" s="1"/>
  <c r="C34" i="79"/>
  <c r="D118" i="79" s="1"/>
  <c r="D119" i="79" s="1"/>
  <c r="D119" i="9"/>
  <c r="D5" i="52" s="1"/>
  <c r="B49" i="72" s="1"/>
  <c r="H119" i="9"/>
  <c r="H5" i="52" s="1"/>
  <c r="I118" i="9"/>
  <c r="H4" i="52"/>
  <c r="H101" i="9"/>
  <c r="D14" i="74"/>
  <c r="C104" i="9"/>
  <c r="G118" i="9"/>
  <c r="G4" i="52" s="1"/>
  <c r="B52" i="72" s="1"/>
  <c r="F4" i="52"/>
  <c r="B51" i="72" s="1"/>
  <c r="F119" i="9"/>
  <c r="F5" i="52" s="1"/>
  <c r="B53" i="72" s="1"/>
  <c r="H101" i="79"/>
  <c r="I118" i="79"/>
  <c r="C104" i="79"/>
  <c r="H119" i="79"/>
  <c r="F119" i="79"/>
  <c r="G118" i="79"/>
  <c r="M48" i="79" l="1"/>
  <c r="H107" i="79"/>
  <c r="D45" i="79"/>
  <c r="M48" i="9"/>
  <c r="D5" i="53"/>
  <c r="D45" i="9"/>
  <c r="H107" i="9"/>
  <c r="H102" i="9"/>
  <c r="D7" i="53" s="1"/>
  <c r="B21" i="72" s="1"/>
  <c r="I4" i="52"/>
  <c r="C105" i="9"/>
  <c r="E118" i="9"/>
  <c r="E4" i="52" s="1"/>
  <c r="B48" i="72" s="1"/>
  <c r="H102" i="79"/>
  <c r="C105" i="79"/>
  <c r="E118" i="79"/>
  <c r="E14" i="74"/>
  <c r="F14" i="74"/>
  <c r="B5" i="74"/>
  <c r="D55" i="9" l="1"/>
  <c r="M53" i="9" s="1"/>
  <c r="C78" i="9"/>
  <c r="C73" i="9" s="1"/>
  <c r="C93" i="9"/>
  <c r="C86" i="9" s="1"/>
  <c r="D53" i="9"/>
  <c r="C72" i="9"/>
  <c r="D52" i="9"/>
  <c r="C85" i="9"/>
  <c r="C95" i="9" s="1"/>
  <c r="C64" i="9"/>
  <c r="C63" i="9" s="1"/>
  <c r="C67" i="9" s="1"/>
  <c r="C68" i="9" s="1"/>
  <c r="D54" i="9" s="1"/>
  <c r="D122" i="79"/>
  <c r="D123" i="79" s="1"/>
  <c r="H108" i="79"/>
  <c r="M49" i="79"/>
  <c r="C5" i="74"/>
  <c r="D5" i="74"/>
  <c r="D13" i="53"/>
  <c r="M49" i="9"/>
  <c r="H108" i="9"/>
  <c r="D15" i="53" s="1"/>
  <c r="B31" i="72" s="1"/>
  <c r="D122" i="9"/>
  <c r="B20" i="72"/>
  <c r="D6" i="53"/>
  <c r="B22" i="72" s="1"/>
  <c r="C85" i="79"/>
  <c r="D52" i="79"/>
  <c r="D55" i="79"/>
  <c r="M53" i="79" s="1"/>
  <c r="D53" i="79"/>
  <c r="C78" i="79"/>
  <c r="C73" i="79" s="1"/>
  <c r="C64" i="79"/>
  <c r="C63" i="79" s="1"/>
  <c r="C67" i="79" s="1"/>
  <c r="C68" i="79" s="1"/>
  <c r="D54" i="79" s="1"/>
  <c r="C93" i="79"/>
  <c r="C86" i="79" s="1"/>
  <c r="C72" i="79"/>
  <c r="C95" i="79" l="1"/>
  <c r="D14" i="53"/>
  <c r="B32" i="72" s="1"/>
  <c r="B30" i="72"/>
  <c r="C79" i="79"/>
  <c r="D8" i="52"/>
  <c r="G14" i="74"/>
  <c r="B6" i="74" s="1"/>
  <c r="D123" i="9"/>
  <c r="D9" i="52" s="1"/>
  <c r="L64" i="9"/>
  <c r="M64" i="9" s="1"/>
  <c r="L68" i="9"/>
  <c r="M68" i="9" s="1"/>
  <c r="L65" i="9"/>
  <c r="M65" i="9" s="1"/>
  <c r="L66" i="9"/>
  <c r="M66" i="9" s="1"/>
  <c r="L63" i="9"/>
  <c r="M63" i="9" s="1"/>
  <c r="L67" i="9"/>
  <c r="M67" i="9" s="1"/>
  <c r="L63" i="79"/>
  <c r="M63" i="79" s="1"/>
  <c r="L67" i="79"/>
  <c r="M67" i="79" s="1"/>
  <c r="L66" i="79"/>
  <c r="M66" i="79" s="1"/>
  <c r="L65" i="79"/>
  <c r="M65" i="79" s="1"/>
  <c r="L64" i="79"/>
  <c r="M64" i="79" s="1"/>
  <c r="L68" i="79"/>
  <c r="M68" i="79" s="1"/>
  <c r="C96" i="9"/>
  <c r="E96" i="9" s="1"/>
  <c r="E97" i="9" s="1"/>
  <c r="C79" i="9"/>
  <c r="M69" i="9" l="1"/>
  <c r="N69" i="9" s="1"/>
  <c r="C80" i="9"/>
  <c r="E80" i="9" s="1"/>
  <c r="E81" i="9" s="1"/>
  <c r="D6" i="74"/>
  <c r="C6" i="74"/>
  <c r="C80" i="79"/>
  <c r="E80" i="79" s="1"/>
  <c r="E81" i="79" s="1"/>
  <c r="C97" i="9"/>
  <c r="D58" i="9" s="1"/>
  <c r="D56" i="9" s="1"/>
  <c r="M54" i="9" s="1"/>
  <c r="N57" i="9" s="1"/>
  <c r="M69" i="79"/>
  <c r="N69" i="79" s="1"/>
  <c r="C96" i="79"/>
  <c r="E96" i="79" s="1"/>
  <c r="E97" i="79" s="1"/>
  <c r="C97" i="79" l="1"/>
  <c r="D58" i="79" s="1"/>
  <c r="D56" i="79" s="1"/>
  <c r="M54" i="79" s="1"/>
  <c r="N57" i="79" s="1"/>
  <c r="N58" i="79" s="1"/>
  <c r="C81" i="79"/>
  <c r="C81" i="9"/>
  <c r="P57" i="9"/>
  <c r="N58" i="9"/>
  <c r="N59" i="9"/>
  <c r="P57" i="79" l="1"/>
  <c r="N59" i="79"/>
  <c r="N60" i="79" s="1"/>
  <c r="N60" i="9"/>
  <c r="N61" i="9"/>
  <c r="N61" i="7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作者</author>
  </authors>
  <commentList>
    <comment ref="C1" authorId="0" shapeId="0">
      <text>
        <r>
          <rPr>
            <sz val="9"/>
            <rFont val="宋体"/>
            <family val="3"/>
            <charset val="134"/>
          </rPr>
          <t>作者:
(住宅/商业及写字楼/其它/车位)四个选择</t>
        </r>
      </text>
    </comment>
    <comment ref="D33" authorId="0" shapeId="0">
      <text>
        <r>
          <rPr>
            <b/>
            <sz val="9"/>
            <color indexed="81"/>
            <rFont val="宋体"/>
            <family val="3"/>
            <charset val="134"/>
          </rPr>
          <t>1、正常出租
2、已停租、转租、临时租户等</t>
        </r>
      </text>
    </comment>
    <comment ref="E33" authorId="0" shapeId="0">
      <text>
        <r>
          <rPr>
            <sz val="9"/>
            <rFont val="宋体"/>
            <family val="3"/>
            <charset val="134"/>
          </rPr>
          <t>作者:
(住宅/商业及写字楼/其它/车位)四个选择</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作者</author>
    <author>余志强</author>
  </authors>
  <commentList>
    <comment ref="F1" authorId="0" shapeId="0">
      <text>
        <r>
          <rPr>
            <sz val="9"/>
            <rFont val="宋体"/>
            <family val="3"/>
            <charset val="134"/>
          </rPr>
          <t>作者:
实测套内面积</t>
        </r>
      </text>
    </comment>
    <comment ref="F5" authorId="0" shapeId="0">
      <text>
        <r>
          <rPr>
            <sz val="9"/>
            <rFont val="宋体"/>
            <family val="3"/>
            <charset val="134"/>
          </rPr>
          <t>暴菲:
套内建面</t>
        </r>
      </text>
    </comment>
    <comment ref="A9" authorId="0" shapeId="0">
      <text>
        <r>
          <rPr>
            <sz val="9"/>
            <rFont val="宋体"/>
            <family val="3"/>
            <charset val="134"/>
          </rPr>
          <t>作者:
6个月为1期支付租金,25日前付下期</t>
        </r>
      </text>
    </comment>
    <comment ref="B9" authorId="0" shapeId="0">
      <text>
        <r>
          <rPr>
            <sz val="9"/>
            <rFont val="宋体"/>
            <family val="3"/>
            <charset val="134"/>
          </rPr>
          <t>作者:
1-2年,14元\天,567571.96\月,3-5年,15元\天,608112.81\月</t>
        </r>
      </text>
    </comment>
    <comment ref="F9" authorId="0" shapeId="0">
      <text>
        <r>
          <rPr>
            <sz val="9"/>
            <rFont val="宋体"/>
            <family val="3"/>
            <charset val="134"/>
          </rPr>
          <t>作者:
套内1332.85,建筑2105.9</t>
        </r>
      </text>
    </comment>
    <comment ref="M9" authorId="0" shapeId="0">
      <text>
        <r>
          <rPr>
            <sz val="9"/>
            <rFont val="宋体"/>
            <family val="3"/>
            <charset val="134"/>
          </rPr>
          <t>作者:
2010.7.19.195#</t>
        </r>
      </text>
    </comment>
    <comment ref="BD9" authorId="1" shapeId="0">
      <text>
        <r>
          <rPr>
            <b/>
            <sz val="9"/>
            <color indexed="81"/>
            <rFont val="宋体"/>
            <family val="3"/>
            <charset val="134"/>
          </rPr>
          <t>余志强:</t>
        </r>
        <r>
          <rPr>
            <sz val="9"/>
            <color indexed="81"/>
            <rFont val="宋体"/>
            <family val="3"/>
            <charset val="134"/>
          </rPr>
          <t xml:space="preserve">
22.04.08-22.10.07</t>
        </r>
      </text>
    </comment>
    <comment ref="F11" authorId="0" shapeId="0">
      <text>
        <r>
          <rPr>
            <sz val="9"/>
            <rFont val="宋体"/>
            <family val="3"/>
            <charset val="134"/>
          </rPr>
          <t>暴菲:
套内建面</t>
        </r>
      </text>
    </comment>
    <comment ref="F13" authorId="0" shapeId="0">
      <text>
        <r>
          <rPr>
            <sz val="9"/>
            <rFont val="宋体"/>
            <family val="3"/>
            <charset val="134"/>
          </rPr>
          <t>暴菲:
套内建面</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<sst xmlns="http://schemas.openxmlformats.org/spreadsheetml/2006/main" count="11664" uniqueCount="3452">
  <si>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</si>
  <si>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</si>
  <si>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</si>
  <si>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</si>
  <si>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</si>
  <si>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</si>
  <si>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</si>
  <si>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</si>
  <si>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</si>
  <si>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</si>
  <si>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</si>
  <si>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</si>
  <si>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</si>
  <si>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</si>
  <si>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</si>
  <si>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</si>
  <si>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</si>
  <si>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</si>
  <si>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</si>
  <si>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</si>
  <si>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</si>
  <si>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</si>
  <si>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</si>
  <si>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</si>
  <si>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</si>
  <si>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</si>
  <si>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</si>
  <si>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</si>
  <si>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</si>
  <si>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</si>
  <si>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</si>
  <si>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</si>
  <si>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</si>
  <si>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</si>
  <si>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</si>
  <si>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</si>
  <si>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</si>
  <si>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</si>
  <si>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</si>
  <si>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</si>
  <si>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</si>
  <si>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</si>
  <si>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</si>
  <si>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</si>
  <si>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</si>
  <si>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</si>
  <si>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</si>
  <si>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</si>
  <si>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</si>
  <si>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</si>
  <si>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</si>
  <si>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</si>
  <si>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</si>
  <si>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</si>
  <si>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</si>
  <si>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</si>
  <si>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</si>
  <si>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</si>
  <si>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</si>
  <si>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</si>
  <si>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</si>
  <si>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</si>
  <si>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</si>
  <si>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</si>
  <si>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</si>
  <si>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</si>
  <si>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</si>
  <si>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</si>
  <si>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</si>
  <si>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</si>
  <si>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</si>
  <si>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</si>
  <si>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</si>
  <si>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</si>
  <si>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</si>
  <si>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</si>
  <si>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</si>
  <si>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</si>
  <si>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</si>
  <si>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</si>
  <si>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</si>
  <si>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</si>
  <si>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</si>
  <si>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</si>
  <si>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</si>
  <si>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</si>
  <si>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</si>
  <si>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</si>
  <si>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</si>
  <si>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</si>
  <si>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</si>
  <si>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</si>
  <si>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</si>
  <si>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</si>
  <si>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</si>
  <si>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</si>
  <si>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</si>
  <si>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</si>
  <si>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</si>
  <si>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</si>
  <si>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</si>
  <si>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</si>
  <si>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</si>
  <si>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</si>
  <si>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</si>
  <si>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</si>
  <si>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</si>
  <si>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</si>
  <si>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</si>
  <si>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</si>
  <si>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</si>
  <si>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</si>
  <si>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</si>
  <si>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</si>
  <si>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</si>
  <si>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</si>
  <si>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</si>
  <si>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</si>
  <si>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</si>
  <si>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</si>
  <si>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</si>
  <si>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</si>
  <si>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</si>
  <si>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</si>
  <si>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</si>
  <si>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</si>
  <si>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</si>
  <si>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</si>
  <si>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</si>
  <si>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</si>
  <si>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</si>
  <si>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</si>
  <si>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</si>
  <si>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</si>
  <si>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</si>
  <si>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</si>
  <si>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</si>
  <si>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</si>
  <si>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</si>
  <si>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</si>
  <si>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</si>
  <si>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</si>
  <si>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</si>
  <si>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</si>
  <si>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</si>
  <si>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</si>
  <si>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</si>
  <si>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</si>
  <si>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</si>
  <si>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</si>
  <si>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</si>
  <si>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</si>
  <si>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</si>
  <si>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</si>
  <si>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</si>
  <si>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</si>
  <si>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</si>
  <si>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</si>
  <si>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</si>
  <si>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</si>
  <si>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</si>
  <si>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</si>
  <si>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</si>
  <si>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</si>
  <si>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</si>
  <si>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</si>
  <si>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</si>
  <si>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</si>
  <si>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</si>
  <si>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</si>
  <si>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</si>
  <si>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</si>
  <si>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</si>
  <si>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</si>
  <si>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</si>
  <si>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</si>
  <si>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</si>
  <si>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</si>
  <si>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</si>
  <si>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</si>
  <si>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</si>
  <si>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</si>
  <si>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</si>
  <si>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</si>
  <si>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</si>
  <si>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</si>
  <si>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</si>
  <si>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</si>
  <si>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</si>
  <si>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</si>
  <si>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</si>
  <si>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</si>
  <si>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</si>
  <si>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</si>
  <si>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</si>
  <si>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</si>
  <si>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</si>
  <si>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</si>
  <si>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</si>
  <si>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</si>
  <si>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</si>
  <si>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</si>
  <si>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</si>
  <si>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</si>
  <si>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</si>
  <si>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</si>
  <si>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</si>
  <si>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</si>
  <si>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</si>
  <si>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</si>
  <si>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</si>
  <si>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</si>
  <si>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</si>
  <si>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</si>
  <si>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</si>
  <si>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</si>
  <si>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</si>
  <si>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</si>
  <si>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</si>
  <si>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</si>
  <si>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</si>
  <si>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</si>
  <si>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</si>
  <si>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</si>
  <si>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</si>
  <si>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</si>
  <si>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</si>
  <si>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</si>
  <si>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</si>
  <si>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</si>
  <si>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</si>
  <si>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</si>
  <si>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</si>
  <si>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</si>
  <si>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</si>
  <si>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</si>
  <si>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</si>
  <si>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</si>
  <si>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</si>
  <si>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</si>
  <si>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</si>
  <si>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</si>
  <si>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</si>
  <si>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</si>
  <si>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</si>
  <si>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</si>
  <si>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</si>
  <si>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</si>
  <si>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</si>
  <si>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</si>
  <si>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</si>
  <si>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</si>
  <si>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</si>
  <si>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</si>
  <si>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</si>
  <si>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</si>
  <si>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</si>
  <si>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</si>
  <si>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</si>
  <si>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</si>
  <si>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</si>
  <si>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</si>
  <si>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</si>
  <si>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</si>
  <si>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</si>
  <si>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</si>
  <si>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</si>
  <si>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</si>
  <si>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</si>
  <si>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</si>
  <si>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</si>
  <si>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</si>
  <si>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</si>
  <si>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</si>
  <si>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</si>
  <si>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</si>
  <si>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</si>
  <si>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</si>
  <si>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</si>
  <si>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</si>
  <si>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</si>
  <si>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</si>
  <si>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</si>
  <si>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</si>
  <si>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</si>
  <si>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</si>
  <si>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</si>
  <si>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</si>
  <si>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</si>
  <si>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</si>
  <si>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</si>
  <si>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</si>
  <si>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</si>
  <si>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</si>
  <si>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</si>
  <si>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</si>
  <si>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</si>
  <si>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</si>
  <si>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</si>
  <si>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</si>
  <si>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</si>
  <si>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</si>
  <si>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</si>
  <si>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</si>
  <si>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</si>
  <si>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</si>
  <si>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</si>
  <si>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</si>
  <si>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</si>
  <si>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</si>
  <si>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</si>
  <si>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</si>
  <si>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</si>
  <si>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</si>
  <si>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</si>
  <si>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</si>
  <si>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</si>
  <si>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</si>
  <si>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</si>
  <si>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</si>
  <si>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</si>
  <si>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</si>
  <si>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</si>
  <si>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</si>
  <si>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</si>
  <si>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</si>
  <si>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</si>
  <si>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</si>
  <si>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</si>
  <si>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</si>
  <si>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</si>
  <si>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</si>
  <si>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</si>
  <si>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</si>
  <si>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</si>
  <si>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</si>
  <si>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</si>
  <si>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</si>
  <si>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</si>
  <si>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</si>
  <si>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</si>
  <si>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</si>
  <si>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</si>
  <si>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</si>
  <si>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</si>
  <si>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</si>
  <si>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</si>
  <si>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</si>
  <si>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</si>
  <si>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</si>
  <si>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</si>
  <si>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</si>
  <si>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</si>
  <si>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</si>
  <si>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</si>
  <si>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</si>
  <si>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</si>
  <si>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</si>
  <si>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</si>
  <si>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</si>
  <si>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</si>
  <si>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</si>
  <si>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</si>
  <si>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</si>
  <si>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</si>
  <si>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</si>
  <si>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</si>
  <si>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</si>
  <si>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</si>
  <si>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</si>
  <si>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</si>
  <si>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</si>
  <si>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</si>
  <si>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</si>
  <si>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</si>
  <si>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</si>
  <si>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</si>
  <si>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</si>
  <si>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</si>
  <si>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</si>
  <si>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</si>
  <si>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</si>
  <si>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</si>
  <si>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</si>
  <si>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</si>
  <si>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</si>
  <si>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</si>
  <si>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</si>
  <si>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</si>
  <si>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</si>
  <si>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</si>
  <si>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</si>
  <si>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</si>
  <si>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</si>
  <si>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</si>
  <si>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</si>
  <si>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</si>
  <si>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</si>
  <si>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</si>
  <si>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</si>
  <si>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</si>
  <si>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</si>
  <si>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</si>
  <si>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</si>
  <si>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</si>
  <si>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</si>
  <si>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</si>
  <si>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</si>
  <si>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</si>
  <si>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</si>
  <si>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</si>
  <si>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</si>
  <si>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</si>
  <si>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</si>
  <si>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</si>
  <si>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</si>
  <si>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</si>
  <si>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</si>
  <si>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</si>
  <si>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</si>
  <si>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</si>
  <si>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</si>
  <si>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</si>
  <si>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</si>
  <si>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</si>
  <si>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</si>
  <si>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</si>
  <si>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</si>
  <si>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</si>
  <si>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</si>
  <si>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</si>
  <si>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</si>
  <si>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</si>
  <si>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</si>
  <si>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</si>
  <si>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</si>
  <si>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</si>
  <si>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</si>
  <si>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</si>
  <si>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</si>
  <si>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</si>
  <si>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</si>
  <si>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</si>
  <si>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</si>
  <si>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</si>
  <si>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</si>
  <si>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</si>
  <si>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</si>
  <si>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</si>
  <si>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</si>
  <si>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</si>
  <si>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</si>
  <si>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</si>
  <si>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</si>
  <si>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</si>
  <si>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</si>
  <si>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</si>
  <si>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</si>
  <si>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</si>
  <si>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</si>
  <si>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</si>
  <si>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</si>
  <si>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</si>
  <si>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</si>
  <si>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</si>
  <si>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</si>
  <si>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</si>
  <si>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</si>
  <si>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</si>
  <si>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</si>
  <si>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</si>
  <si>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</si>
  <si>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</si>
  <si>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</si>
  <si>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</si>
  <si>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</si>
  <si>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</si>
  <si>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</si>
  <si>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</si>
  <si>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</si>
  <si>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</si>
  <si>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</si>
  <si>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</si>
  <si>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</si>
  <si>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</si>
  <si>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</si>
  <si>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</si>
  <si>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</si>
  <si>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</si>
  <si>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</si>
  <si>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</si>
  <si>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</si>
  <si>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</si>
  <si>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</si>
  <si>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</si>
  <si>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</si>
  <si>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</si>
  <si>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</si>
  <si>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</si>
  <si>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</si>
  <si>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</si>
  <si>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</si>
  <si>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</si>
  <si>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</si>
  <si>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</si>
  <si>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</si>
  <si>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</si>
  <si>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</si>
  <si>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</si>
  <si>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</si>
  <si>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</si>
  <si>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</si>
  <si>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</si>
  <si>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</si>
  <si>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</si>
  <si>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</si>
  <si>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</si>
  <si>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</si>
  <si>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</si>
  <si>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</si>
  <si>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</si>
  <si>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</si>
  <si>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</si>
  <si>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</si>
  <si>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</si>
  <si>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</si>
  <si>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</si>
  <si>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</si>
  <si>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</si>
  <si>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</si>
  <si>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</si>
  <si>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</si>
  <si>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</si>
  <si>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</si>
  <si>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</si>
  <si>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</si>
  <si>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</si>
  <si>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</si>
  <si>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</si>
  <si>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</si>
  <si>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</si>
  <si>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</si>
  <si>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</si>
  <si>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</si>
  <si>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</si>
  <si>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</si>
  <si>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</si>
  <si>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</si>
  <si>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</si>
  <si>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</si>
  <si>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</si>
  <si>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</si>
  <si>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</si>
  <si>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</si>
  <si>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</si>
  <si>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</si>
  <si>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</si>
  <si>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</si>
  <si>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</si>
  <si>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</si>
  <si>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</si>
  <si>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</si>
  <si>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</si>
  <si>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</si>
  <si>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</si>
  <si>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</si>
  <si>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</si>
  <si>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</si>
  <si>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</si>
  <si>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</si>
  <si>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</si>
  <si>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</si>
  <si>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</si>
  <si>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</si>
  <si>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</si>
  <si>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</si>
  <si>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</si>
  <si>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</si>
  <si>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</si>
  <si>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</si>
  <si>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</si>
  <si>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</si>
  <si>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</si>
  <si>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</si>
  <si>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</si>
  <si>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</si>
  <si>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</si>
  <si>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</si>
  <si>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</si>
  <si>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</si>
  <si>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</si>
  <si>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</si>
  <si>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</si>
  <si>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</si>
  <si>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</si>
  <si>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</si>
  <si>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</si>
  <si>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</si>
  <si>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</si>
  <si>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</si>
  <si>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</si>
  <si>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</si>
  <si>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</si>
  <si>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</si>
  <si>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</si>
  <si>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</si>
  <si>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</si>
  <si>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</si>
  <si>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</si>
  <si>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</si>
  <si>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</si>
  <si>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</si>
  <si>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</si>
  <si>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</si>
  <si>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</si>
  <si>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</si>
  <si>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</si>
  <si>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</si>
  <si>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</si>
  <si>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</si>
  <si>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</si>
  <si>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</si>
  <si>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</si>
  <si>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</si>
  <si>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</si>
  <si>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</si>
  <si>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</si>
  <si>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</si>
  <si>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</si>
  <si>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</si>
  <si>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</si>
  <si>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</si>
  <si>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</si>
  <si>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</si>
  <si>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</si>
  <si>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</si>
  <si>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</si>
  <si>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</si>
  <si>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</si>
  <si>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</si>
  <si>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</si>
  <si>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</si>
  <si>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</si>
  <si>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</si>
  <si>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</si>
  <si>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</si>
  <si>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</si>
  <si>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</si>
  <si>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</si>
  <si>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</si>
  <si>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</si>
  <si>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</si>
  <si>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</si>
  <si>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</si>
  <si>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</si>
  <si>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</si>
  <si>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</si>
  <si>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</si>
  <si>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</si>
  <si>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</si>
  <si>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</si>
  <si>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</si>
  <si>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</si>
  <si>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</si>
  <si>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</si>
  <si>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</si>
  <si>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</si>
  <si>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</si>
  <si>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</si>
  <si>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</si>
  <si>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</si>
  <si>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</si>
  <si>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</si>
  <si>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</si>
  <si>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</si>
  <si>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</si>
  <si>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</si>
  <si>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</si>
  <si>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</si>
  <si>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</si>
  <si>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</si>
  <si>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</si>
  <si>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</si>
  <si>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</si>
  <si>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</si>
  <si>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</si>
  <si>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</si>
  <si>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</si>
  <si>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</si>
  <si>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</si>
  <si>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</si>
  <si>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</si>
  <si>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</si>
  <si>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</si>
  <si>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</si>
  <si>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</si>
  <si>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</si>
  <si>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</si>
  <si>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</si>
  <si>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</si>
  <si>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</si>
  <si>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</si>
  <si>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</si>
  <si>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</si>
  <si>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</si>
  <si>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</si>
  <si>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</si>
  <si>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</si>
  <si>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</si>
  <si>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</si>
  <si>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</si>
  <si>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</si>
  <si>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</si>
  <si>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</si>
  <si>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</si>
  <si>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</si>
  <si>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</si>
  <si>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</si>
  <si>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</si>
  <si>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</si>
  <si>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</si>
  <si>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</si>
  <si>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</si>
  <si>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</si>
  <si>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</si>
  <si>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</si>
  <si>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</si>
  <si>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</si>
  <si>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</si>
  <si>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</si>
  <si>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</si>
  <si>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</si>
  <si>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</si>
  <si>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</si>
  <si>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</si>
  <si>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</si>
  <si>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</si>
  <si>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</si>
  <si>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</si>
  <si>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</si>
  <si>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</si>
  <si>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</si>
  <si>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</si>
  <si>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</si>
  <si>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</si>
  <si>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</si>
  <si>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</si>
  <si>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</si>
  <si>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</si>
  <si>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</si>
  <si>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</si>
  <si>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</si>
  <si>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</si>
  <si>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</si>
  <si>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</si>
  <si>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</si>
  <si>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</si>
  <si>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</si>
  <si>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</si>
  <si>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</si>
  <si>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</si>
  <si>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</si>
  <si>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</si>
  <si>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</si>
  <si>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</si>
  <si>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</si>
  <si>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</si>
  <si>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</si>
  <si>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</si>
  <si>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</si>
  <si>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</si>
  <si>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</si>
  <si>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</si>
  <si>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</si>
  <si>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</si>
  <si>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</si>
  <si>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</si>
  <si>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</si>
  <si>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</si>
  <si>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</si>
  <si>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</si>
  <si>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</si>
  <si>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</si>
  <si>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</si>
  <si>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</si>
  <si>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</si>
  <si>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</si>
  <si>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</si>
  <si>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</si>
  <si>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</si>
  <si>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</si>
  <si>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</si>
  <si>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</si>
  <si>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</si>
  <si>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</si>
  <si>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</si>
  <si>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</si>
  <si>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</si>
  <si>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</si>
  <si>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</si>
  <si>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</si>
  <si>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</si>
  <si>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</si>
  <si>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</si>
  <si>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</si>
  <si>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</si>
  <si>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</si>
  <si>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</si>
  <si>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</si>
  <si>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</si>
  <si>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</si>
  <si>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</si>
  <si>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</si>
  <si>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</si>
  <si>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</si>
  <si>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</si>
  <si>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</si>
  <si>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</si>
  <si>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</si>
  <si>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</si>
  <si>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</si>
  <si>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</si>
  <si>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</si>
  <si>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</si>
  <si>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</si>
  <si>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</si>
  <si>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</si>
  <si>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</si>
  <si>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</si>
  <si>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</si>
  <si>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</si>
  <si>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</si>
  <si>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</si>
  <si>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</si>
  <si>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</si>
  <si>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</si>
  <si>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</si>
  <si>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</si>
  <si>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</si>
  <si>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</si>
  <si>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</si>
  <si>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</si>
  <si>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</si>
  <si>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</si>
  <si>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</si>
  <si>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</si>
  <si>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</si>
  <si>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</si>
  <si>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</si>
  <si>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</si>
  <si>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</si>
  <si>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</si>
  <si>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</si>
  <si>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</si>
  <si>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</si>
  <si>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</si>
  <si>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</si>
  <si>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</si>
  <si>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</si>
  <si>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</si>
  <si>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</si>
  <si>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</si>
  <si>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</si>
  <si>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</si>
  <si>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</si>
  <si>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</si>
  <si>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</si>
  <si>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</si>
  <si>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</si>
  <si>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</si>
  <si>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</si>
  <si>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</si>
  <si>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</si>
  <si>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</si>
  <si>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</si>
  <si>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</si>
  <si>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</si>
  <si>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</si>
  <si>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</si>
  <si>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</si>
  <si>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</si>
  <si>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</si>
  <si>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</si>
  <si>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</si>
  <si>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</si>
  <si>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</si>
  <si>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</si>
  <si>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</si>
  <si>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</si>
  <si>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</si>
  <si>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</si>
  <si>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</si>
  <si>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</si>
  <si>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</si>
  <si>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</si>
  <si>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</si>
  <si>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</si>
  <si>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</si>
  <si>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</si>
  <si>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</si>
  <si>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</si>
  <si>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</si>
  <si>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</si>
  <si>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</si>
  <si>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</si>
  <si>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</si>
  <si>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</si>
  <si>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</si>
  <si>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</si>
  <si>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</si>
  <si>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</si>
  <si>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</si>
  <si>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</si>
  <si>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</si>
  <si>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</si>
  <si>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</si>
  <si>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</si>
  <si>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</si>
  <si>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</si>
  <si>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</si>
  <si>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</si>
  <si>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</si>
  <si>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</si>
  <si>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</si>
  <si>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</si>
  <si>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</si>
  <si>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</si>
  <si>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</si>
  <si>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</si>
  <si>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</si>
  <si>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</si>
  <si>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</si>
  <si>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</si>
  <si>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</si>
  <si>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</si>
  <si>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</si>
  <si>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</si>
  <si>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</si>
  <si>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</si>
  <si>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</si>
  <si>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</si>
  <si>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</si>
  <si>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</si>
  <si>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</si>
  <si>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</si>
  <si>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</si>
  <si>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</si>
  <si>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</si>
  <si>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</si>
  <si>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</si>
  <si>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</si>
  <si>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</si>
  <si>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</si>
  <si>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</si>
  <si>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</si>
  <si>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</si>
  <si>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</si>
  <si>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</si>
  <si>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</si>
  <si>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</si>
  <si>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</si>
  <si>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</si>
  <si>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</si>
  <si>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</si>
  <si>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</si>
  <si>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</si>
  <si>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</si>
  <si>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</si>
  <si>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</si>
  <si>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</si>
  <si>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</si>
  <si>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</si>
  <si>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</si>
  <si>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</si>
  <si>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</si>
  <si>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</si>
  <si>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</si>
  <si>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</si>
  <si>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</si>
  <si>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</si>
  <si>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</si>
  <si>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</si>
  <si>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</si>
  <si>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</si>
  <si>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</si>
  <si>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</si>
  <si>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</si>
  <si>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</si>
  <si>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</si>
  <si>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</si>
  <si>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</si>
  <si>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</si>
  <si>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</si>
  <si>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</si>
  <si>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</si>
  <si>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</si>
  <si>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</si>
  <si>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</si>
  <si>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</si>
  <si>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</si>
  <si>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</si>
  <si>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</si>
  <si>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</si>
  <si>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</si>
  <si>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</si>
  <si>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</si>
  <si>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</si>
  <si>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</si>
  <si>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</si>
  <si>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</si>
  <si>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</si>
  <si>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</si>
  <si>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</si>
  <si>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</si>
  <si>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</si>
  <si>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</si>
  <si>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</si>
  <si>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</si>
  <si>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</si>
  <si>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</si>
  <si>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</si>
  <si>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</si>
  <si>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</si>
  <si>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</si>
  <si>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</si>
  <si>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</si>
  <si>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</si>
  <si>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</si>
  <si>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</si>
  <si>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</si>
  <si>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</si>
  <si>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</si>
  <si>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</si>
  <si>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</si>
  <si>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</si>
  <si>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</si>
  <si>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</si>
  <si>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</si>
  <si>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</si>
  <si>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</si>
  <si>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</si>
  <si>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</si>
  <si>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</si>
  <si>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</si>
  <si>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</si>
  <si>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</si>
  <si>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</si>
  <si>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</si>
  <si>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</si>
  <si>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</si>
  <si>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</si>
  <si>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</si>
  <si>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</si>
  <si>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</si>
  <si>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</si>
  <si>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</si>
  <si>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</si>
  <si>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</si>
  <si>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</si>
  <si>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</si>
  <si>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</si>
  <si>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</si>
  <si>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</si>
  <si>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</si>
  <si>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</si>
  <si>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</si>
  <si>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</si>
  <si>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</si>
  <si>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</si>
  <si>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</si>
  <si>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</si>
  <si>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</si>
  <si>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</si>
  <si>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</si>
  <si>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</si>
  <si>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</si>
  <si>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</si>
  <si>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</si>
  <si>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</si>
  <si>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</si>
  <si>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</si>
  <si>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</si>
  <si>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</si>
  <si>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</si>
  <si>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</si>
  <si>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行政套房</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</si>
  <si>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</si>
  <si>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</si>
  <si>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</si>
  <si>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</si>
  <si>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</si>
  <si>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</si>
  <si>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</si>
  <si>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</si>
  <si>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</si>
  <si>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</si>
  <si>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</si>
  <si>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</si>
  <si>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</si>
  <si>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</si>
  <si>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</si>
  <si>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</si>
  <si>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</si>
  <si>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</si>
  <si>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</si>
  <si>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</si>
  <si>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</si>
  <si>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</si>
  <si>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</si>
  <si>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</si>
  <si>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</si>
  <si>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</si>
  <si>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</si>
  <si>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</si>
  <si>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</si>
  <si>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</si>
  <si>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</si>
  <si>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</si>
  <si>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</si>
  <si>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</si>
  <si>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</si>
  <si>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</si>
  <si>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</si>
  <si>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</si>
  <si>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</si>
  <si>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</si>
  <si>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</si>
  <si>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</si>
  <si>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</si>
  <si>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</si>
  <si>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</si>
  <si>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</si>
  <si>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</si>
  <si>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</si>
  <si>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</si>
  <si>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</si>
  <si>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</si>
  <si>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</si>
  <si>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</si>
  <si>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</si>
  <si>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</si>
  <si>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</si>
  <si>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</si>
  <si>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</si>
  <si>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</si>
  <si>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</si>
  <si>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</si>
  <si>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</si>
  <si>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</si>
  <si>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</si>
  <si>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</si>
  <si>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</si>
  <si>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</si>
  <si>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</si>
  <si>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</si>
  <si>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</si>
  <si>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</si>
  <si>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</si>
  <si>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</si>
  <si>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</si>
  <si>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</si>
  <si>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</si>
  <si>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</si>
  <si>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</si>
  <si>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</si>
  <si>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</si>
  <si>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</si>
  <si>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</si>
  <si>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</si>
  <si>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</si>
  <si>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</si>
  <si>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</si>
  <si>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</si>
  <si>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</si>
  <si>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</si>
  <si>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</si>
  <si>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</si>
  <si>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</si>
  <si>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</si>
  <si>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</si>
  <si>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</si>
  <si>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</si>
  <si>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</si>
  <si>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</si>
  <si>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</si>
  <si>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</si>
  <si>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</si>
  <si>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</si>
  <si>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</si>
  <si>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</si>
  <si>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</si>
  <si>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</si>
  <si>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</si>
  <si>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</si>
  <si>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</si>
  <si>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</si>
  <si>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</si>
  <si>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</si>
  <si>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</si>
  <si>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</si>
  <si>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</si>
  <si>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</si>
  <si>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</si>
  <si>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</si>
  <si>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</si>
  <si>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</si>
  <si>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</si>
  <si>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</si>
  <si>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</si>
  <si>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</si>
  <si>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</si>
  <si>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</si>
  <si>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</si>
  <si>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</si>
  <si>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</si>
  <si>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</si>
  <si>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</si>
  <si>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</si>
  <si>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</si>
  <si>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</si>
  <si>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</si>
  <si>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</si>
  <si>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</si>
  <si>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</si>
  <si>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</si>
  <si>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</si>
  <si>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</si>
  <si>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</si>
  <si>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</si>
  <si>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</si>
  <si>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</si>
  <si>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</si>
  <si>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</si>
  <si>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</si>
  <si>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</si>
  <si>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</si>
  <si>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</si>
  <si>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</si>
  <si>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</si>
  <si>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</si>
  <si>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</si>
  <si>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</si>
  <si>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</si>
  <si>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</si>
  <si>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</si>
  <si>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</si>
  <si>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</si>
  <si>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</si>
  <si>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</si>
  <si>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</si>
  <si>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</si>
  <si>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</si>
  <si>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</si>
  <si>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</si>
  <si>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</si>
  <si>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</si>
  <si>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</si>
  <si>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</si>
  <si>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</si>
  <si>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</si>
  <si>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</si>
  <si>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</si>
  <si>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</si>
  <si>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</si>
  <si>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</si>
  <si>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</si>
  <si>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</si>
  <si>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</si>
  <si>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</si>
  <si>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</si>
  <si>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</si>
  <si>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</si>
  <si>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</si>
  <si>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</si>
  <si>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</si>
  <si>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</si>
  <si>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</si>
  <si>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</si>
  <si>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</si>
  <si>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</si>
  <si>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</si>
  <si>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</si>
  <si>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</si>
  <si>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</si>
  <si>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</si>
  <si>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</si>
  <si>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</si>
  <si>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</si>
  <si>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</si>
  <si>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</si>
  <si>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</si>
  <si>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</si>
  <si>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</si>
  <si>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</si>
  <si>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</si>
  <si>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</si>
  <si>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</si>
  <si>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</si>
  <si>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</si>
  <si>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</si>
  <si>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</si>
  <si>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</si>
  <si>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</si>
  <si>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</si>
  <si>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</si>
  <si>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</si>
  <si>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</si>
  <si>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</si>
  <si>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</si>
  <si>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</si>
  <si>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</si>
  <si>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</si>
  <si>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</si>
  <si>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</si>
  <si>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</si>
  <si>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</si>
  <si>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</si>
  <si>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</si>
  <si>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</si>
  <si>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</si>
  <si>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</si>
  <si>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</si>
  <si>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</si>
  <si>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</si>
  <si>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</si>
  <si>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</si>
  <si>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</si>
  <si>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</si>
  <si>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</si>
  <si>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</si>
  <si>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</si>
  <si>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</si>
  <si>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</si>
  <si>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</si>
  <si>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</si>
  <si>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</si>
  <si>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</si>
  <si>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</si>
  <si>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</si>
  <si>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</si>
  <si>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</si>
  <si>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</si>
  <si>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</si>
  <si>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</si>
  <si>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</si>
  <si>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</si>
  <si>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</si>
  <si>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</si>
  <si>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</si>
  <si>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</si>
  <si>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</si>
  <si>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</si>
  <si>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</si>
  <si>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</si>
  <si>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</si>
  <si>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</si>
  <si>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</si>
  <si>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</si>
  <si>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</si>
  <si>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</si>
  <si>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</si>
  <si>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</si>
  <si>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</si>
  <si>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</si>
  <si>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</si>
  <si>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</si>
  <si>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</si>
  <si>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</si>
  <si>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</si>
  <si>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</si>
  <si>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</si>
  <si>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</si>
  <si>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</si>
  <si>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</si>
  <si>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</si>
  <si>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</si>
  <si>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</si>
  <si>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</si>
  <si>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</si>
  <si>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</si>
  <si>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</si>
  <si>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</si>
  <si>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</si>
  <si>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</si>
  <si>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</si>
  <si>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</si>
  <si>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</si>
  <si>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</si>
  <si>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</si>
  <si>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</si>
  <si>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</si>
  <si>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</si>
  <si>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</si>
  <si>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</si>
  <si>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</si>
  <si>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</si>
  <si>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</si>
  <si>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</si>
  <si>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</si>
  <si>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</si>
  <si>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</si>
  <si>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</si>
  <si>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</si>
  <si>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</si>
  <si>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</si>
  <si>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</si>
  <si>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</si>
  <si>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</si>
  <si>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</si>
  <si>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</si>
  <si>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</si>
  <si>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</si>
  <si>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</si>
  <si>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</si>
  <si>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</si>
  <si>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</si>
  <si>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</si>
  <si>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</si>
  <si>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</si>
  <si>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</si>
  <si>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</si>
  <si>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</si>
  <si>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</si>
  <si>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</si>
  <si>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</si>
  <si>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</si>
  <si>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</si>
  <si>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</si>
  <si>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</si>
  <si>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</si>
  <si>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</si>
  <si>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</si>
  <si>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</si>
  <si>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</si>
  <si>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</si>
  <si>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</si>
  <si>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</si>
  <si>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</si>
  <si>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</si>
  <si>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</si>
  <si>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</si>
  <si>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</si>
  <si>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</si>
  <si>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</si>
  <si>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</si>
  <si>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</si>
  <si>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</si>
  <si>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</si>
  <si>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</si>
  <si>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</si>
  <si>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</si>
  <si>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</si>
  <si>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</si>
  <si>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</si>
  <si>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</si>
  <si>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</si>
  <si>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</si>
  <si>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</si>
  <si>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</si>
  <si>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</si>
  <si>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</si>
  <si>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</si>
  <si>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</si>
  <si>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</si>
  <si>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</si>
  <si>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</si>
  <si>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</si>
  <si>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</si>
  <si>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</si>
  <si>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</si>
  <si>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</si>
  <si>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</si>
  <si>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</si>
  <si>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</si>
  <si>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</si>
  <si>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</si>
  <si>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</si>
  <si>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</si>
  <si>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</si>
  <si>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</si>
  <si>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</si>
  <si>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</si>
  <si>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</si>
  <si>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</si>
  <si>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</si>
  <si>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</si>
  <si>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</si>
  <si>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</si>
  <si>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</si>
  <si>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</si>
  <si>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</si>
  <si>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</si>
  <si>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</si>
  <si>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</si>
  <si>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</si>
  <si>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</si>
  <si>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</si>
  <si>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</si>
  <si>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</si>
  <si>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</si>
  <si>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</si>
  <si>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</si>
  <si>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</si>
  <si>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</si>
  <si>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</si>
  <si>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</si>
  <si>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</si>
  <si>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</si>
  <si>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</si>
  <si>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</si>
  <si>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</si>
  <si>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</si>
  <si>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</si>
  <si>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</si>
  <si>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</si>
  <si>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</si>
  <si>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</si>
  <si>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</si>
  <si>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</si>
  <si>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</si>
  <si>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</si>
  <si>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</si>
  <si>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</si>
  <si>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</si>
  <si>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</si>
  <si>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</si>
  <si>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</si>
  <si>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</si>
  <si>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</si>
  <si>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</si>
  <si>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</si>
  <si>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</si>
  <si>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</si>
  <si>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</si>
  <si>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</si>
  <si>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</si>
  <si>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</si>
  <si>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</si>
  <si>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</si>
  <si>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</si>
  <si>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</si>
  <si>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</si>
  <si>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</si>
  <si>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</si>
  <si>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</si>
  <si>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</si>
  <si>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</si>
  <si>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</si>
  <si>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</si>
  <si>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</si>
  <si>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</si>
  <si>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</si>
  <si>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</si>
  <si>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</si>
  <si>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</si>
  <si>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</si>
  <si>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</si>
  <si>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</si>
  <si>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</si>
  <si>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</si>
  <si>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</si>
  <si>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</si>
  <si>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</si>
  <si>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</si>
  <si>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</si>
  <si>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</si>
  <si>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</si>
  <si>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</si>
  <si>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</si>
  <si>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</si>
  <si>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</si>
  <si>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</si>
  <si>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</si>
  <si>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</si>
  <si>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</si>
  <si>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</si>
  <si>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</si>
  <si>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</si>
  <si>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</si>
  <si>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</si>
  <si>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</si>
  <si>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</si>
  <si>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</si>
  <si>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</si>
  <si>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</si>
  <si>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</si>
  <si>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</si>
  <si>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</si>
  <si>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</si>
  <si>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</si>
  <si>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</si>
  <si>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</si>
  <si>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</si>
  <si>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</si>
  <si>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</si>
  <si>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</si>
  <si>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</si>
  <si>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</si>
  <si>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</si>
  <si>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</si>
  <si>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</si>
  <si>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</si>
  <si>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</si>
  <si>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</si>
  <si>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</si>
  <si>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</si>
  <si>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</si>
  <si>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</si>
  <si>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</si>
  <si>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</si>
  <si>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</si>
  <si>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</si>
  <si>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</si>
  <si>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</si>
  <si>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</si>
  <si>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</si>
  <si>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</si>
  <si>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</si>
  <si>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</si>
  <si>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</si>
  <si>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</si>
  <si>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</si>
  <si>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</si>
  <si>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</si>
  <si>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</si>
  <si>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</si>
  <si>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</si>
  <si>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</si>
  <si>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</si>
  <si>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</si>
  <si>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</si>
  <si>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</si>
  <si>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</si>
  <si>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</si>
  <si>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</si>
  <si>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</si>
  <si>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</si>
  <si>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</si>
  <si>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</si>
  <si>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</si>
  <si>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</si>
  <si>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</si>
  <si>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</si>
  <si>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</si>
  <si>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</si>
  <si>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</si>
  <si>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</si>
  <si>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</si>
  <si>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</si>
  <si>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</si>
  <si>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</si>
  <si>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</si>
  <si>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</si>
  <si>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</si>
  <si>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</si>
  <si>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</si>
  <si>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</si>
  <si>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</si>
  <si>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</si>
  <si>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</si>
  <si>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</si>
  <si>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</si>
  <si>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</si>
  <si>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</si>
  <si>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</si>
  <si>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</si>
  <si>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</si>
  <si>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</si>
  <si>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</si>
  <si>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</si>
  <si>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</si>
  <si>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</si>
  <si>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</si>
  <si>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</si>
  <si>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</si>
  <si>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</si>
  <si>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</si>
  <si>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</si>
  <si>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</si>
  <si>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</si>
  <si>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</si>
  <si>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</si>
  <si>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</si>
  <si>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</si>
  <si>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</si>
  <si>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</si>
  <si>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</si>
  <si>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</si>
  <si>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</si>
  <si>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</si>
  <si>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</si>
  <si>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</si>
  <si>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</si>
  <si>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</si>
  <si>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</si>
  <si>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</si>
  <si>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</si>
  <si>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</si>
  <si>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</si>
  <si>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</si>
  <si>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</si>
  <si>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</si>
  <si>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</si>
  <si>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</si>
  <si>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</si>
  <si>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</si>
  <si>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</si>
  <si>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</si>
  <si>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</si>
  <si>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</si>
  <si>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</si>
  <si>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</si>
  <si>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</si>
  <si>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</si>
  <si>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</si>
  <si>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</si>
  <si>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</si>
  <si>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</si>
  <si>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</si>
  <si>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</si>
  <si>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</si>
  <si>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</si>
  <si>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</si>
  <si>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</si>
  <si>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</si>
  <si>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</si>
  <si>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</si>
  <si>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</si>
  <si>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</si>
  <si>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</si>
  <si>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</si>
  <si>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</si>
  <si>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</si>
  <si>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</si>
  <si>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</si>
  <si>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</si>
  <si>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</si>
  <si>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</si>
  <si>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</si>
  <si>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</si>
  <si>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</si>
  <si>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</si>
  <si>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</si>
  <si>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</si>
  <si>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</si>
  <si>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</si>
  <si>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</si>
  <si>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</si>
  <si>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</si>
  <si>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</si>
  <si>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</si>
  <si>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</si>
  <si>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</si>
  <si>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</si>
  <si>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</si>
  <si>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</si>
  <si>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</si>
  <si>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</si>
  <si>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</si>
  <si>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</si>
  <si>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</si>
  <si>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</si>
  <si>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</si>
  <si>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</si>
  <si>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</si>
  <si>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</si>
  <si>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</si>
  <si>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</si>
  <si>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</si>
  <si>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</si>
  <si>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</si>
  <si>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</si>
  <si>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</si>
  <si>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</si>
  <si>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</si>
  <si>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</si>
  <si>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</si>
  <si>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</si>
  <si>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</si>
  <si>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</si>
  <si>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</si>
  <si>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</si>
  <si>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</si>
  <si>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</si>
  <si>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</si>
  <si>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</si>
  <si>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</si>
  <si>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</si>
  <si>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</si>
  <si>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</si>
  <si>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</si>
  <si>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</si>
  <si>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</si>
  <si>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</si>
  <si>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</si>
  <si>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</si>
  <si>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</si>
  <si>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</si>
  <si>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</si>
  <si>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</si>
  <si>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</si>
  <si>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</si>
  <si>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</si>
  <si>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</si>
  <si>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</si>
  <si>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</si>
  <si>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</si>
  <si>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</si>
  <si>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</si>
  <si>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</si>
  <si>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</si>
  <si>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</si>
  <si>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</si>
  <si>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</si>
  <si>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</si>
  <si>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</si>
  <si>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</si>
  <si>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</si>
  <si>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</si>
  <si>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</si>
  <si>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</si>
  <si>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</si>
  <si>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</si>
  <si>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</si>
  <si>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</si>
  <si>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</si>
  <si>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</si>
  <si>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</si>
  <si>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</si>
  <si>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</si>
  <si>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</si>
  <si>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</si>
  <si>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</si>
  <si>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</si>
  <si>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</si>
  <si>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</si>
  <si>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</si>
  <si>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</si>
  <si>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</si>
  <si>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</si>
  <si>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</si>
  <si>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</si>
  <si>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</si>
  <si>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</si>
  <si>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</si>
  <si>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</si>
  <si>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</si>
  <si>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</si>
  <si>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</si>
  <si>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</si>
  <si>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</si>
  <si>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</si>
  <si>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</si>
  <si>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</si>
  <si>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</si>
  <si>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</si>
  <si>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</si>
  <si>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</si>
  <si>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</si>
  <si>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</si>
  <si>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</si>
  <si>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</si>
  <si>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</si>
  <si>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</si>
  <si>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</si>
  <si>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</si>
  <si>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</si>
  <si>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</si>
  <si>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</si>
  <si>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</si>
  <si>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</si>
  <si>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</si>
  <si>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</si>
  <si>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</si>
  <si>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</si>
  <si>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</si>
  <si>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</si>
  <si>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</si>
  <si>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</si>
  <si>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</si>
  <si>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</si>
  <si>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</si>
  <si>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</si>
  <si>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</si>
  <si>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</si>
  <si>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</si>
  <si>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</si>
  <si>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</si>
  <si>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</si>
  <si>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</si>
  <si>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</si>
  <si>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</si>
  <si>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</si>
  <si>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</si>
  <si>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</si>
  <si>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</si>
  <si>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</si>
  <si>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</si>
  <si>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</si>
  <si>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</si>
  <si>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</si>
  <si>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</si>
  <si>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</si>
  <si>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</si>
  <si>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</si>
  <si>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</si>
  <si>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</si>
  <si>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</si>
  <si>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</si>
  <si>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</si>
  <si>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</si>
  <si>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</si>
  <si>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</si>
  <si>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</si>
  <si>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</si>
  <si>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</si>
  <si>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</si>
  <si>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</si>
  <si>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</si>
  <si>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</si>
  <si>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</si>
  <si>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</si>
  <si>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</si>
  <si>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</si>
  <si>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</si>
  <si>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</si>
  <si>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</si>
  <si>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</si>
  <si>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</si>
  <si>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</si>
  <si>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</si>
  <si>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</si>
  <si>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</si>
  <si>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</si>
  <si>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</si>
  <si>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</si>
  <si>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</si>
  <si>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</si>
  <si>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</si>
  <si>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</si>
  <si>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</si>
  <si>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</si>
  <si>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</si>
  <si>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</si>
  <si>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</si>
  <si>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</si>
  <si>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</si>
  <si>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</si>
  <si>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</si>
  <si>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</si>
  <si>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</si>
  <si>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</si>
  <si>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</si>
  <si>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</si>
  <si>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</si>
  <si>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</si>
  <si>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</si>
  <si>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</si>
  <si>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</si>
  <si>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</si>
  <si>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</si>
  <si>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</si>
  <si>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</si>
  <si>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</si>
  <si>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</si>
  <si>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</si>
  <si>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</si>
  <si>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</si>
  <si>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</si>
  <si>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</si>
  <si>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</si>
  <si>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</si>
  <si>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</si>
  <si>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</si>
  <si>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</si>
  <si>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</si>
  <si>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</si>
  <si>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</si>
  <si>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</si>
  <si>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</si>
  <si>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</si>
  <si>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</si>
  <si>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</si>
  <si>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</si>
  <si>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</si>
  <si>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</si>
  <si>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</si>
  <si>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</si>
  <si>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</si>
  <si>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</si>
  <si>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</si>
  <si>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</si>
  <si>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</si>
  <si>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</si>
  <si>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</si>
  <si>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</si>
  <si>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</si>
  <si>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</si>
  <si>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</si>
  <si>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</si>
  <si>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</si>
  <si>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</si>
  <si>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</si>
  <si>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</si>
  <si>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</si>
  <si>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</si>
  <si>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</si>
  <si>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</si>
  <si>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</si>
  <si>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</si>
  <si>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</si>
  <si>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</si>
  <si>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</si>
  <si>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</si>
  <si>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</si>
  <si>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</si>
  <si>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</si>
  <si>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</si>
  <si>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</si>
  <si>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</si>
  <si>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</si>
  <si>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</si>
  <si>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</si>
  <si>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</si>
  <si>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</si>
  <si>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</si>
  <si>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</si>
  <si>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</si>
  <si>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</si>
  <si>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</si>
  <si>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</si>
  <si>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</si>
  <si>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</si>
  <si>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</si>
  <si>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</si>
  <si>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</si>
  <si>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</si>
  <si>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</si>
  <si>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</si>
  <si>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</si>
  <si>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</si>
  <si>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</si>
  <si>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</si>
  <si>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</si>
  <si>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</si>
  <si>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</si>
  <si>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</si>
  <si>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</si>
  <si>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</si>
  <si>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</si>
  <si>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</si>
  <si>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</si>
  <si>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</si>
  <si>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</si>
  <si>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</si>
  <si>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</si>
  <si>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</si>
  <si>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</si>
  <si>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</si>
  <si>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</si>
  <si>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</si>
  <si>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</si>
  <si>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</si>
  <si>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</si>
  <si>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</si>
  <si>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</si>
  <si>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</si>
  <si>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</si>
  <si>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</si>
  <si>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</si>
  <si>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</si>
  <si>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</si>
  <si>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</si>
  <si>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</si>
  <si>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</si>
  <si>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</si>
  <si>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</si>
  <si>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</si>
  <si>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</si>
  <si>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</si>
  <si>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</si>
  <si>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</si>
  <si>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</si>
  <si>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</si>
  <si>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</si>
  <si>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</si>
  <si>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</si>
  <si>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</si>
  <si>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</si>
  <si>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</si>
  <si>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</si>
  <si>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</si>
  <si>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</si>
  <si>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</si>
  <si>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</si>
  <si>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</si>
  <si>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</si>
  <si>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</si>
  <si>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</si>
  <si>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</si>
  <si>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</si>
  <si>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</si>
  <si>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</si>
  <si>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</si>
  <si>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</si>
  <si>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</si>
  <si>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</si>
  <si>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</si>
  <si>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</si>
  <si>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</si>
  <si>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</si>
  <si>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</si>
  <si>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</si>
  <si>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</si>
  <si>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</si>
  <si>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</si>
  <si>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</si>
  <si>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</si>
  <si>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</si>
  <si>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</si>
  <si>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</si>
  <si>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</si>
  <si>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</si>
  <si>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</si>
  <si>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</si>
  <si>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</si>
  <si>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</si>
  <si>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</si>
  <si>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</si>
  <si>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</si>
  <si>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</si>
  <si>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</si>
  <si>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</si>
  <si>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</si>
  <si>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</si>
  <si>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</si>
  <si>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</si>
  <si>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</si>
  <si>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</si>
  <si>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</si>
  <si>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</si>
  <si>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</si>
  <si>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</si>
  <si>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</si>
  <si>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</si>
  <si>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</si>
  <si>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</si>
  <si>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</si>
  <si>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</si>
  <si>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</si>
  <si>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</si>
  <si>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</si>
  <si>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</si>
  <si>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</si>
  <si>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</si>
  <si>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</si>
  <si>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</si>
  <si>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</si>
  <si>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</si>
  <si>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</si>
  <si>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</si>
  <si>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</si>
  <si>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</si>
  <si>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</si>
  <si>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</si>
  <si>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</si>
  <si>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</si>
  <si>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</si>
  <si>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</si>
  <si>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</si>
  <si>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</si>
  <si>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</si>
  <si>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</si>
  <si>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</si>
  <si>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</si>
  <si>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</si>
  <si>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</si>
  <si>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</si>
  <si>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</si>
  <si>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</si>
  <si>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</si>
  <si>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</si>
  <si>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</si>
  <si>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</si>
  <si>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</si>
  <si>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</si>
  <si>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</si>
  <si>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</si>
  <si>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</si>
  <si>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</si>
  <si>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</si>
  <si>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</si>
  <si>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</si>
  <si>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</si>
  <si>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</si>
  <si>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</si>
  <si>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</si>
  <si>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</si>
  <si>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</si>
  <si>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</si>
  <si>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</si>
  <si>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</si>
  <si>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</si>
  <si>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</si>
  <si>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</si>
  <si>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</si>
  <si>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</si>
  <si>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</si>
  <si>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</si>
  <si>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</si>
  <si>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</si>
  <si>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</si>
  <si>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</si>
  <si>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</si>
  <si>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</si>
  <si>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</si>
  <si>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</si>
  <si>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</si>
  <si>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</si>
  <si>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</si>
  <si>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</si>
  <si>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</si>
  <si>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</si>
  <si>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</si>
  <si>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</si>
  <si>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</si>
  <si>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</si>
  <si>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</si>
  <si>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</si>
  <si>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</si>
  <si>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</si>
  <si>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</si>
  <si>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</si>
  <si>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</si>
  <si>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</si>
  <si>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</si>
  <si>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</si>
  <si>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</si>
  <si>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</si>
  <si>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</si>
  <si>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</si>
  <si>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</si>
  <si>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</si>
  <si>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</si>
  <si>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</si>
  <si>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</si>
  <si>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</si>
  <si>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</si>
  <si>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</si>
  <si>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</si>
  <si>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</si>
  <si>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</si>
  <si>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</si>
  <si>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</si>
  <si>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</si>
  <si>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</si>
  <si>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</si>
  <si>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</si>
  <si>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</si>
  <si>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</si>
  <si>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</si>
  <si>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</si>
  <si>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</si>
  <si>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</si>
  <si>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</si>
  <si>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</si>
  <si>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</si>
  <si>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</si>
  <si>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</si>
  <si>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</si>
  <si>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</si>
  <si>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</si>
  <si>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</si>
  <si>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</si>
  <si>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</si>
  <si>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</si>
  <si>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</si>
  <si>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</si>
  <si>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</si>
  <si>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</si>
  <si>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</si>
  <si>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</si>
  <si>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</si>
  <si>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</si>
  <si>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</si>
  <si>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</si>
  <si>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</si>
  <si>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</si>
  <si>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</si>
  <si>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</si>
  <si>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</si>
  <si>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</si>
  <si>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</si>
  <si>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</si>
  <si>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</si>
  <si>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</si>
  <si>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</si>
  <si>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</si>
  <si>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</si>
  <si>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</si>
  <si>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</si>
  <si>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</si>
  <si>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</si>
  <si>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</si>
  <si>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</si>
  <si>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</si>
  <si>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</si>
  <si>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</si>
  <si>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</si>
  <si>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</si>
  <si>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</si>
  <si>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</si>
  <si>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</si>
  <si>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</si>
  <si>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</si>
  <si>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</si>
  <si>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</si>
  <si>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</si>
  <si>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</si>
  <si>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</si>
  <si>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</si>
  <si>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</si>
  <si>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</si>
  <si>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</si>
  <si>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</si>
  <si>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</si>
  <si>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</si>
  <si>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</si>
  <si>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</si>
  <si>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</si>
  <si>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</si>
  <si>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</si>
  <si>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</si>
  <si>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</si>
  <si>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</si>
  <si>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</si>
  <si>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</si>
  <si>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</si>
  <si>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</si>
  <si>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</si>
  <si>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</si>
  <si>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</si>
  <si>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</si>
  <si>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</si>
  <si>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</si>
  <si>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</si>
  <si>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</si>
  <si>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</si>
  <si>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</si>
  <si>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</si>
  <si>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</si>
  <si>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</si>
  <si>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</si>
  <si>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</si>
  <si>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</si>
  <si>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</si>
  <si>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</si>
  <si>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</si>
  <si>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</si>
  <si>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</si>
  <si>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</si>
  <si>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</si>
  <si>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</si>
  <si>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</si>
  <si>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</si>
  <si>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</si>
  <si>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</si>
  <si>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</si>
  <si>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</si>
  <si>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</si>
  <si>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</si>
  <si>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</si>
  <si>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</si>
  <si>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</si>
  <si>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</si>
  <si>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</si>
  <si>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</si>
  <si>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</si>
  <si>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</si>
  <si>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</si>
  <si>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</si>
  <si>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</si>
  <si>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</si>
  <si>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</si>
  <si>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</si>
  <si>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</si>
  <si>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</si>
  <si>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</si>
  <si>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</si>
  <si>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</si>
  <si>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</si>
  <si>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</si>
  <si>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</si>
  <si>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</si>
  <si>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</si>
  <si>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</si>
  <si>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</si>
  <si>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</si>
  <si>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</si>
  <si>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</si>
  <si>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</si>
  <si>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</si>
  <si>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</si>
  <si>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</si>
  <si>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</si>
  <si>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</si>
  <si>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</si>
  <si>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</si>
  <si>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</si>
  <si>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</si>
  <si>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</si>
  <si>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</si>
  <si>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</si>
  <si>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</si>
  <si>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</si>
  <si>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</si>
  <si>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</si>
  <si>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</si>
  <si>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</si>
  <si>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</si>
  <si>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</si>
  <si>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</si>
  <si>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</si>
  <si>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</si>
  <si>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</si>
  <si>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</si>
  <si>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</si>
  <si>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</si>
  <si>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</si>
  <si>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</si>
  <si>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</si>
  <si>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</si>
  <si>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</si>
  <si>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</si>
  <si>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</si>
  <si>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</si>
  <si>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</si>
  <si>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</si>
  <si>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</si>
  <si>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</si>
  <si>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</si>
  <si>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</si>
  <si>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</si>
  <si>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</si>
  <si>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</si>
  <si>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</si>
  <si>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</si>
  <si>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</si>
  <si>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</si>
  <si>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</si>
  <si>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</si>
  <si>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</si>
  <si>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</si>
  <si>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</si>
  <si>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</si>
  <si>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</si>
  <si>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</si>
  <si>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</si>
  <si>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</si>
  <si>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</si>
  <si>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</si>
  <si>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</si>
  <si>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</si>
  <si>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</si>
  <si>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</si>
  <si>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</si>
  <si>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</si>
  <si>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</si>
  <si>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</si>
  <si>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</si>
  <si>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</si>
  <si>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</si>
  <si>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</si>
  <si>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</si>
  <si>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</si>
  <si>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</si>
  <si>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</si>
  <si>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</si>
  <si>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</si>
  <si>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</si>
  <si>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</si>
  <si>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</si>
  <si>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</si>
  <si>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</si>
  <si>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</si>
  <si>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</si>
  <si>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</si>
  <si>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</si>
  <si>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</si>
  <si>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</si>
  <si>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</si>
  <si>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</si>
  <si>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</si>
  <si>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</si>
  <si>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</si>
  <si>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</si>
  <si>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</si>
  <si>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</si>
  <si>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</si>
  <si>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</si>
  <si>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</si>
  <si>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</si>
  <si>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</si>
  <si>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</si>
  <si>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</si>
  <si>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</si>
  <si>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</si>
  <si>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</si>
  <si>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</si>
  <si>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</si>
  <si>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</si>
  <si>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</si>
  <si>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</si>
  <si>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</si>
  <si>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</si>
  <si>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</si>
  <si>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</si>
  <si>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</si>
  <si>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</si>
  <si>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</si>
  <si>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</si>
  <si>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</si>
  <si>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</si>
  <si>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</si>
  <si>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</si>
  <si>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</si>
  <si>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</si>
  <si>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</si>
  <si>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</si>
  <si>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</si>
  <si>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</si>
  <si>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</si>
  <si>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</si>
  <si>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</si>
  <si>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</si>
  <si>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</si>
  <si>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</si>
  <si>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</si>
  <si>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</si>
  <si>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</si>
  <si>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</si>
  <si>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</si>
  <si>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</si>
  <si>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</si>
  <si>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</si>
  <si>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</si>
  <si>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</si>
  <si>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</si>
  <si>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</si>
  <si>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</si>
  <si>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</si>
  <si>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</si>
  <si>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</si>
  <si>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</si>
  <si>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</si>
  <si>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</si>
  <si>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</si>
  <si>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</si>
  <si>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</si>
  <si>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</si>
  <si>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</si>
  <si>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</si>
  <si>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</si>
  <si>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</si>
  <si>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</si>
  <si>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</si>
  <si>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</si>
  <si>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</si>
  <si>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</si>
  <si>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</si>
  <si>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</si>
  <si>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</si>
  <si>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</si>
  <si>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</si>
  <si>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</si>
  <si>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</si>
  <si>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</si>
  <si>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</si>
  <si>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</si>
  <si>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</si>
  <si>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</si>
  <si>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</si>
  <si>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</si>
  <si>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</si>
  <si>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</si>
  <si>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</si>
  <si>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</si>
  <si>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</si>
  <si>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</si>
  <si>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</si>
  <si>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</si>
  <si>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</si>
  <si>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</si>
  <si>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</si>
  <si>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</si>
  <si>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</si>
  <si>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</si>
  <si>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</si>
  <si>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</si>
  <si>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</si>
  <si>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</si>
  <si>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</si>
  <si>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</si>
  <si>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</si>
  <si>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</si>
  <si>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</si>
  <si>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</si>
  <si>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</si>
  <si>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</si>
  <si>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</si>
  <si>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</si>
  <si>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</si>
  <si>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</si>
  <si>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</si>
  <si>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</si>
  <si>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</si>
  <si>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</si>
  <si>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</si>
  <si>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</si>
  <si>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</si>
  <si>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</si>
  <si>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</si>
  <si>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</si>
  <si>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</si>
  <si>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</si>
  <si>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</si>
  <si>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</si>
  <si>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</si>
  <si>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</si>
  <si>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</si>
  <si>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</si>
  <si>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</si>
  <si>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</si>
  <si>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</si>
  <si>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</si>
  <si>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</si>
  <si>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</si>
  <si>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</si>
  <si>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</si>
  <si>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</si>
  <si>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</si>
  <si>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</si>
  <si>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</si>
  <si>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</si>
  <si>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</si>
  <si>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</si>
  <si>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</si>
  <si>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</si>
  <si>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</si>
  <si>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</si>
  <si>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</si>
  <si>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</si>
  <si>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</si>
  <si>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</si>
  <si>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</si>
  <si>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</si>
  <si>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</si>
  <si>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</si>
  <si>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</si>
  <si>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</si>
  <si>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</si>
  <si>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</si>
  <si>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</si>
  <si>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</si>
  <si>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</si>
  <si>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</si>
  <si>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</si>
  <si>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</si>
  <si>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</si>
  <si>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</si>
  <si>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</si>
  <si>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</si>
  <si>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</si>
  <si>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</si>
  <si>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</si>
  <si>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</si>
  <si>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</si>
  <si>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</si>
  <si>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</si>
  <si>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</si>
  <si>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</si>
  <si>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</si>
  <si>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</si>
  <si>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</si>
  <si>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</si>
  <si>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</si>
  <si>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</si>
  <si>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</si>
  <si>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</si>
  <si>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</si>
  <si>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</si>
  <si>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</si>
  <si>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</si>
  <si>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</si>
  <si>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</si>
  <si>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</si>
  <si>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</si>
  <si>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</si>
  <si>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</si>
  <si>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</si>
  <si>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</si>
  <si>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</si>
  <si>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</si>
  <si>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</si>
  <si>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</si>
  <si>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</si>
  <si>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</si>
  <si>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</si>
  <si>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</si>
  <si>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</si>
  <si>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</si>
  <si>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</si>
  <si>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</si>
  <si>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</si>
  <si>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</si>
  <si>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</si>
  <si>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</si>
  <si>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</si>
  <si>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</si>
  <si>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</si>
  <si>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</si>
  <si>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</si>
  <si>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</si>
  <si>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</si>
  <si>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</si>
  <si>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</si>
  <si>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</si>
  <si>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</si>
  <si>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</si>
  <si>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</si>
  <si>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</si>
  <si>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</si>
  <si>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</si>
  <si>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</si>
  <si>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</si>
  <si>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</si>
  <si>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</si>
  <si>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</si>
  <si>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</si>
  <si>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</si>
  <si>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</si>
  <si>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</si>
  <si>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</si>
  <si>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</si>
  <si>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</si>
  <si>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</si>
  <si>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</si>
  <si>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</si>
  <si>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</si>
  <si>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</si>
  <si>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</si>
  <si>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</si>
  <si>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</si>
  <si>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</si>
  <si>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</si>
  <si>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</si>
  <si>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</si>
  <si>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</si>
  <si>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</si>
  <si>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</si>
  <si>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</si>
  <si>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</si>
  <si>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</si>
  <si>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</si>
  <si>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</si>
  <si>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</si>
  <si>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</si>
  <si>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</si>
  <si>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</si>
  <si>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</si>
  <si>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</si>
  <si>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</si>
  <si>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</si>
  <si>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</si>
  <si>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</si>
  <si>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</si>
  <si>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</si>
  <si>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</si>
  <si>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</si>
  <si>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</si>
  <si>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</si>
  <si>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</si>
  <si>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</si>
  <si>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</si>
  <si>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</si>
  <si>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</si>
  <si>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</si>
  <si>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</si>
  <si>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</si>
  <si>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</si>
  <si>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</si>
  <si>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</si>
  <si>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</si>
  <si>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</si>
  <si>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</si>
  <si>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</si>
  <si>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</si>
  <si>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</si>
  <si>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</si>
  <si>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</si>
  <si>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</si>
  <si>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</si>
  <si>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</si>
  <si>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</si>
  <si>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</si>
  <si>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</si>
  <si>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</si>
  <si>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</si>
  <si>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</si>
  <si>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</si>
  <si>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</si>
  <si>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</si>
  <si>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</si>
  <si>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</si>
  <si>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</si>
  <si>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</si>
  <si>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</si>
  <si>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</si>
  <si>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</si>
  <si>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</si>
  <si>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</si>
  <si>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</si>
  <si>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</si>
  <si>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</si>
  <si>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</si>
  <si>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</si>
  <si>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</si>
  <si>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</si>
  <si>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</si>
  <si>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</si>
  <si>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</si>
  <si>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</si>
  <si>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</si>
  <si>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</si>
  <si>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</si>
  <si>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</si>
  <si>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</si>
  <si>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</si>
  <si>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</si>
  <si>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</si>
  <si>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</si>
  <si>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</si>
  <si>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</si>
  <si>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</si>
  <si>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</si>
  <si>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</si>
  <si>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</si>
  <si>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</si>
  <si>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</si>
  <si>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</si>
  <si>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</si>
  <si>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</si>
  <si>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</si>
  <si>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</si>
  <si>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</si>
  <si>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</si>
  <si>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</si>
  <si>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</si>
  <si>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</si>
  <si>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</si>
  <si>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</si>
  <si>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</si>
  <si>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</si>
  <si>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</si>
  <si>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</si>
  <si>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</si>
  <si>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</si>
  <si>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</si>
  <si>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</si>
  <si>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</si>
  <si>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</si>
  <si>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</si>
  <si>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</si>
  <si>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</si>
  <si>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</si>
  <si>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</si>
  <si>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</si>
  <si>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</si>
  <si>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</si>
  <si>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</si>
  <si>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</si>
  <si>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</si>
  <si>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</si>
  <si>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</si>
  <si>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</si>
  <si>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</si>
  <si>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</si>
  <si>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</si>
  <si>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</si>
  <si>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</si>
  <si>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</si>
  <si>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</si>
  <si>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</si>
  <si>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</si>
  <si>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</si>
  <si>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</si>
  <si>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</si>
  <si>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</si>
  <si>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</si>
  <si>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</si>
  <si>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</si>
  <si>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</si>
  <si>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</si>
  <si>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</si>
  <si>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</si>
  <si>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</si>
  <si>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</si>
  <si>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</si>
  <si>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</si>
  <si>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</si>
  <si>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</si>
  <si>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</si>
  <si>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</si>
  <si>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</si>
  <si>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</si>
  <si>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</si>
  <si>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</si>
  <si>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</si>
  <si>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</si>
  <si>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</si>
  <si>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</si>
  <si>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</si>
  <si>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</si>
  <si>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</si>
  <si>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</si>
  <si>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</si>
  <si>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</si>
  <si>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</si>
  <si>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</si>
  <si>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</si>
  <si>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</si>
  <si>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</si>
  <si>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</si>
  <si>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</si>
  <si>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</si>
  <si>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</si>
  <si>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</si>
  <si>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</si>
  <si>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</si>
  <si>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</si>
  <si>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</si>
  <si>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</si>
  <si>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</si>
  <si>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</si>
  <si>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</si>
  <si>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</si>
  <si>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</si>
  <si>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</si>
  <si>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</si>
  <si>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</si>
  <si>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</si>
  <si>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</si>
  <si>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</si>
  <si>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</si>
  <si>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</si>
  <si>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</si>
  <si>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</si>
  <si>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</si>
  <si>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</si>
  <si>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</si>
  <si>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</si>
  <si>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</si>
  <si>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</si>
  <si>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</si>
  <si>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</si>
  <si>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</si>
  <si>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</si>
  <si>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</si>
  <si>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</si>
  <si>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</si>
  <si>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</si>
  <si>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</si>
  <si>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</si>
  <si>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</si>
  <si>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</si>
  <si>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</si>
  <si>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</si>
  <si>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</si>
  <si>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</si>
  <si>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</si>
  <si>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</si>
  <si>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</si>
  <si>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</si>
  <si>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</si>
  <si>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</si>
  <si>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</si>
  <si>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</si>
  <si>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</si>
  <si>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</si>
  <si>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</si>
  <si>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</si>
  <si>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</si>
  <si>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</si>
  <si>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</si>
  <si>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</si>
  <si>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</si>
  <si>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</si>
  <si>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</si>
  <si>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</si>
  <si>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</si>
  <si>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</si>
  <si>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</si>
  <si>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</si>
  <si>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</si>
  <si>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</si>
  <si>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</si>
  <si>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</si>
  <si>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</si>
  <si>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</si>
  <si>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</si>
  <si>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</si>
  <si>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</si>
  <si>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</si>
  <si>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</si>
  <si>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</si>
  <si>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</si>
  <si>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</si>
  <si>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</si>
  <si>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</si>
  <si>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</si>
  <si>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</si>
  <si>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</si>
  <si>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</si>
  <si>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</si>
  <si>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</si>
  <si>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</si>
  <si>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</si>
  <si>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</si>
  <si>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</si>
  <si>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</si>
  <si>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</si>
  <si>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</si>
  <si>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1层商业用房</t>
    <phoneticPr fontId="144" type="noConversion"/>
  </si>
  <si>
    <t>2层商业用房</t>
    <phoneticPr fontId="144" type="noConversion"/>
  </si>
  <si>
    <t>地上</t>
  </si>
  <si>
    <t>地上</t>
    <phoneticPr fontId="144" type="noConversion"/>
  </si>
  <si>
    <t>商业用房</t>
    <phoneticPr fontId="144" type="noConversion"/>
  </si>
  <si>
    <t>1层</t>
    <phoneticPr fontId="144" type="noConversion"/>
  </si>
  <si>
    <t>2层</t>
    <phoneticPr fontId="144" type="noConversion"/>
  </si>
  <si>
    <t>5、6层部分</t>
    <phoneticPr fontId="144" type="noConversion"/>
  </si>
  <si>
    <t>3-6层（5、6层部分）、7至26层</t>
    <phoneticPr fontId="144" type="noConversion"/>
  </si>
  <si>
    <t>酒店用房</t>
    <phoneticPr fontId="144" type="noConversion"/>
  </si>
  <si>
    <t>办公用房</t>
    <phoneticPr fontId="144" type="noConversion"/>
  </si>
  <si>
    <t>地下车库</t>
    <phoneticPr fontId="144" type="noConversion"/>
  </si>
  <si>
    <t>-3至-4层</t>
    <phoneticPr fontId="144" type="noConversion"/>
  </si>
  <si>
    <t>-1至-2层</t>
    <phoneticPr fontId="144" type="noConversion"/>
  </si>
  <si>
    <t>库房</t>
    <phoneticPr fontId="144" type="noConversion"/>
  </si>
  <si>
    <t>地下</t>
  </si>
  <si>
    <t>地下</t>
    <phoneticPr fontId="144" type="noConversion"/>
  </si>
  <si>
    <t>面积表</t>
    <phoneticPr fontId="144" type="noConversion"/>
  </si>
  <si>
    <t>合计</t>
    <phoneticPr fontId="144" type="noConversion"/>
  </si>
  <si>
    <t>分摊土地面积</t>
    <phoneticPr fontId="144" type="noConversion"/>
  </si>
  <si>
    <t>房地产抵押价值</t>
  </si>
  <si>
    <t>北京市</t>
  </si>
  <si>
    <t>企业</t>
  </si>
  <si>
    <t>出让</t>
  </si>
  <si>
    <t>是</t>
  </si>
  <si>
    <t>商业项目</t>
  </si>
  <si>
    <t>无</t>
  </si>
  <si>
    <t>否</t>
  </si>
  <si>
    <t>现房</t>
  </si>
  <si>
    <t>通电</t>
  </si>
  <si>
    <t>通路</t>
  </si>
  <si>
    <t>通讯</t>
  </si>
  <si>
    <t>通上水</t>
  </si>
  <si>
    <t>通下水</t>
  </si>
  <si>
    <t>通热</t>
  </si>
  <si>
    <t>燃气</t>
  </si>
  <si>
    <t>酒店</t>
  </si>
  <si>
    <t>车库</t>
  </si>
  <si>
    <t>底商</t>
  </si>
  <si>
    <t>办公楼</t>
  </si>
  <si>
    <t>仓储</t>
  </si>
  <si>
    <t>戊类库房</t>
  </si>
  <si>
    <t>车库—商业</t>
  </si>
  <si>
    <t>商业</t>
    <phoneticPr fontId="8" type="noConversion"/>
  </si>
  <si>
    <t>办公</t>
    <phoneticPr fontId="8" type="noConversion"/>
  </si>
  <si>
    <t>酒店</t>
    <phoneticPr fontId="8" type="noConversion"/>
  </si>
  <si>
    <t>车库</t>
    <phoneticPr fontId="8" type="noConversion"/>
  </si>
  <si>
    <t>库房</t>
    <phoneticPr fontId="8" type="noConversion"/>
  </si>
  <si>
    <t>成新度</t>
  </si>
  <si>
    <t>收益法-商业</t>
    <phoneticPr fontId="17" type="noConversion"/>
  </si>
  <si>
    <t>收益法-车库</t>
    <phoneticPr fontId="17" type="noConversion"/>
  </si>
  <si>
    <t>收益法-库房</t>
    <phoneticPr fontId="17" type="noConversion"/>
  </si>
  <si>
    <t>收益法-办公</t>
    <phoneticPr fontId="17" type="noConversion"/>
  </si>
  <si>
    <t>成本法-商业</t>
    <phoneticPr fontId="17" type="noConversion"/>
  </si>
  <si>
    <t>成本法-库房</t>
    <phoneticPr fontId="17" type="noConversion"/>
  </si>
  <si>
    <t>成本法-车库</t>
    <phoneticPr fontId="17" type="noConversion"/>
  </si>
  <si>
    <t>酒店收入</t>
    <phoneticPr fontId="144" type="noConversion"/>
  </si>
  <si>
    <t>成本</t>
    <phoneticPr fontId="144" type="noConversion"/>
  </si>
  <si>
    <t>成本占比</t>
    <phoneticPr fontId="144" type="noConversion"/>
  </si>
  <si>
    <t>其他</t>
    <phoneticPr fontId="144" type="noConversion"/>
  </si>
  <si>
    <t>全部</t>
    <phoneticPr fontId="144" type="noConversion"/>
  </si>
  <si>
    <t>其他占比</t>
    <phoneticPr fontId="144" type="noConversion"/>
  </si>
  <si>
    <t>住宿</t>
    <phoneticPr fontId="144" type="noConversion"/>
  </si>
  <si>
    <t>营业成本占比</t>
    <phoneticPr fontId="144" type="noConversion"/>
  </si>
  <si>
    <t>北区一层、二层101、102、103、105、232、233</t>
  </si>
  <si>
    <t>北京科莫湖进出口贸易有限公司</t>
  </si>
  <si>
    <t>2015.12-2017.6</t>
  </si>
  <si>
    <t>北区一、二、三层110、110(跃)</t>
  </si>
  <si>
    <t>交通银行股份有限公司北京市分行</t>
  </si>
  <si>
    <t>北区一、二层111.211号</t>
  </si>
  <si>
    <t>中国工商银行股份有限公司北京九龙山支行</t>
  </si>
  <si>
    <t>北区一层107\108二层201\202\203\205\206</t>
  </si>
  <si>
    <t>上海浦东发展银行股份有限公司北京分行</t>
  </si>
  <si>
    <t>北区地下一层商铺及首层入口102-1</t>
  </si>
  <si>
    <t>北京富力家园麦乐迪娱乐有限公司</t>
  </si>
  <si>
    <t>北区地下一层商铺及首层入口102-2</t>
  </si>
  <si>
    <t>北京双井好时乐餐饮有限公司</t>
  </si>
  <si>
    <t>房号</t>
  </si>
  <si>
    <t>租户名称</t>
  </si>
  <si>
    <t>物业性质</t>
  </si>
  <si>
    <t>始租赁期</t>
  </si>
  <si>
    <t xml:space="preserve">止租赁期 </t>
  </si>
  <si>
    <t>租赁面积</t>
  </si>
  <si>
    <t>每月租金</t>
  </si>
  <si>
    <t>月租金单价</t>
  </si>
  <si>
    <t>已收租赁按金</t>
  </si>
  <si>
    <t>本月初应收租金</t>
  </si>
  <si>
    <t>本月实收租金情况</t>
  </si>
  <si>
    <t>本年实收租金</t>
  </si>
  <si>
    <t>本月末应收租金</t>
  </si>
  <si>
    <t>备  注</t>
  </si>
  <si>
    <t>前期欠租</t>
  </si>
  <si>
    <t>租属本月</t>
  </si>
  <si>
    <t>抵减项:前期预收</t>
  </si>
  <si>
    <t>租属本月前</t>
  </si>
  <si>
    <t>租属本月租金</t>
  </si>
  <si>
    <t>预收租金</t>
  </si>
  <si>
    <t>本月实收</t>
  </si>
  <si>
    <t>累计欠租</t>
  </si>
  <si>
    <t>累计预收租</t>
  </si>
  <si>
    <t>小计（本月初应收-本月实收）</t>
  </si>
  <si>
    <t>12月收入</t>
    <phoneticPr fontId="4" type="noConversion"/>
  </si>
  <si>
    <t>核减</t>
    <phoneticPr fontId="4" type="noConversion"/>
  </si>
  <si>
    <t>12月新增</t>
    <phoneticPr fontId="4" type="noConversion"/>
  </si>
  <si>
    <t>12月实收</t>
    <phoneticPr fontId="4" type="noConversion"/>
  </si>
  <si>
    <t>建面</t>
    <phoneticPr fontId="144" type="noConversion"/>
  </si>
  <si>
    <t>剩余租期</t>
    <phoneticPr fontId="144" type="noConversion"/>
  </si>
  <si>
    <t>批发零售用地</t>
  </si>
  <si>
    <t>不临58条商业街</t>
  </si>
  <si>
    <t>地价指数</t>
  </si>
  <si>
    <t>容积率修正</t>
  </si>
  <si>
    <t>较好</t>
  </si>
  <si>
    <t>好</t>
  </si>
  <si>
    <t>商务金融用地（办公类）</t>
  </si>
  <si>
    <t>未包含在土地购买价格中</t>
  </si>
  <si>
    <t>全部缴纳</t>
  </si>
  <si>
    <t>已包含在土地取得成本中</t>
  </si>
  <si>
    <t>按租金收入计税</t>
  </si>
  <si>
    <t>押一</t>
  </si>
  <si>
    <t>自定义</t>
  </si>
  <si>
    <t>钢混</t>
  </si>
  <si>
    <t>非生产用房</t>
  </si>
  <si>
    <t>收益法-商业</t>
  </si>
  <si>
    <t>收益法-办公</t>
  </si>
  <si>
    <t>收益法-酒店</t>
  </si>
  <si>
    <t>收益法-酒店</t>
    <phoneticPr fontId="17" type="noConversion"/>
  </si>
  <si>
    <t>收益法-车库</t>
  </si>
  <si>
    <t>收益法-库房</t>
  </si>
  <si>
    <t>库房</t>
  </si>
  <si>
    <t>收益法（汇总）</t>
  </si>
  <si>
    <t>成本法</t>
  </si>
  <si>
    <t>五通一平</t>
  </si>
  <si>
    <t>缺少</t>
  </si>
  <si>
    <t>郑燚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</si>
  <si>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</si>
  <si>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</si>
  <si>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</si>
  <si>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</si>
  <si>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</si>
  <si>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</si>
  <si>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</si>
  <si>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</si>
  <si>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</si>
  <si>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</si>
  <si>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</si>
  <si>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</si>
  <si>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</si>
  <si>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北京市朝阳区化工路甲1号(焦化厂保障房项目)1304-791、794地块F3其他类多功能用地</t>
  </si>
  <si>
    <t>商业/办公用地</t>
  </si>
  <si>
    <t>挂牌</t>
  </si>
  <si>
    <t>2018-06-28</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</si>
  <si>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</si>
  <si>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</si>
  <si>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</si>
  <si>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</si>
  <si>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</si>
  <si>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</si>
  <si>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</si>
  <si>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</si>
  <si>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</si>
  <si>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</si>
  <si>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</si>
  <si>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</si>
  <si>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</si>
  <si>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</si>
  <si>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</si>
  <si>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正常</t>
  </si>
  <si>
    <t>限制自持</t>
    <phoneticPr fontId="32" type="noConversion"/>
  </si>
  <si>
    <t>否</t>
    <phoneticPr fontId="32" type="noConversion"/>
  </si>
  <si>
    <t>是</t>
    <phoneticPr fontId="32" type="noConversion"/>
  </si>
  <si>
    <t>是</t>
    <phoneticPr fontId="32" type="noConversion"/>
  </si>
  <si>
    <t>商业</t>
    <phoneticPr fontId="32" type="noConversion"/>
  </si>
  <si>
    <t>快速</t>
  </si>
  <si>
    <t>快速</t>
    <phoneticPr fontId="32" type="noConversion"/>
  </si>
  <si>
    <t>主干道</t>
    <phoneticPr fontId="32" type="noConversion"/>
  </si>
  <si>
    <t>次干道</t>
    <phoneticPr fontId="32" type="noConversion"/>
  </si>
  <si>
    <t>支路</t>
  </si>
  <si>
    <t>支路</t>
    <phoneticPr fontId="32" type="noConversion"/>
  </si>
  <si>
    <t>六通</t>
  </si>
  <si>
    <t>较差</t>
  </si>
  <si>
    <t>一般</t>
  </si>
  <si>
    <t>双面临街</t>
  </si>
  <si>
    <t>多面临街</t>
  </si>
  <si>
    <r>
      <rPr>
        <sz val="11"/>
        <rFont val="宋体"/>
        <family val="3"/>
        <charset val="134"/>
      </rPr>
      <t>估价对象名称</t>
    </r>
    <phoneticPr fontId="4" type="noConversion"/>
  </si>
  <si>
    <r>
      <rPr>
        <sz val="11"/>
        <rFont val="宋体"/>
        <family val="3"/>
        <charset val="134"/>
      </rPr>
      <t>项目位置</t>
    </r>
    <phoneticPr fontId="4" type="noConversion"/>
  </si>
  <si>
    <t>北京富力城房地产开发有限公司</t>
    <phoneticPr fontId="7" type="noConversion"/>
  </si>
  <si>
    <t>北京农村商业银行股份有限公司天通苑支行</t>
    <phoneticPr fontId="7" type="noConversion"/>
  </si>
  <si>
    <t>抵押</t>
  </si>
  <si>
    <t>朝阳区东三环中路61号楼“富力万丽酒店”酒店、商业、地下车库、地下仓储用房</t>
    <phoneticPr fontId="7" type="noConversion"/>
  </si>
  <si>
    <t>商业、酒店、办公、地下车库、仓储</t>
    <phoneticPr fontId="7" type="noConversion"/>
  </si>
  <si>
    <r>
      <rPr>
        <sz val="12"/>
        <rFont val="宋体"/>
        <family val="3"/>
        <charset val="134"/>
      </rPr>
      <t>商业、酒店</t>
    </r>
    <r>
      <rPr>
        <sz val="12"/>
        <rFont val="Arial"/>
        <family val="2"/>
      </rPr>
      <t>23.7</t>
    </r>
    <r>
      <rPr>
        <sz val="12"/>
        <rFont val="宋体"/>
        <family val="3"/>
        <charset val="134"/>
      </rPr>
      <t>、办公、地下车库、仓储</t>
    </r>
    <r>
      <rPr>
        <sz val="12"/>
        <rFont val="Arial"/>
        <family val="2"/>
      </rPr>
      <t>33.7</t>
    </r>
    <phoneticPr fontId="7" type="noConversion"/>
  </si>
  <si>
    <t>复印件</t>
  </si>
  <si>
    <t>一级</t>
    <phoneticPr fontId="32" type="noConversion"/>
  </si>
  <si>
    <t>二级</t>
    <phoneticPr fontId="32" type="noConversion"/>
  </si>
  <si>
    <t>三级</t>
    <phoneticPr fontId="32" type="noConversion"/>
  </si>
  <si>
    <t>四级</t>
    <phoneticPr fontId="32" type="noConversion"/>
  </si>
  <si>
    <t>五级</t>
    <phoneticPr fontId="32" type="noConversion"/>
  </si>
  <si>
    <t>六级</t>
    <phoneticPr fontId="32" type="noConversion"/>
  </si>
  <si>
    <t>七通</t>
  </si>
  <si>
    <t>七通</t>
    <phoneticPr fontId="32" type="noConversion"/>
  </si>
  <si>
    <t>六通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</si>
  <si>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</si>
  <si>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</si>
  <si>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</si>
  <si>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</si>
  <si>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</si>
  <si>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良好</t>
  </si>
  <si>
    <t>良好</t>
    <phoneticPr fontId="32" type="noConversion"/>
  </si>
  <si>
    <t>一般</t>
    <phoneticPr fontId="32" type="noConversion"/>
  </si>
  <si>
    <t>商业/办公用地</t>
    <phoneticPr fontId="144" type="noConversion"/>
  </si>
  <si>
    <t>是</t>
    <phoneticPr fontId="32" type="noConversion"/>
  </si>
  <si>
    <t>七级</t>
    <phoneticPr fontId="32" type="noConversion"/>
  </si>
  <si>
    <t>成熟区域，成熟度好</t>
    <phoneticPr fontId="26" type="noConversion"/>
  </si>
  <si>
    <t>好</t>
    <phoneticPr fontId="26" type="noConversion"/>
  </si>
  <si>
    <t>好</t>
    <phoneticPr fontId="26" type="noConversion"/>
  </si>
  <si>
    <t>好</t>
    <phoneticPr fontId="26" type="noConversion"/>
  </si>
  <si>
    <t>七通</t>
    <phoneticPr fontId="26" type="noConversion"/>
  </si>
  <si>
    <t>好</t>
    <phoneticPr fontId="26" type="noConversion"/>
  </si>
  <si>
    <t>快速路</t>
    <phoneticPr fontId="26" type="noConversion"/>
  </si>
  <si>
    <t>较一致</t>
    <phoneticPr fontId="26" type="noConversion"/>
  </si>
  <si>
    <t>待开发区域</t>
    <phoneticPr fontId="32" type="noConversion"/>
  </si>
  <si>
    <r>
      <rPr>
        <b/>
        <sz val="11"/>
        <rFont val="宋体"/>
        <family val="3"/>
        <charset val="134"/>
      </rPr>
      <t>估价对象商业用地的比较价值（楼面单价，元</t>
    </r>
    <r>
      <rPr>
        <b/>
        <sz val="11"/>
        <rFont val="Arial"/>
        <family val="2"/>
      </rPr>
      <t>/</t>
    </r>
    <r>
      <rPr>
        <b/>
        <sz val="11"/>
        <rFont val="宋体"/>
        <family val="3"/>
        <charset val="134"/>
      </rPr>
      <t>平方米）</t>
    </r>
    <phoneticPr fontId="4" type="noConversion"/>
  </si>
  <si>
    <t>房号清单</t>
    <phoneticPr fontId="144" type="noConversion"/>
  </si>
  <si>
    <t>序号</t>
    <phoneticPr fontId="144" type="noConversion"/>
  </si>
  <si>
    <t>部位</t>
    <phoneticPr fontId="144" type="noConversion"/>
  </si>
  <si>
    <t>04层不分摊部位</t>
    <phoneticPr fontId="144" type="noConversion"/>
  </si>
  <si>
    <t>-04层不分摊部位</t>
    <phoneticPr fontId="144" type="noConversion"/>
  </si>
  <si>
    <t>建筑面积</t>
    <phoneticPr fontId="144" type="noConversion"/>
  </si>
  <si>
    <t>所在楼层</t>
    <phoneticPr fontId="144" type="noConversion"/>
  </si>
  <si>
    <t>-4</t>
    <phoneticPr fontId="144" type="noConversion"/>
  </si>
  <si>
    <t>规划用途</t>
    <phoneticPr fontId="144" type="noConversion"/>
  </si>
  <si>
    <t>-401</t>
    <phoneticPr fontId="144" type="noConversion"/>
  </si>
  <si>
    <t>车库</t>
    <phoneticPr fontId="144" type="noConversion"/>
  </si>
  <si>
    <t>-301</t>
    <phoneticPr fontId="144" type="noConversion"/>
  </si>
  <si>
    <t>车库</t>
    <phoneticPr fontId="144" type="noConversion"/>
  </si>
  <si>
    <t>-3</t>
    <phoneticPr fontId="144" type="noConversion"/>
  </si>
  <si>
    <t>-2</t>
  </si>
  <si>
    <t>-2</t>
    <phoneticPr fontId="144" type="noConversion"/>
  </si>
  <si>
    <t>-201</t>
    <phoneticPr fontId="144" type="noConversion"/>
  </si>
  <si>
    <t>-202</t>
    <phoneticPr fontId="144" type="noConversion"/>
  </si>
  <si>
    <t>-203</t>
    <phoneticPr fontId="144" type="noConversion"/>
  </si>
  <si>
    <t>-204</t>
    <phoneticPr fontId="144" type="noConversion"/>
  </si>
  <si>
    <t>库房</t>
    <phoneticPr fontId="144" type="noConversion"/>
  </si>
  <si>
    <t>-205</t>
    <phoneticPr fontId="144" type="noConversion"/>
  </si>
  <si>
    <t>-206</t>
  </si>
  <si>
    <t>-207</t>
  </si>
  <si>
    <t>-208</t>
  </si>
  <si>
    <t>-209</t>
  </si>
  <si>
    <t>-210</t>
  </si>
  <si>
    <t>-211</t>
  </si>
  <si>
    <t>-212</t>
    <phoneticPr fontId="144" type="noConversion"/>
  </si>
  <si>
    <t>管理用房</t>
    <phoneticPr fontId="144" type="noConversion"/>
  </si>
  <si>
    <t>-213</t>
    <phoneticPr fontId="144" type="noConversion"/>
  </si>
  <si>
    <t>车库</t>
    <phoneticPr fontId="144" type="noConversion"/>
  </si>
  <si>
    <t>-02层不分摊部位</t>
    <phoneticPr fontId="144" type="noConversion"/>
  </si>
  <si>
    <t>-1</t>
  </si>
  <si>
    <t>-1</t>
    <phoneticPr fontId="144" type="noConversion"/>
  </si>
  <si>
    <t>-101</t>
    <phoneticPr fontId="144" type="noConversion"/>
  </si>
  <si>
    <t>-102</t>
    <phoneticPr fontId="144" type="noConversion"/>
  </si>
  <si>
    <t>-103</t>
  </si>
  <si>
    <t>-104</t>
  </si>
  <si>
    <t>自行车库</t>
    <phoneticPr fontId="144" type="noConversion"/>
  </si>
  <si>
    <t>-1</t>
    <phoneticPr fontId="144" type="noConversion"/>
  </si>
  <si>
    <t>-01层不分摊部位</t>
    <phoneticPr fontId="144" type="noConversion"/>
  </si>
  <si>
    <t>101</t>
    <phoneticPr fontId="144" type="noConversion"/>
  </si>
  <si>
    <t>102</t>
    <phoneticPr fontId="144" type="noConversion"/>
  </si>
  <si>
    <t>103</t>
    <phoneticPr fontId="144" type="noConversion"/>
  </si>
  <si>
    <t>109</t>
    <phoneticPr fontId="144" type="noConversion"/>
  </si>
  <si>
    <t>110</t>
    <phoneticPr fontId="144" type="noConversion"/>
  </si>
  <si>
    <t>111</t>
    <phoneticPr fontId="144" type="noConversion"/>
  </si>
  <si>
    <t>商业用房</t>
    <phoneticPr fontId="144" type="noConversion"/>
  </si>
  <si>
    <t>酒店</t>
    <phoneticPr fontId="144" type="noConversion"/>
  </si>
  <si>
    <t>1</t>
  </si>
  <si>
    <t>1</t>
    <phoneticPr fontId="144" type="noConversion"/>
  </si>
  <si>
    <t>1</t>
    <phoneticPr fontId="144" type="noConversion"/>
  </si>
  <si>
    <t>01层不分摊部位</t>
    <phoneticPr fontId="144" type="noConversion"/>
  </si>
  <si>
    <t>201</t>
    <phoneticPr fontId="144" type="noConversion"/>
  </si>
  <si>
    <t>2</t>
    <phoneticPr fontId="144" type="noConversion"/>
  </si>
  <si>
    <t>2</t>
    <phoneticPr fontId="144" type="noConversion"/>
  </si>
  <si>
    <t>02层不分摊部位</t>
    <phoneticPr fontId="144" type="noConversion"/>
  </si>
  <si>
    <t>03层不分摊部位</t>
    <phoneticPr fontId="144" type="noConversion"/>
  </si>
  <si>
    <t>301</t>
    <phoneticPr fontId="144" type="noConversion"/>
  </si>
  <si>
    <t>3</t>
    <phoneticPr fontId="144" type="noConversion"/>
  </si>
  <si>
    <t>3</t>
    <phoneticPr fontId="144" type="noConversion"/>
  </si>
  <si>
    <t>401</t>
    <phoneticPr fontId="144" type="noConversion"/>
  </si>
  <si>
    <t>4</t>
    <phoneticPr fontId="144" type="noConversion"/>
  </si>
  <si>
    <t>05层不分摊部位</t>
    <phoneticPr fontId="144" type="noConversion"/>
  </si>
  <si>
    <t>5</t>
    <phoneticPr fontId="144" type="noConversion"/>
  </si>
  <si>
    <t>501</t>
    <phoneticPr fontId="144" type="noConversion"/>
  </si>
  <si>
    <t>办公用房</t>
    <phoneticPr fontId="144" type="noConversion"/>
  </si>
  <si>
    <t>5</t>
    <phoneticPr fontId="144" type="noConversion"/>
  </si>
  <si>
    <t>502</t>
    <phoneticPr fontId="144" type="noConversion"/>
  </si>
  <si>
    <t>06层不分摊部位</t>
    <phoneticPr fontId="144" type="noConversion"/>
  </si>
  <si>
    <t>6</t>
    <phoneticPr fontId="144" type="noConversion"/>
  </si>
  <si>
    <t>601</t>
    <phoneticPr fontId="144" type="noConversion"/>
  </si>
  <si>
    <t>602</t>
    <phoneticPr fontId="144" type="noConversion"/>
  </si>
  <si>
    <t>6</t>
    <phoneticPr fontId="144" type="noConversion"/>
  </si>
  <si>
    <t>701</t>
    <phoneticPr fontId="144" type="noConversion"/>
  </si>
  <si>
    <t>801</t>
    <phoneticPr fontId="144" type="noConversion"/>
  </si>
  <si>
    <t>901</t>
    <phoneticPr fontId="144" type="noConversion"/>
  </si>
  <si>
    <t>1001</t>
    <phoneticPr fontId="144" type="noConversion"/>
  </si>
  <si>
    <t>1101</t>
    <phoneticPr fontId="144" type="noConversion"/>
  </si>
  <si>
    <t>1201</t>
    <phoneticPr fontId="144" type="noConversion"/>
  </si>
  <si>
    <t>1401</t>
    <phoneticPr fontId="144" type="noConversion"/>
  </si>
  <si>
    <t>1501</t>
    <phoneticPr fontId="144" type="noConversion"/>
  </si>
  <si>
    <t>1601</t>
    <phoneticPr fontId="144" type="noConversion"/>
  </si>
  <si>
    <t>1701</t>
    <phoneticPr fontId="144" type="noConversion"/>
  </si>
  <si>
    <t>1801</t>
    <phoneticPr fontId="144" type="noConversion"/>
  </si>
  <si>
    <t>1901</t>
    <phoneticPr fontId="144" type="noConversion"/>
  </si>
  <si>
    <t>2001</t>
    <phoneticPr fontId="144" type="noConversion"/>
  </si>
  <si>
    <t>2101</t>
    <phoneticPr fontId="144" type="noConversion"/>
  </si>
  <si>
    <t>2201</t>
    <phoneticPr fontId="144" type="noConversion"/>
  </si>
  <si>
    <t>2301</t>
    <phoneticPr fontId="144" type="noConversion"/>
  </si>
  <si>
    <t>2401</t>
    <phoneticPr fontId="144" type="noConversion"/>
  </si>
  <si>
    <t>2501</t>
    <phoneticPr fontId="144" type="noConversion"/>
  </si>
  <si>
    <t>2601</t>
    <phoneticPr fontId="144" type="noConversion"/>
  </si>
  <si>
    <t>2701</t>
    <phoneticPr fontId="144" type="noConversion"/>
  </si>
  <si>
    <t>7</t>
    <phoneticPr fontId="144" type="noConversion"/>
  </si>
  <si>
    <t>8</t>
    <phoneticPr fontId="144" type="noConversion"/>
  </si>
  <si>
    <t>9</t>
    <phoneticPr fontId="144" type="noConversion"/>
  </si>
  <si>
    <t>10</t>
    <phoneticPr fontId="144" type="noConversion"/>
  </si>
  <si>
    <t>11</t>
    <phoneticPr fontId="144" type="noConversion"/>
  </si>
  <si>
    <t>12</t>
    <phoneticPr fontId="144" type="noConversion"/>
  </si>
  <si>
    <t>14</t>
  </si>
  <si>
    <t>15</t>
  </si>
  <si>
    <t>16</t>
  </si>
  <si>
    <t>17</t>
  </si>
  <si>
    <t>18</t>
  </si>
  <si>
    <t>19</t>
  </si>
  <si>
    <t>20</t>
  </si>
  <si>
    <t>21</t>
  </si>
  <si>
    <t>22</t>
  </si>
  <si>
    <t>23</t>
  </si>
  <si>
    <t>24</t>
  </si>
  <si>
    <t>25</t>
  </si>
  <si>
    <t>26</t>
  </si>
  <si>
    <t>13</t>
    <phoneticPr fontId="144" type="noConversion"/>
  </si>
  <si>
    <t>用途</t>
    <phoneticPr fontId="144" type="noConversion"/>
  </si>
  <si>
    <t>商业</t>
    <phoneticPr fontId="144" type="noConversion"/>
  </si>
  <si>
    <t>办公</t>
    <phoneticPr fontId="144" type="noConversion"/>
  </si>
  <si>
    <t>地下仓储</t>
    <phoneticPr fontId="144" type="noConversion"/>
  </si>
  <si>
    <t>设备等</t>
    <phoneticPr fontId="144" type="noConversion"/>
  </si>
  <si>
    <t>地下建筑面积</t>
    <phoneticPr fontId="144" type="noConversion"/>
  </si>
  <si>
    <t>地上建筑面积</t>
    <phoneticPr fontId="144" type="noConversion"/>
  </si>
  <si>
    <t>1层商业</t>
    <phoneticPr fontId="144" type="noConversion"/>
  </si>
  <si>
    <t>2层商业</t>
    <phoneticPr fontId="144" type="noConversion"/>
  </si>
  <si>
    <t>合计</t>
    <phoneticPr fontId="144" type="noConversion"/>
  </si>
  <si>
    <t>可经营性</t>
    <phoneticPr fontId="144" type="noConversion"/>
  </si>
  <si>
    <t>1-2</t>
    <phoneticPr fontId="144" type="noConversion"/>
  </si>
  <si>
    <t>5-6</t>
    <phoneticPr fontId="144" type="noConversion"/>
  </si>
  <si>
    <t>1、3-26（5-6部分）</t>
    <phoneticPr fontId="144" type="noConversion"/>
  </si>
  <si>
    <t>-4至-2</t>
    <phoneticPr fontId="144" type="noConversion"/>
  </si>
  <si>
    <t>-2至-1</t>
    <phoneticPr fontId="144" type="noConversion"/>
  </si>
  <si>
    <t>容积率</t>
    <phoneticPr fontId="144" type="noConversion"/>
  </si>
  <si>
    <t>抵押物清单</t>
    <phoneticPr fontId="144" type="noConversion"/>
  </si>
  <si>
    <t>三环</t>
    <phoneticPr fontId="32" type="noConversion"/>
  </si>
  <si>
    <t>支路</t>
    <phoneticPr fontId="32" type="noConversion"/>
  </si>
  <si>
    <t>支路</t>
    <phoneticPr fontId="32" type="noConversion"/>
  </si>
  <si>
    <t>支路</t>
    <phoneticPr fontId="32" type="noConversion"/>
  </si>
  <si>
    <t>北京市海淀区迈格森教育培训学校</t>
  </si>
  <si>
    <t>2015.7.1-2016.6.30；2016.7.1-2017.6.30；2017.7.1-2018.6.30</t>
    <phoneticPr fontId="4" type="noConversion"/>
  </si>
  <si>
    <t>交通银行股份有限公司北京市分行</t>
    <phoneticPr fontId="4" type="noConversion"/>
  </si>
  <si>
    <t>2009.07.06-2017.07.05；2017.7.6-2022.7.5</t>
    <phoneticPr fontId="4" type="noConversion"/>
  </si>
  <si>
    <t>中国工商银行股份有限公司北京九龙山支行</t>
    <phoneticPr fontId="4" type="noConversion"/>
  </si>
  <si>
    <t>2014.8.1-2024.7.31</t>
  </si>
  <si>
    <t>2010.07.10-2015.10.07；2015.10.08-2017.10.7</t>
  </si>
  <si>
    <t>2008.05.10-2023.05.09</t>
  </si>
  <si>
    <t>按商业运营中心调整日期（无李生签字）</t>
  </si>
  <si>
    <t>面积</t>
  </si>
  <si>
    <t>平均单价</t>
  </si>
  <si>
    <t>提成</t>
  </si>
  <si>
    <t>提成日期</t>
  </si>
  <si>
    <t>当年单价</t>
  </si>
  <si>
    <t>押金</t>
  </si>
  <si>
    <t>2028年</t>
  </si>
  <si>
    <t>租金合计</t>
  </si>
  <si>
    <t>物业押金</t>
  </si>
  <si>
    <t>首期物业费</t>
  </si>
  <si>
    <t>原租金合计</t>
  </si>
  <si>
    <r>
      <t>(元/天/</t>
    </r>
    <r>
      <rPr>
        <sz val="9"/>
        <color theme="1"/>
        <rFont val="宋体"/>
        <family val="3"/>
        <charset val="134"/>
      </rPr>
      <t>㎡</t>
    </r>
    <r>
      <rPr>
        <sz val="9"/>
        <color theme="1"/>
        <rFont val="华文新魏"/>
        <family val="3"/>
        <charset val="134"/>
      </rPr>
      <t>)</t>
    </r>
  </si>
  <si>
    <t>元/月</t>
  </si>
  <si>
    <t>商铺号</t>
  </si>
  <si>
    <t>商铺名称</t>
  </si>
  <si>
    <t>贴花金额</t>
  </si>
  <si>
    <t>租赁期限</t>
  </si>
  <si>
    <t>平均租金</t>
  </si>
  <si>
    <r>
      <t>(</t>
    </r>
    <r>
      <rPr>
        <sz val="9"/>
        <color theme="1"/>
        <rFont val="宋体"/>
        <family val="3"/>
        <charset val="134"/>
      </rPr>
      <t>㎡</t>
    </r>
    <r>
      <rPr>
        <sz val="9"/>
        <color theme="1"/>
        <rFont val="华文新魏"/>
        <family val="3"/>
        <charset val="134"/>
      </rPr>
      <t>)</t>
    </r>
  </si>
  <si>
    <t>按房产原值计税</t>
  </si>
  <si>
    <t>行政大套房</t>
    <phoneticPr fontId="4" type="noConversion"/>
  </si>
  <si>
    <t>普通大床、双床房</t>
    <phoneticPr fontId="4" type="noConversion"/>
  </si>
  <si>
    <t>《国有土地使用证》[京朝国用（2011出）第00422号]、《分摊土地报告》</t>
    <phoneticPr fontId="7" type="noConversion"/>
  </si>
  <si>
    <t>《房屋所有权证》[X京房权证朝其字第592538号]</t>
    <phoneticPr fontId="7" type="noConversion"/>
  </si>
  <si>
    <t>建筑物价值</t>
  </si>
  <si>
    <t>成本比率</t>
  </si>
  <si>
    <t>楼盘名称</t>
    <phoneticPr fontId="4" type="noConversion"/>
  </si>
  <si>
    <t>租赁单元</t>
    <phoneticPr fontId="4" type="noConversion"/>
  </si>
  <si>
    <t>租赁状态</t>
    <phoneticPr fontId="4" type="noConversion"/>
  </si>
  <si>
    <t>月租金单价
（元/㎡）</t>
  </si>
  <si>
    <t>已收租赁押金</t>
    <phoneticPr fontId="4" type="noConversion"/>
  </si>
  <si>
    <t>富力广场商铺</t>
    <phoneticPr fontId="4" type="noConversion"/>
  </si>
  <si>
    <t>北区 一层/二层-1-2</t>
    <phoneticPr fontId="4" type="noConversion"/>
  </si>
  <si>
    <t>绫致时装（天津）有限公司北京双井销售部</t>
  </si>
  <si>
    <t>正常出租</t>
    <phoneticPr fontId="4" type="noConversion"/>
  </si>
  <si>
    <t>北区一层、二层101、102、103、105、232、233</t>
    <phoneticPr fontId="4" type="noConversion"/>
  </si>
  <si>
    <t>北京科莫湖进出口贸易有限公司</t>
    <phoneticPr fontId="4" type="noConversion"/>
  </si>
  <si>
    <t>北区 一层103-1</t>
    <phoneticPr fontId="144" type="noConversion"/>
  </si>
  <si>
    <t xml:space="preserve">爱心灰姑娘天爱（北京）国际教育科技有限公司 </t>
    <phoneticPr fontId="144" type="noConversion"/>
  </si>
  <si>
    <t>北区1层103-2</t>
  </si>
  <si>
    <t>爱心灰姑娘天爱（北京）国际教育科技有限公司</t>
  </si>
  <si>
    <t>北区地下一层商铺及首层入口102-1</t>
    <phoneticPr fontId="4" type="noConversion"/>
  </si>
  <si>
    <t>北区 二层228</t>
  </si>
  <si>
    <t>北京绘本原创教育科技有限公司</t>
  </si>
  <si>
    <t>北区 二层230-1</t>
    <phoneticPr fontId="144" type="noConversion"/>
  </si>
  <si>
    <t>北区 二层230-2</t>
    <phoneticPr fontId="144" type="noConversion"/>
  </si>
  <si>
    <t>北京真朴教育科技发展有限公司</t>
    <phoneticPr fontId="144" type="noConversion"/>
  </si>
  <si>
    <t>北区 二层233-1</t>
    <phoneticPr fontId="144" type="noConversion"/>
  </si>
  <si>
    <t>北区 二层233-2</t>
    <phoneticPr fontId="4" type="noConversion"/>
  </si>
  <si>
    <t>租金单价</t>
    <phoneticPr fontId="144" type="noConversion"/>
  </si>
  <si>
    <t>王鹏</t>
  </si>
  <si>
    <t>北京卓美时代国际文化有限公司</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</si>
</sst>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b/>
      <sz val="9"/>
      <color theme="1"/>
      <name val="宋体"/>
      <family val="3"/>
      <charset val="134"/>
    </font>
    <font>
      <sz val="8"/>
      <color theme="1"/>
      <name val="宋体"/>
      <family val="3"/>
      <charset val="134"/>
    </font>
    <font>
      <b/>
      <sz val="9"/>
      <color theme="1"/>
      <name val="华文新魏"/>
      <family val="3"/>
      <charset val="134"/>
    </font>
    <font>
      <sz val="9"/>
      <color theme="1"/>
      <name val="华文新魏"/>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hair">
        <color auto="1"/>
      </right>
      <top/>
      <bottom/>
      <diagonal/>
    </border>
    <border>
      <left style="hair">
        <color auto="1"/>
      </left>
      <right style="hair">
        <color auto="1"/>
      </right>
      <top/>
      <bottom style="thin">
        <color auto="1"/>
      </bottom>
      <diagonal/>
    </border>
    <border>
      <left style="hair">
        <color auto="1"/>
      </left>
      <right style="thin">
        <color auto="1"/>
      </right>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hair">
        <color auto="1"/>
      </right>
      <top style="thin">
        <color auto="1"/>
      </top>
      <bottom/>
      <diagonal/>
    </border>
    <border>
      <left style="hair">
        <color auto="1"/>
      </left>
      <right style="thin">
        <color auto="1"/>
      </right>
      <top/>
      <bottom style="thin">
        <color auto="1"/>
      </bottom>
      <diagonal/>
    </border>
    <border>
      <left/>
      <right style="hair">
        <color auto="1"/>
      </right>
      <top/>
      <bottom style="thin">
        <color auto="1"/>
      </bottom>
      <diagonal/>
    </border>
    <border>
      <left style="hair">
        <color auto="1"/>
      </left>
      <right style="hair">
        <color auto="1"/>
      </right>
      <top style="hair">
        <color auto="1"/>
      </top>
      <bottom/>
      <diagonal/>
    </border>
    <border>
      <left style="medium">
        <color indexed="64"/>
      </left>
      <right style="thin">
        <color auto="1"/>
      </right>
      <top style="thin">
        <color auto="1"/>
      </top>
      <bottom style="thin">
        <color auto="1"/>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254" fillId="0" borderId="0" applyFont="0" applyFill="0" applyBorder="0" applyAlignment="0" applyProtection="0">
      <alignment vertical="center"/>
    </xf>
    <xf numFmtId="44" fontId="254" fillId="0" borderId="0" applyFont="0" applyFill="0" applyBorder="0" applyAlignment="0" applyProtection="0">
      <alignment vertical="center"/>
    </xf>
    <xf numFmtId="0" fontId="1" fillId="0" borderId="0">
      <alignment vertical="center"/>
    </xf>
    <xf numFmtId="0" fontId="138" fillId="0" borderId="0">
      <alignment vertical="center"/>
    </xf>
  </cellStyleXfs>
  <cellXfs count="34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100" fillId="0" borderId="0" xfId="0" applyFont="1" applyProtection="1">
      <alignment vertical="center"/>
      <protection locked="0"/>
    </xf>
    <xf numFmtId="0" fontId="212"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3" fillId="0" borderId="0" xfId="0" applyFont="1" applyAlignment="1">
      <alignment vertical="center"/>
    </xf>
    <xf numFmtId="0" fontId="140"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40" fillId="0" borderId="0" xfId="0" applyFont="1" applyFill="1" applyAlignment="1">
      <alignment vertical="center" wrapText="1"/>
    </xf>
    <xf numFmtId="0" fontId="213"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7" fillId="5" borderId="0" xfId="0" applyFont="1" applyFill="1" applyProtection="1">
      <alignment vertical="center"/>
      <protection locked="0"/>
    </xf>
    <xf numFmtId="0" fontId="105" fillId="0" borderId="0" xfId="0" applyFont="1" applyProtection="1">
      <alignment vertical="center"/>
      <protection locked="0"/>
    </xf>
    <xf numFmtId="0" fontId="213"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3"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1"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100" fillId="0" borderId="0" xfId="0" applyFont="1">
      <alignment vertical="center"/>
    </xf>
    <xf numFmtId="0" fontId="0" fillId="0" borderId="1" xfId="0" applyBorder="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wrapText="1"/>
    </xf>
    <xf numFmtId="49" fontId="100" fillId="0" borderId="1" xfId="0" applyNumberFormat="1" applyFont="1" applyBorder="1" applyAlignment="1">
      <alignment horizontal="center" vertical="center"/>
    </xf>
    <xf numFmtId="0" fontId="100" fillId="0" borderId="13" xfId="0" applyFont="1" applyBorder="1" applyAlignment="1">
      <alignment vertical="center" wrapText="1"/>
    </xf>
    <xf numFmtId="49" fontId="38"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0" fontId="0" fillId="0" borderId="0" xfId="0" applyNumberFormat="1">
      <alignment vertical="center"/>
    </xf>
    <xf numFmtId="9" fontId="0" fillId="0" borderId="0" xfId="0" applyNumberFormat="1">
      <alignment vertical="center"/>
    </xf>
    <xf numFmtId="49" fontId="255" fillId="7" borderId="23" xfId="14" applyNumberFormat="1" applyFont="1" applyFill="1" applyBorder="1" applyAlignment="1">
      <alignment horizontal="left" vertical="center" wrapText="1"/>
    </xf>
    <xf numFmtId="0" fontId="255" fillId="7" borderId="1" xfId="0" applyFont="1" applyFill="1" applyBorder="1" applyAlignment="1">
      <alignment horizontal="left" vertical="center" wrapText="1"/>
    </xf>
    <xf numFmtId="0" fontId="255" fillId="7" borderId="1" xfId="0" applyFont="1" applyFill="1" applyBorder="1" applyAlignment="1">
      <alignment horizontal="center" vertical="center" wrapText="1"/>
    </xf>
    <xf numFmtId="14" fontId="255" fillId="7" borderId="1" xfId="13" applyNumberFormat="1" applyFont="1" applyFill="1" applyBorder="1" applyAlignment="1">
      <alignment horizontal="left" vertical="center" wrapText="1"/>
    </xf>
    <xf numFmtId="43" fontId="255" fillId="7" borderId="1" xfId="13" applyFont="1" applyFill="1" applyBorder="1" applyAlignment="1">
      <alignment horizontal="center" vertical="center"/>
    </xf>
    <xf numFmtId="43" fontId="255" fillId="7" borderId="1" xfId="13" applyFont="1" applyFill="1" applyBorder="1" applyAlignment="1">
      <alignment horizontal="center" vertical="center" wrapText="1"/>
    </xf>
    <xf numFmtId="43" fontId="255" fillId="7" borderId="1" xfId="13" applyFont="1" applyFill="1" applyBorder="1" applyAlignment="1" applyProtection="1">
      <alignment horizontal="center" vertical="center" wrapText="1"/>
      <protection locked="0"/>
    </xf>
    <xf numFmtId="43" fontId="255" fillId="7" borderId="1" xfId="13" applyFont="1" applyFill="1" applyBorder="1" applyAlignment="1" applyProtection="1">
      <alignment horizontal="center" vertical="center" wrapText="1"/>
    </xf>
    <xf numFmtId="43" fontId="255" fillId="7" borderId="0" xfId="13" applyFont="1" applyFill="1" applyAlignment="1">
      <alignment horizontal="center" vertical="center"/>
    </xf>
    <xf numFmtId="43" fontId="255" fillId="7" borderId="3" xfId="13" applyFont="1" applyFill="1" applyBorder="1" applyAlignment="1">
      <alignment horizontal="center" vertical="center"/>
    </xf>
    <xf numFmtId="43" fontId="255" fillId="7" borderId="1" xfId="0" applyNumberFormat="1" applyFont="1" applyFill="1" applyBorder="1" applyAlignment="1">
      <alignment horizontal="center" vertical="center"/>
    </xf>
    <xf numFmtId="49" fontId="255" fillId="7" borderId="24" xfId="0" applyNumberFormat="1" applyFont="1" applyFill="1" applyBorder="1" applyAlignment="1">
      <alignment horizontal="left" vertical="center" wrapText="1"/>
    </xf>
    <xf numFmtId="0" fontId="255" fillId="7" borderId="3" xfId="0" applyFont="1" applyFill="1" applyBorder="1" applyAlignment="1">
      <alignment horizontal="left" vertical="center" wrapText="1"/>
    </xf>
    <xf numFmtId="176" fontId="255" fillId="7" borderId="0" xfId="0" applyNumberFormat="1" applyFont="1" applyFill="1" applyBorder="1" applyAlignment="1">
      <alignment horizontal="center" vertical="center" wrapText="1"/>
    </xf>
    <xf numFmtId="0" fontId="255" fillId="7" borderId="0" xfId="0" applyFont="1" applyFill="1" applyAlignment="1">
      <alignment horizontal="center" vertical="center"/>
    </xf>
    <xf numFmtId="0" fontId="255" fillId="7" borderId="0" xfId="0" applyFont="1" applyFill="1" applyAlignment="1">
      <alignment horizontal="left" vertical="center"/>
    </xf>
    <xf numFmtId="0" fontId="255" fillId="7" borderId="0" xfId="0" applyFont="1" applyFill="1" applyAlignment="1"/>
    <xf numFmtId="197" fontId="255" fillId="7" borderId="0" xfId="13" applyNumberFormat="1" applyFont="1" applyFill="1" applyAlignment="1"/>
    <xf numFmtId="0" fontId="256" fillId="0" borderId="0" xfId="0" applyFont="1">
      <alignment vertical="center"/>
    </xf>
    <xf numFmtId="0" fontId="143" fillId="7" borderId="0" xfId="0" applyFont="1" applyFill="1" applyAlignment="1">
      <alignment horizontal="center" vertical="center"/>
    </xf>
    <xf numFmtId="176" fontId="143" fillId="7" borderId="0" xfId="0" applyNumberFormat="1" applyFont="1" applyFill="1" applyAlignment="1">
      <alignment horizontal="center" vertical="center"/>
    </xf>
    <xf numFmtId="0" fontId="248" fillId="7" borderId="1" xfId="0" applyFont="1" applyFill="1" applyBorder="1" applyAlignment="1">
      <alignment horizontal="center" vertical="center"/>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43" fontId="256" fillId="0" borderId="0" xfId="0" applyNumberFormat="1" applyFont="1">
      <alignment vertical="center"/>
    </xf>
    <xf numFmtId="0" fontId="255" fillId="7" borderId="1" xfId="13" applyNumberFormat="1" applyFont="1" applyFill="1" applyBorder="1" applyAlignment="1">
      <alignment horizontal="center" vertical="center"/>
    </xf>
    <xf numFmtId="0" fontId="256" fillId="0" borderId="0" xfId="0" applyNumberFormat="1" applyFont="1">
      <alignment vertical="center"/>
    </xf>
    <xf numFmtId="0" fontId="0" fillId="9" borderId="0" xfId="0" applyFill="1">
      <alignment vertical="center"/>
    </xf>
    <xf numFmtId="0" fontId="0" fillId="9" borderId="0" xfId="0" applyFill="1" applyAlignment="1"/>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44" xfId="0" applyNumberFormat="1" applyFont="1" applyFill="1" applyBorder="1" applyAlignment="1" applyProtection="1">
      <alignment horizontal="center" vertical="center" wrapText="1"/>
      <protection locked="0"/>
    </xf>
    <xf numFmtId="0" fontId="100" fillId="9" borderId="0" xfId="0" applyFont="1" applyFill="1" applyAlignment="1"/>
    <xf numFmtId="0" fontId="100" fillId="0" borderId="0" xfId="0" applyFont="1" applyAlignment="1"/>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14" fillId="0" borderId="0" xfId="0" applyFont="1">
      <alignment vertical="center"/>
    </xf>
    <xf numFmtId="49" fontId="114" fillId="0" borderId="0" xfId="0" applyNumberFormat="1" applyFont="1">
      <alignment vertical="center"/>
    </xf>
    <xf numFmtId="0" fontId="114" fillId="0" borderId="1" xfId="0" applyFont="1" applyBorder="1" applyAlignment="1">
      <alignment horizontal="center" vertical="center"/>
    </xf>
    <xf numFmtId="49" fontId="114" fillId="0" borderId="1" xfId="0" applyNumberFormat="1" applyFont="1" applyBorder="1" applyAlignment="1">
      <alignment horizontal="center" vertical="center"/>
    </xf>
    <xf numFmtId="0" fontId="114" fillId="0" borderId="0" xfId="0" applyFont="1" applyBorder="1" applyAlignment="1">
      <alignment horizontal="center" vertical="center"/>
    </xf>
    <xf numFmtId="49" fontId="114" fillId="0" borderId="0" xfId="0" applyNumberFormat="1" applyFont="1" applyBorder="1" applyAlignment="1">
      <alignment horizontal="center" vertical="center"/>
    </xf>
    <xf numFmtId="0" fontId="114" fillId="0" borderId="0" xfId="0" applyFont="1" applyAlignment="1">
      <alignment horizontal="center" vertical="center"/>
    </xf>
    <xf numFmtId="0" fontId="114" fillId="0" borderId="0" xfId="0" applyNumberFormat="1" applyFont="1" applyBorder="1" applyAlignment="1">
      <alignment horizontal="center" vertical="center"/>
    </xf>
    <xf numFmtId="0" fontId="114" fillId="0" borderId="0" xfId="0" applyNumberFormat="1" applyFont="1">
      <alignment vertical="center"/>
    </xf>
    <xf numFmtId="49" fontId="99" fillId="0" borderId="14" xfId="0" applyNumberFormat="1" applyFont="1" applyFill="1" applyBorder="1" applyAlignment="1" applyProtection="1">
      <alignment horizontal="center" vertical="center" wrapText="1"/>
      <protection locked="0"/>
    </xf>
    <xf numFmtId="43" fontId="4" fillId="0" borderId="156" xfId="13" applyFont="1" applyFill="1" applyBorder="1" applyAlignment="1">
      <alignment horizontal="center" vertical="center"/>
    </xf>
    <xf numFmtId="43" fontId="4" fillId="0" borderId="156" xfId="13" applyFont="1" applyFill="1" applyBorder="1" applyAlignment="1">
      <alignment horizontal="center" vertical="center" wrapText="1"/>
    </xf>
    <xf numFmtId="49" fontId="4" fillId="0" borderId="156" xfId="14" applyNumberFormat="1" applyFont="1" applyFill="1" applyBorder="1" applyAlignment="1">
      <alignment horizontal="center" vertical="center" wrapText="1"/>
    </xf>
    <xf numFmtId="0" fontId="4" fillId="0" borderId="156" xfId="0" applyFont="1" applyFill="1" applyBorder="1" applyAlignment="1">
      <alignment horizontal="center" vertical="center" wrapText="1"/>
    </xf>
    <xf numFmtId="14" fontId="4" fillId="0" borderId="156" xfId="13" applyNumberFormat="1" applyFont="1" applyFill="1" applyBorder="1" applyAlignment="1">
      <alignment horizontal="center" vertical="center" wrapText="1"/>
    </xf>
    <xf numFmtId="43" fontId="4" fillId="0" borderId="156" xfId="13" applyFont="1" applyFill="1" applyBorder="1" applyAlignment="1">
      <alignment horizontal="right" vertical="center"/>
    </xf>
    <xf numFmtId="43" fontId="4" fillId="0" borderId="156" xfId="13" applyFont="1" applyFill="1" applyBorder="1" applyAlignment="1">
      <alignment vertical="center"/>
    </xf>
    <xf numFmtId="0" fontId="144" fillId="0" borderId="156" xfId="15" applyFont="1" applyFill="1" applyBorder="1" applyAlignment="1">
      <alignment horizontal="center" vertical="center" wrapText="1"/>
    </xf>
    <xf numFmtId="0" fontId="144" fillId="0" borderId="156" xfId="16" applyFont="1" applyFill="1" applyBorder="1" applyAlignment="1">
      <alignment horizontal="center" vertical="center" wrapText="1"/>
    </xf>
    <xf numFmtId="14" fontId="4" fillId="0" borderId="156" xfId="13" applyNumberFormat="1" applyFont="1" applyFill="1" applyBorder="1" applyAlignment="1">
      <alignment horizontal="center" vertical="center"/>
    </xf>
    <xf numFmtId="14" fontId="144" fillId="0" borderId="156" xfId="16" applyNumberFormat="1" applyFont="1" applyFill="1" applyBorder="1" applyAlignment="1">
      <alignment horizontal="center" vertical="center" wrapText="1"/>
    </xf>
    <xf numFmtId="0" fontId="259" fillId="7" borderId="160" xfId="13" applyNumberFormat="1" applyFont="1" applyFill="1" applyBorder="1" applyAlignment="1">
      <alignment horizontal="center" vertical="center"/>
    </xf>
    <xf numFmtId="0" fontId="259" fillId="7" borderId="160" xfId="0" applyNumberFormat="1" applyFont="1" applyFill="1" applyBorder="1" applyAlignment="1">
      <alignment horizontal="center" vertical="center"/>
    </xf>
    <xf numFmtId="0" fontId="259" fillId="7" borderId="161" xfId="13" applyNumberFormat="1" applyFont="1" applyFill="1" applyBorder="1" applyAlignment="1">
      <alignment horizontal="center" vertical="center" wrapText="1"/>
    </xf>
    <xf numFmtId="0" fontId="259" fillId="7" borderId="0" xfId="13" applyNumberFormat="1" applyFont="1" applyFill="1" applyBorder="1" applyAlignment="1">
      <alignment horizontal="center" vertical="center" wrapText="1"/>
    </xf>
    <xf numFmtId="0" fontId="259" fillId="7" borderId="0" xfId="0" applyNumberFormat="1" applyFont="1" applyFill="1">
      <alignment vertical="center"/>
    </xf>
    <xf numFmtId="0" fontId="260" fillId="7" borderId="171" xfId="13" applyNumberFormat="1" applyFont="1" applyFill="1" applyBorder="1" applyAlignment="1">
      <alignment horizontal="center" vertical="center"/>
    </xf>
    <xf numFmtId="0" fontId="260" fillId="7" borderId="171" xfId="0" applyNumberFormat="1" applyFont="1" applyFill="1" applyBorder="1" applyAlignment="1">
      <alignment horizontal="center" vertical="center"/>
    </xf>
    <xf numFmtId="0" fontId="260" fillId="7" borderId="158" xfId="0" applyNumberFormat="1" applyFont="1" applyFill="1" applyBorder="1" applyAlignment="1">
      <alignment horizontal="center" vertical="center"/>
    </xf>
    <xf numFmtId="0" fontId="259" fillId="7" borderId="169" xfId="13" applyNumberFormat="1" applyFont="1" applyFill="1" applyBorder="1" applyAlignment="1">
      <alignment horizontal="center" vertical="center" wrapText="1"/>
    </xf>
    <xf numFmtId="0" fontId="255" fillId="7" borderId="0" xfId="0" applyNumberFormat="1" applyFont="1" applyFill="1">
      <alignment vertical="center"/>
    </xf>
    <xf numFmtId="0" fontId="255" fillId="7" borderId="158" xfId="13" applyNumberFormat="1" applyFont="1" applyFill="1" applyBorder="1" applyAlignment="1">
      <alignment horizontal="center" vertical="center" wrapText="1"/>
    </xf>
    <xf numFmtId="0" fontId="255" fillId="7" borderId="157" xfId="13" applyNumberFormat="1" applyFont="1" applyFill="1" applyBorder="1" applyAlignment="1">
      <alignment horizontal="center" vertical="center" wrapText="1"/>
    </xf>
    <xf numFmtId="0" fontId="255" fillId="7" borderId="159" xfId="13" applyNumberFormat="1" applyFont="1" applyFill="1" applyBorder="1" applyAlignment="1">
      <alignment horizontal="center" vertical="center" wrapText="1"/>
    </xf>
    <xf numFmtId="0" fontId="255" fillId="7" borderId="160" xfId="13" applyNumberFormat="1" applyFont="1" applyFill="1" applyBorder="1" applyAlignment="1">
      <alignment horizontal="center" vertical="center" wrapText="1"/>
    </xf>
    <xf numFmtId="0" fontId="255" fillId="7" borderId="156" xfId="13" applyNumberFormat="1" applyFont="1" applyFill="1" applyBorder="1" applyAlignment="1">
      <alignment vertical="center" wrapText="1"/>
    </xf>
    <xf numFmtId="0" fontId="131" fillId="7" borderId="161" xfId="13" applyNumberFormat="1" applyFont="1" applyFill="1" applyBorder="1" applyAlignment="1">
      <alignment horizontal="center" vertical="center" wrapText="1"/>
    </xf>
    <xf numFmtId="0" fontId="258" fillId="7" borderId="162" xfId="13" applyNumberFormat="1" applyFont="1" applyFill="1" applyBorder="1" applyAlignment="1">
      <alignment vertical="center" wrapText="1"/>
    </xf>
    <xf numFmtId="0" fontId="258" fillId="7" borderId="161" xfId="13" applyNumberFormat="1" applyFont="1" applyFill="1" applyBorder="1" applyAlignment="1">
      <alignment horizontal="center" vertical="center" wrapText="1"/>
    </xf>
    <xf numFmtId="0" fontId="258" fillId="7" borderId="0" xfId="13" applyNumberFormat="1" applyFont="1" applyFill="1" applyBorder="1" applyAlignment="1">
      <alignment vertical="center" wrapText="1"/>
    </xf>
    <xf numFmtId="0" fontId="255" fillId="7" borderId="0" xfId="0" applyNumberFormat="1" applyFont="1" applyFill="1" applyAlignment="1">
      <alignment vertical="center" wrapText="1"/>
    </xf>
    <xf numFmtId="0" fontId="255" fillId="7" borderId="163" xfId="13" applyNumberFormat="1" applyFont="1" applyFill="1" applyBorder="1" applyAlignment="1">
      <alignment horizontal="center" vertical="center" wrapText="1"/>
    </xf>
    <xf numFmtId="0" fontId="131" fillId="7" borderId="164" xfId="13" applyNumberFormat="1" applyFont="1" applyFill="1" applyBorder="1" applyAlignment="1">
      <alignment vertical="center" wrapText="1"/>
    </xf>
    <xf numFmtId="0" fontId="255" fillId="7" borderId="165" xfId="13" applyNumberFormat="1" applyFont="1" applyFill="1" applyBorder="1" applyAlignment="1">
      <alignment horizontal="center" vertical="center" wrapText="1"/>
    </xf>
    <xf numFmtId="0" fontId="258" fillId="7" borderId="165" xfId="13" applyNumberFormat="1" applyFont="1" applyFill="1" applyBorder="1" applyAlignment="1">
      <alignment horizontal="center" vertical="center" wrapText="1"/>
    </xf>
    <xf numFmtId="0" fontId="258" fillId="7" borderId="0" xfId="13" applyNumberFormat="1" applyFont="1" applyFill="1" applyBorder="1" applyAlignment="1">
      <alignment horizontal="center" vertical="center" wrapText="1"/>
    </xf>
    <xf numFmtId="0" fontId="255" fillId="7" borderId="162" xfId="13" applyNumberFormat="1" applyFont="1" applyFill="1" applyBorder="1" applyAlignment="1">
      <alignment vertical="center" wrapText="1"/>
    </xf>
    <xf numFmtId="0" fontId="258" fillId="7" borderId="166" xfId="13" applyNumberFormat="1" applyFont="1" applyFill="1" applyBorder="1" applyAlignment="1">
      <alignment vertical="center" wrapText="1"/>
    </xf>
    <xf numFmtId="0" fontId="0" fillId="0" borderId="0" xfId="0" applyNumberFormat="1" applyAlignment="1">
      <alignment vertical="center" wrapText="1"/>
    </xf>
    <xf numFmtId="181" fontId="48" fillId="0" borderId="1" xfId="0" applyNumberFormat="1" applyFont="1" applyFill="1" applyBorder="1" applyAlignment="1" applyProtection="1">
      <alignment vertical="center"/>
      <protection locked="0"/>
    </xf>
    <xf numFmtId="181" fontId="20" fillId="0" borderId="1" xfId="0" applyNumberFormat="1" applyFont="1" applyFill="1" applyBorder="1" applyAlignment="1">
      <alignment horizontal="center" vertical="center"/>
    </xf>
    <xf numFmtId="9" fontId="20" fillId="0" borderId="1" xfId="0" applyNumberFormat="1" applyFont="1" applyFill="1" applyBorder="1" applyAlignment="1"/>
    <xf numFmtId="43" fontId="0" fillId="0" borderId="0" xfId="0" applyNumberFormat="1" applyAlignment="1"/>
    <xf numFmtId="0" fontId="4" fillId="0" borderId="172" xfId="0" applyFont="1" applyFill="1" applyBorder="1" applyAlignment="1">
      <alignment horizontal="center" vertical="center" wrapText="1"/>
    </xf>
    <xf numFmtId="49" fontId="4" fillId="0" borderId="156" xfId="0" applyNumberFormat="1" applyFont="1" applyFill="1" applyBorder="1" applyAlignment="1">
      <alignment horizontal="center" vertical="center"/>
    </xf>
    <xf numFmtId="14" fontId="4" fillId="5" borderId="156" xfId="13" applyNumberFormat="1" applyFont="1" applyFill="1" applyBorder="1" applyAlignment="1">
      <alignment horizontal="center" vertical="center" wrapText="1"/>
    </xf>
    <xf numFmtId="0" fontId="56" fillId="17" borderId="1" xfId="0" applyFont="1" applyFill="1" applyBorder="1" applyAlignment="1" applyProtection="1">
      <alignment horizontal="center" vertical="center"/>
      <protection locked="0"/>
    </xf>
    <xf numFmtId="43" fontId="48" fillId="0" borderId="2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3"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8"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259" fillId="7" borderId="157" xfId="13" applyNumberFormat="1" applyFont="1" applyFill="1" applyBorder="1" applyAlignment="1">
      <alignment horizontal="center" vertical="center" wrapText="1"/>
    </xf>
    <xf numFmtId="0" fontId="259" fillId="7" borderId="163" xfId="13" applyNumberFormat="1" applyFont="1" applyFill="1" applyBorder="1" applyAlignment="1">
      <alignment horizontal="center" vertical="center" wrapText="1"/>
    </xf>
    <xf numFmtId="0" fontId="259" fillId="7" borderId="167" xfId="13" applyNumberFormat="1" applyFont="1" applyFill="1" applyBorder="1" applyAlignment="1">
      <alignment horizontal="center" vertical="center" wrapText="1"/>
    </xf>
    <xf numFmtId="0" fontId="259" fillId="7" borderId="169" xfId="13" applyNumberFormat="1" applyFont="1" applyFill="1" applyBorder="1" applyAlignment="1">
      <alignment horizontal="center" vertical="center" wrapText="1"/>
    </xf>
    <xf numFmtId="0" fontId="259" fillId="7" borderId="168" xfId="13" applyNumberFormat="1" applyFont="1" applyFill="1" applyBorder="1" applyAlignment="1">
      <alignment horizontal="center" vertical="center" wrapText="1"/>
    </xf>
    <xf numFmtId="0" fontId="259" fillId="7" borderId="170"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xf>
    <xf numFmtId="0" fontId="259" fillId="7" borderId="163" xfId="0" applyNumberFormat="1" applyFont="1" applyFill="1" applyBorder="1" applyAlignment="1">
      <alignment horizontal="center" vertical="center"/>
    </xf>
    <xf numFmtId="0" fontId="259" fillId="7" borderId="157" xfId="0" applyNumberFormat="1" applyFont="1" applyFill="1" applyBorder="1" applyAlignment="1">
      <alignment horizontal="center" vertical="center" shrinkToFit="1"/>
    </xf>
    <xf numFmtId="0" fontId="259" fillId="7" borderId="163" xfId="0" applyNumberFormat="1" applyFont="1" applyFill="1" applyBorder="1" applyAlignment="1">
      <alignment horizontal="center" vertical="center" shrinkToFit="1"/>
    </xf>
    <xf numFmtId="0" fontId="259" fillId="7" borderId="157" xfId="13" applyNumberFormat="1" applyFont="1" applyFill="1" applyBorder="1" applyAlignment="1">
      <alignment horizontal="center" vertical="center"/>
    </xf>
    <xf numFmtId="0" fontId="259" fillId="7" borderId="163" xfId="13" applyNumberFormat="1" applyFont="1" applyFill="1" applyBorder="1" applyAlignment="1">
      <alignment horizontal="center" vertical="center"/>
    </xf>
    <xf numFmtId="14" fontId="259" fillId="7" borderId="157" xfId="13" applyNumberFormat="1" applyFont="1" applyFill="1" applyBorder="1" applyAlignment="1">
      <alignment horizontal="center" vertical="center" wrapText="1"/>
    </xf>
    <xf numFmtId="14" fontId="259" fillId="7" borderId="163" xfId="13" applyNumberFormat="1" applyFont="1" applyFill="1" applyBorder="1" applyAlignment="1">
      <alignment horizontal="center" vertical="center" wrapText="1"/>
    </xf>
    <xf numFmtId="0" fontId="255" fillId="7" borderId="157" xfId="13" applyNumberFormat="1" applyFont="1" applyFill="1" applyBorder="1" applyAlignment="1">
      <alignment horizontal="center" vertical="center" wrapText="1"/>
    </xf>
    <xf numFmtId="0" fontId="255" fillId="7" borderId="163"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wrapText="1"/>
    </xf>
    <xf numFmtId="0" fontId="259" fillId="7" borderId="163" xfId="0" applyNumberFormat="1" applyFont="1" applyFill="1" applyBorder="1" applyAlignment="1">
      <alignment horizontal="center" vertical="center" wrapText="1"/>
    </xf>
    <xf numFmtId="0" fontId="257" fillId="7" borderId="157" xfId="14" applyNumberFormat="1" applyFont="1" applyFill="1" applyBorder="1" applyAlignment="1">
      <alignment horizontal="center" vertical="center" wrapText="1"/>
    </xf>
    <xf numFmtId="0" fontId="257" fillId="7" borderId="163" xfId="14" applyNumberFormat="1" applyFont="1" applyFill="1" applyBorder="1" applyAlignment="1">
      <alignment horizontal="center" vertical="center" wrapText="1"/>
    </xf>
    <xf numFmtId="0" fontId="257" fillId="7" borderId="157" xfId="0" applyNumberFormat="1" applyFont="1" applyFill="1" applyBorder="1" applyAlignment="1">
      <alignment horizontal="left" vertical="center" wrapText="1" shrinkToFit="1"/>
    </xf>
    <xf numFmtId="0" fontId="257" fillId="7" borderId="163" xfId="0" applyNumberFormat="1" applyFont="1" applyFill="1" applyBorder="1" applyAlignment="1">
      <alignment horizontal="left" vertical="center" wrapText="1" shrinkToFit="1"/>
    </xf>
    <xf numFmtId="0" fontId="255" fillId="7" borderId="157" xfId="13" applyNumberFormat="1" applyFont="1" applyFill="1" applyBorder="1" applyAlignment="1">
      <alignment horizontal="left" vertical="center" wrapText="1"/>
    </xf>
    <xf numFmtId="0" fontId="255" fillId="7" borderId="163" xfId="13" applyNumberFormat="1" applyFont="1" applyFill="1" applyBorder="1" applyAlignment="1">
      <alignment horizontal="left"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0" borderId="15" xfId="0" applyFont="1" applyBorder="1" applyAlignment="1" applyProtection="1">
      <alignment horizontal="center" vertical="center"/>
      <protection locked="0"/>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134" fillId="6" borderId="23" xfId="0" applyFont="1" applyFill="1" applyBorder="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48" fillId="7" borderId="40" xfId="0" applyFont="1" applyFill="1" applyBorder="1" applyAlignment="1">
      <alignment horizontal="left" vertical="center" wrapText="1"/>
    </xf>
    <xf numFmtId="0" fontId="248" fillId="7" borderId="41" xfId="0" applyFont="1" applyFill="1" applyBorder="1" applyAlignment="1">
      <alignment horizontal="left" vertical="center" wrapText="1"/>
    </xf>
    <xf numFmtId="49" fontId="248" fillId="7" borderId="62" xfId="0" applyNumberFormat="1" applyFont="1" applyFill="1" applyBorder="1" applyAlignment="1">
      <alignment horizontal="center" vertical="center"/>
    </xf>
    <xf numFmtId="49" fontId="248" fillId="7" borderId="8" xfId="0" applyNumberFormat="1" applyFont="1" applyFill="1" applyBorder="1" applyAlignment="1">
      <alignment horizontal="center" vertical="center"/>
    </xf>
    <xf numFmtId="0" fontId="248" fillId="7" borderId="9" xfId="0" applyFont="1" applyFill="1" applyBorder="1" applyAlignment="1">
      <alignment horizontal="center" vertical="center" wrapText="1"/>
    </xf>
    <xf numFmtId="0" fontId="248" fillId="7" borderId="1" xfId="0" applyFont="1" applyFill="1" applyBorder="1" applyAlignment="1">
      <alignment horizontal="center" vertical="center" wrapText="1"/>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43" fontId="255" fillId="7" borderId="9" xfId="13" applyFont="1" applyFill="1" applyBorder="1" applyAlignment="1">
      <alignment horizontal="center" vertical="center" wrapText="1"/>
    </xf>
    <xf numFmtId="0" fontId="248" fillId="7" borderId="9" xfId="0" applyFont="1" applyFill="1" applyBorder="1" applyAlignment="1">
      <alignment horizontal="center" vertical="center"/>
    </xf>
    <xf numFmtId="176" fontId="248" fillId="7" borderId="9" xfId="0" applyNumberFormat="1" applyFont="1" applyFill="1" applyBorder="1" applyAlignment="1">
      <alignment horizontal="center" vertical="center" wrapText="1"/>
    </xf>
    <xf numFmtId="176" fontId="248" fillId="7" borderId="1" xfId="0" applyNumberFormat="1" applyFont="1" applyFill="1" applyBorder="1" applyAlignment="1">
      <alignment horizontal="center" vertical="center" wrapText="1"/>
    </xf>
    <xf numFmtId="0" fontId="248" fillId="7" borderId="17" xfId="0" applyFont="1" applyFill="1" applyBorder="1" applyAlignment="1">
      <alignment horizontal="left" vertical="center" wrapText="1"/>
    </xf>
    <xf numFmtId="0" fontId="248" fillId="7" borderId="2" xfId="0" applyFont="1" applyFill="1" applyBorder="1" applyAlignment="1">
      <alignment horizontal="left" vertical="center" wrapText="1"/>
    </xf>
    <xf numFmtId="14" fontId="248" fillId="7" borderId="9" xfId="0" applyNumberFormat="1" applyFont="1" applyFill="1" applyBorder="1" applyAlignment="1">
      <alignment horizontal="center" vertical="center" wrapText="1"/>
    </xf>
    <xf numFmtId="14" fontId="248" fillId="7" borderId="1" xfId="0" applyNumberFormat="1" applyFont="1" applyFill="1" applyBorder="1" applyAlignment="1">
      <alignment horizontal="center" vertical="center" wrapText="1"/>
    </xf>
    <xf numFmtId="0" fontId="99" fillId="0" borderId="40" xfId="0" applyFont="1" applyFill="1" applyBorder="1" applyAlignment="1">
      <alignment horizontal="center" vertical="center" wrapText="1"/>
    </xf>
    <xf numFmtId="0" fontId="99" fillId="0" borderId="41" xfId="0" applyFont="1" applyFill="1" applyBorder="1" applyAlignment="1">
      <alignment horizontal="center" vertical="center" wrapText="1"/>
    </xf>
    <xf numFmtId="0" fontId="202" fillId="0" borderId="17" xfId="0" applyFont="1" applyFill="1" applyBorder="1" applyAlignment="1">
      <alignment horizontal="center" vertical="center" wrapText="1"/>
    </xf>
    <xf numFmtId="0" fontId="202" fillId="0" borderId="2" xfId="0" applyFont="1" applyFill="1" applyBorder="1" applyAlignment="1">
      <alignment horizontal="center" vertical="center" wrapText="1"/>
    </xf>
    <xf numFmtId="0" fontId="202" fillId="0" borderId="9" xfId="0" applyFont="1" applyFill="1" applyBorder="1" applyAlignment="1">
      <alignment horizontal="center" vertical="center" wrapText="1"/>
    </xf>
    <xf numFmtId="0" fontId="202" fillId="0" borderId="156" xfId="0" applyFont="1" applyFill="1" applyBorder="1" applyAlignment="1">
      <alignment horizontal="center" vertical="center" wrapText="1"/>
    </xf>
    <xf numFmtId="14" fontId="202" fillId="0" borderId="9" xfId="0" applyNumberFormat="1" applyFont="1" applyFill="1" applyBorder="1" applyAlignment="1">
      <alignment horizontal="center" vertical="center" wrapText="1"/>
    </xf>
    <xf numFmtId="14" fontId="202" fillId="0" borderId="156" xfId="0" applyNumberFormat="1" applyFont="1" applyFill="1" applyBorder="1" applyAlignment="1">
      <alignment horizontal="center" vertical="center" wrapText="1"/>
    </xf>
    <xf numFmtId="176" fontId="202" fillId="0" borderId="9" xfId="0" applyNumberFormat="1" applyFont="1" applyFill="1" applyBorder="1" applyAlignment="1">
      <alignment horizontal="center" vertical="center" wrapText="1"/>
    </xf>
    <xf numFmtId="176" fontId="202" fillId="0" borderId="156" xfId="0" applyNumberFormat="1" applyFont="1" applyFill="1" applyBorder="1" applyAlignment="1">
      <alignment horizontal="center" vertical="center" wrapText="1"/>
    </xf>
    <xf numFmtId="0" fontId="253" fillId="0" borderId="17" xfId="0" applyFont="1" applyFill="1" applyBorder="1" applyAlignment="1">
      <alignment horizontal="center" vertical="center" wrapText="1"/>
    </xf>
    <xf numFmtId="0" fontId="253" fillId="0" borderId="2" xfId="0" applyFont="1" applyFill="1" applyBorder="1" applyAlignment="1">
      <alignment horizontal="center" vertical="center" wrapText="1"/>
    </xf>
    <xf numFmtId="0" fontId="253" fillId="0" borderId="9" xfId="0" applyFont="1" applyFill="1" applyBorder="1" applyAlignment="1">
      <alignment horizontal="center" vertical="center" wrapText="1"/>
    </xf>
    <xf numFmtId="0" fontId="253" fillId="0" borderId="156" xfId="0" applyFont="1" applyFill="1" applyBorder="1" applyAlignment="1">
      <alignment horizontal="center" vertical="center" wrapText="1"/>
    </xf>
    <xf numFmtId="0" fontId="54" fillId="6" borderId="1" xfId="0" applyNumberFormat="1" applyFont="1" applyFill="1" applyBorder="1" applyAlignment="1" applyProtection="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221" fillId="6" borderId="1" xfId="0" applyFont="1" applyFill="1" applyBorder="1" applyAlignment="1">
      <alignment horizontal="center" vertical="center"/>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49" fontId="55" fillId="0" borderId="7" xfId="0" applyNumberFormat="1" applyFont="1" applyFill="1" applyBorder="1" applyAlignment="1" applyProtection="1">
      <alignment horizontal="center" vertical="center" wrapText="1"/>
      <protection locked="0"/>
    </xf>
  </cellXfs>
  <cellStyles count="17">
    <cellStyle name="常规" xfId="0" builtinId="0"/>
    <cellStyle name="常规 13 2" xfId="16"/>
    <cellStyle name="常规 16" xfId="10"/>
    <cellStyle name="常规 2" xfId="1"/>
    <cellStyle name="常规 2 2" xfId="8"/>
    <cellStyle name="常规 3" xfId="2"/>
    <cellStyle name="常规 3 2" xfId="3"/>
    <cellStyle name="常规 4" xfId="4"/>
    <cellStyle name="常规 5" xfId="5"/>
    <cellStyle name="常规 5 6 5" xfId="15"/>
    <cellStyle name="常规 6" xfId="6"/>
    <cellStyle name="常规 6 2" xfId="9"/>
    <cellStyle name="常规 7" xfId="7"/>
    <cellStyle name="常规 8" xfId="11"/>
    <cellStyle name="常规 9" xfId="12"/>
    <cellStyle name="货币" xfId="14" builtinId="4"/>
    <cellStyle name="千位分隔" xfId="13" builtinId="3"/>
  </cellStyles>
  <dxfs count="26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161924</xdr:colOff>
      <xdr:row>1</xdr:row>
      <xdr:rowOff>85725</xdr:rowOff>
    </xdr:from>
    <xdr:to>
      <xdr:col>13</xdr:col>
      <xdr:colOff>304799</xdr:colOff>
      <xdr:row>10</xdr:row>
      <xdr:rowOff>56280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6724" y="257175"/>
          <a:ext cx="4943475" cy="1923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1213</v>
      </c>
      <c r="B1" s="1584" t="s">
        <v>1292</v>
      </c>
    </row>
    <row r="2" spans="1:2" s="1589" customFormat="1" ht="15" thickTop="1">
      <c r="A2" s="1587" t="s">
        <v>1214</v>
      </c>
      <c r="B2" s="1588" t="str">
        <f>'预评函-封皮'!B37:I37</f>
        <v>北京市朝阳区东三环中路61号楼“富力万丽酒店”酒店、商业、地下车库、地下仓储用房房地产抵押价值预评估</v>
      </c>
    </row>
    <row r="3" spans="1:2" s="1592" customFormat="1">
      <c r="A3" s="1590" t="s">
        <v>1215</v>
      </c>
      <c r="B3" s="1591" t="str">
        <f>'预评函-封皮'!B40</f>
        <v>北京富力城房地产开发有限公司</v>
      </c>
    </row>
    <row r="4" spans="1:2" s="1592" customFormat="1">
      <c r="A4" s="1590" t="s">
        <v>1216</v>
      </c>
      <c r="B4" s="1591" t="str">
        <f ca="1">'预评函-封皮'!B46</f>
        <v>王鹏（注册号：1120050019)、郑燚（注册号：1120070131)</v>
      </c>
    </row>
    <row r="5" spans="1:2" s="1586" customFormat="1" ht="15" thickBot="1">
      <c r="A5" s="1593" t="s">
        <v>1217</v>
      </c>
      <c r="B5" s="1594" t="str">
        <f>'预评函-封皮'!B49</f>
        <v>康正预评字号</v>
      </c>
    </row>
    <row r="6" spans="1:2" s="1589" customFormat="1" ht="15" thickTop="1">
      <c r="A6" s="1587" t="s">
        <v>1218</v>
      </c>
      <c r="B6" s="1588" t="str">
        <f>'预评函-1'!A4</f>
        <v>受贵公司委托，我公司对北京市朝阳区东三环中路61号楼“富力万丽酒店”酒店、商业、地下车库、地下仓储用房房地产抵押价值进行了预评估。</v>
      </c>
    </row>
    <row r="7" spans="1:2" s="1592" customFormat="1">
      <c r="A7" s="1590" t="s">
        <v>1258</v>
      </c>
      <c r="B7" s="1591" t="str">
        <f>'预评函-1'!A7</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2" s="1592" customFormat="1">
      <c r="A8" s="1590" t="s">
        <v>1259</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1260</v>
      </c>
      <c r="B9" s="1591" t="str">
        <f>'预评函-1'!A10</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0" spans="1:2" s="1592" customFormat="1">
      <c r="A10" s="1590" t="s">
        <v>1261</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1219</v>
      </c>
      <c r="B11" s="1591" t="str">
        <f>'预评函-1'!A13</f>
        <v>为估价委托人在向北京农村商业银行股份有限公司天通苑支行办理贷款手续过程中，确定房地产抵押贷款额度提供参考依据而评估房地产抵押价值。</v>
      </c>
    </row>
    <row r="12" spans="1:2" s="1592" customFormat="1">
      <c r="A12" s="1590" t="s">
        <v>1220</v>
      </c>
      <c r="B12" s="1591" t="str">
        <f>'预评函-1'!A15</f>
        <v>2019年4月26日（评估专业人员实地查勘之日）</v>
      </c>
    </row>
    <row r="13" spans="1:2" s="1592" customFormat="1">
      <c r="A13" s="1590" t="s">
        <v>1221</v>
      </c>
      <c r="B13" s="1591" t="str">
        <f>'预评函-1'!A18</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4" spans="1:2" s="1592" customFormat="1">
      <c r="A14" s="1590" t="s">
        <v>1222</v>
      </c>
      <c r="B14" s="1591" t="str">
        <f>'预评函-1'!A19</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1223</v>
      </c>
      <c r="B15" s="1591" t="str">
        <f>'预评函-1'!A20</f>
        <v>本次估价的“房地产抵押价值”是指估价对象在价值时点的“房地产价值”扣减估价师于价值时点所知悉的法定优先受偿款后的余额。</v>
      </c>
    </row>
    <row r="16" spans="1:2" s="1592" customFormat="1">
      <c r="A16" s="1590" t="s">
        <v>1224</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1225</v>
      </c>
      <c r="B17" s="1591" t="str">
        <f>'预评函-1'!A22</f>
        <v/>
      </c>
    </row>
    <row r="18" spans="1:2" s="1586" customFormat="1" ht="15" thickBot="1">
      <c r="A18" s="1593" t="s">
        <v>1226</v>
      </c>
      <c r="B18" s="1594" t="str">
        <f>'预评函-1'!A24</f>
        <v>本次评估采用的主估价方法为成本法和收益法。</v>
      </c>
    </row>
    <row r="19" spans="1:2" s="1589" customFormat="1" ht="15" thickTop="1">
      <c r="A19" s="1587" t="s">
        <v>1227</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1228</v>
      </c>
      <c r="B20" s="1591">
        <f ca="1">'预评函-2'!D5</f>
        <v>373911</v>
      </c>
    </row>
    <row r="21" spans="1:2" s="1592" customFormat="1">
      <c r="A21" s="1590" t="s">
        <v>1229</v>
      </c>
      <c r="B21" s="1591">
        <f ca="1">'预评函-2'!D7</f>
        <v>37841</v>
      </c>
    </row>
    <row r="22" spans="1:2" s="1592" customFormat="1">
      <c r="A22" s="1590" t="s">
        <v>1230</v>
      </c>
      <c r="B22" s="1591" t="str">
        <f ca="1">'预评函-2'!D6</f>
        <v>叁拾柒亿叁仟玖佰壹拾壹万元整</v>
      </c>
    </row>
    <row r="23" spans="1:2" s="1592" customFormat="1">
      <c r="A23" s="1590" t="s">
        <v>1281</v>
      </c>
      <c r="B23" s="1591" t="str">
        <f>'预评函-2'!B8</f>
        <v>2.估价师知悉的法定优先受偿款</v>
      </c>
    </row>
    <row r="24" spans="1:2" s="1592" customFormat="1">
      <c r="A24" s="1590" t="s">
        <v>1287</v>
      </c>
      <c r="B24" s="1591">
        <f>'预评函-2'!D8</f>
        <v>0</v>
      </c>
    </row>
    <row r="25" spans="1:2" s="1592" customFormat="1">
      <c r="A25" s="1590" t="s">
        <v>1231</v>
      </c>
      <c r="B25" s="1591" t="str">
        <f>'预评函-2'!D9</f>
        <v>零元整</v>
      </c>
    </row>
    <row r="26" spans="1:2" s="1592" customFormat="1">
      <c r="A26" s="1590" t="s">
        <v>1232</v>
      </c>
      <c r="B26" s="1591">
        <f>'预评函-2'!D10</f>
        <v>0</v>
      </c>
    </row>
    <row r="27" spans="1:2" s="1592" customFormat="1">
      <c r="A27" s="1590" t="s">
        <v>1233</v>
      </c>
      <c r="B27" s="1591">
        <f>'预评函-2'!D11</f>
        <v>0</v>
      </c>
    </row>
    <row r="28" spans="1:2" s="1592" customFormat="1">
      <c r="A28" s="1590" t="s">
        <v>1234</v>
      </c>
      <c r="B28" s="1591">
        <f>'预评函-2'!D12</f>
        <v>0</v>
      </c>
    </row>
    <row r="29" spans="1:2" s="1592" customFormat="1">
      <c r="A29" s="1590" t="s">
        <v>1285</v>
      </c>
      <c r="B29" s="1591" t="str">
        <f>'预评函-2'!B13</f>
        <v>3.房地产抵押价值</v>
      </c>
    </row>
    <row r="30" spans="1:2" s="1592" customFormat="1">
      <c r="A30" s="1590" t="s">
        <v>1286</v>
      </c>
      <c r="B30" s="1591">
        <f ca="1">'预评函-2'!D13</f>
        <v>373911</v>
      </c>
    </row>
    <row r="31" spans="1:2" s="1592" customFormat="1">
      <c r="A31" s="1590" t="s">
        <v>1268</v>
      </c>
      <c r="B31" s="1591">
        <f ca="1">'预评函-2'!D15</f>
        <v>37841</v>
      </c>
    </row>
    <row r="32" spans="1:2" s="1592" customFormat="1">
      <c r="A32" s="1590" t="s">
        <v>1235</v>
      </c>
      <c r="B32" s="1591" t="str">
        <f ca="1">'预评函-2'!D14</f>
        <v>叁拾柒亿叁仟玖佰壹拾壹万元整</v>
      </c>
    </row>
    <row r="33" spans="1:2" s="1592" customFormat="1">
      <c r="A33" s="1590" t="s">
        <v>1270</v>
      </c>
      <c r="B33" s="1591" t="str">
        <f>'预评函-2'!B16</f>
        <v>——</v>
      </c>
    </row>
    <row r="34" spans="1:2" s="1592" customFormat="1">
      <c r="A34" s="1590" t="s">
        <v>1288</v>
      </c>
      <c r="B34" s="1591" t="str">
        <f>'预评函-2'!D16</f>
        <v>——</v>
      </c>
    </row>
    <row r="35" spans="1:2" s="1592" customFormat="1">
      <c r="A35" s="1590" t="s">
        <v>1269</v>
      </c>
      <c r="B35" s="1591" t="str">
        <f>'预评函-2'!D18</f>
        <v>——</v>
      </c>
    </row>
    <row r="36" spans="1:2" s="1592" customFormat="1">
      <c r="A36" s="1590" t="s">
        <v>1236</v>
      </c>
      <c r="B36" s="1591" t="e">
        <f>'预评函-2'!D17</f>
        <v>#VALUE!</v>
      </c>
    </row>
    <row r="37" spans="1:2" s="1592" customFormat="1">
      <c r="A37" s="1590" t="s">
        <v>1271</v>
      </c>
      <c r="B37" s="1591" t="str">
        <f>'预评函-2'!B19</f>
        <v>——</v>
      </c>
    </row>
    <row r="38" spans="1:2" s="1592" customFormat="1">
      <c r="A38" s="1590" t="s">
        <v>1289</v>
      </c>
      <c r="B38" s="1591" t="str">
        <f>'预评函-2'!D19</f>
        <v>——</v>
      </c>
    </row>
    <row r="39" spans="1:2" s="1592" customFormat="1">
      <c r="A39" s="1590" t="s">
        <v>1237</v>
      </c>
      <c r="B39" s="1591" t="str">
        <f>'预评函-2'!D21</f>
        <v>——</v>
      </c>
    </row>
    <row r="40" spans="1:2" s="1592" customFormat="1">
      <c r="A40" s="1590" t="s">
        <v>1238</v>
      </c>
      <c r="B40" s="1591" t="e">
        <f>'预评函-2'!D20</f>
        <v>#VALUE!</v>
      </c>
    </row>
    <row r="41" spans="1:2" s="1592" customFormat="1">
      <c r="A41" s="1590" t="s">
        <v>1284</v>
      </c>
      <c r="B41" s="1591" t="str">
        <f>'预评函-3'!A4</f>
        <v>北京市朝阳区东三环中路61号楼“富力万丽酒店”酒店、商业、地下车库、地下仓储用房房地产</v>
      </c>
    </row>
    <row r="42" spans="1:2" s="1592" customFormat="1">
      <c r="A42" s="1590" t="s">
        <v>1282</v>
      </c>
      <c r="B42" s="1591" t="str">
        <f>'预评函-3'!B2</f>
        <v>建筑面积</v>
      </c>
    </row>
    <row r="43" spans="1:2" s="1592" customFormat="1">
      <c r="A43" s="1590" t="s">
        <v>1283</v>
      </c>
      <c r="B43" s="1591">
        <f>'预评函-3'!B4</f>
        <v>98810.33</v>
      </c>
    </row>
    <row r="44" spans="1:2" s="1592" customFormat="1">
      <c r="A44" s="1590" t="s">
        <v>1267</v>
      </c>
      <c r="B44" s="1591" t="str">
        <f>'预评函-3'!C2</f>
        <v>(分摊)土地面积</v>
      </c>
    </row>
    <row r="45" spans="1:2" s="1592" customFormat="1">
      <c r="A45" s="1590" t="s">
        <v>1239</v>
      </c>
      <c r="B45" s="1591">
        <f>'预评函-3'!C4</f>
        <v>11147.87</v>
      </c>
    </row>
    <row r="46" spans="1:2" s="1592" customFormat="1">
      <c r="A46" s="1590" t="s">
        <v>1265</v>
      </c>
      <c r="B46" s="1591" t="str">
        <f>'预评函-3'!D2</f>
        <v>出让国有建设用地使用权价值</v>
      </c>
    </row>
    <row r="47" spans="1:2" s="1592" customFormat="1">
      <c r="A47" s="1590" t="s">
        <v>1240</v>
      </c>
      <c r="B47" s="1591">
        <f ca="1">'预评函-3'!D4</f>
        <v>298007</v>
      </c>
    </row>
    <row r="48" spans="1:2" s="1592" customFormat="1">
      <c r="A48" s="1590" t="s">
        <v>1241</v>
      </c>
      <c r="B48" s="1591">
        <f ca="1">'预评函-3'!E4</f>
        <v>30159</v>
      </c>
    </row>
    <row r="49" spans="1:2" s="1592" customFormat="1">
      <c r="A49" s="1590" t="s">
        <v>1242</v>
      </c>
      <c r="B49" s="1591" t="str">
        <f ca="1">'预评函-3'!D5</f>
        <v>贰拾玖亿捌仟零柒万元整</v>
      </c>
    </row>
    <row r="50" spans="1:2" s="1592" customFormat="1">
      <c r="A50" s="1590" t="s">
        <v>1266</v>
      </c>
      <c r="B50" s="1591" t="str">
        <f>'预评函-3'!F2</f>
        <v>建筑物价值</v>
      </c>
    </row>
    <row r="51" spans="1:2" s="1592" customFormat="1">
      <c r="A51" s="1590" t="s">
        <v>1243</v>
      </c>
      <c r="B51" s="1591">
        <f ca="1">'预评函-3'!F4</f>
        <v>75904</v>
      </c>
    </row>
    <row r="52" spans="1:2" s="1592" customFormat="1">
      <c r="A52" s="1590" t="s">
        <v>1244</v>
      </c>
      <c r="B52" s="1591">
        <f ca="1">'预评函-3'!G4</f>
        <v>7682</v>
      </c>
    </row>
    <row r="53" spans="1:2" s="1592" customFormat="1">
      <c r="A53" s="1590" t="s">
        <v>1272</v>
      </c>
      <c r="B53" s="1591" t="str">
        <f ca="1">'预评函-3'!F5</f>
        <v>柒亿伍仟玖佰零肆万元整</v>
      </c>
    </row>
    <row r="54" spans="1:2" s="1592" customFormat="1">
      <c r="A54" s="1590" t="s">
        <v>1290</v>
      </c>
      <c r="B54" s="1591" t="str">
        <f>'预评函-3'!A8</f>
        <v>房地产抵押价值</v>
      </c>
    </row>
    <row r="55" spans="1:2" s="1592" customFormat="1">
      <c r="A55" s="1590" t="s">
        <v>1273</v>
      </c>
      <c r="B55" s="1591" t="str">
        <f>'预评函-3'!A10</f>
        <v/>
      </c>
    </row>
    <row r="56" spans="1:2" s="1592" customFormat="1">
      <c r="A56" s="1590" t="s">
        <v>1274</v>
      </c>
      <c r="B56" s="1591" t="str">
        <f>'预评函-3'!A12</f>
        <v/>
      </c>
    </row>
    <row r="57" spans="1:2" s="1586" customFormat="1" ht="15" thickBot="1">
      <c r="A57" s="1593" t="s">
        <v>1291</v>
      </c>
      <c r="B57" s="1594" t="str">
        <f>'预评函-3'!A6</f>
        <v>估价师知悉的法定优先受偿款</v>
      </c>
    </row>
    <row r="58" spans="1:2" s="1589" customFormat="1" ht="15" thickTop="1">
      <c r="A58" s="1587" t="s">
        <v>1245</v>
      </c>
      <c r="B58" s="1588" t="str">
        <f>'预评函-4'!A12</f>
        <v>2.本《评估意见函》仅供金融机构进行内部审核使用，不做其他目的之用。</v>
      </c>
    </row>
    <row r="59" spans="1:2" s="1592" customFormat="1">
      <c r="A59" s="1590" t="s">
        <v>1246</v>
      </c>
      <c r="B59" s="1591" t="str">
        <f>'预评函-4'!A13</f>
        <v>3.抵押双方在办理抵押登记手续时，应使用本公司出具的正式《房地产评估报告》，特提醒报告使用者注意。</v>
      </c>
    </row>
    <row r="60" spans="1:2" s="1592" customFormat="1">
      <c r="A60" s="1590" t="s">
        <v>1247</v>
      </c>
      <c r="B60" s="1591" t="str">
        <f>'预评函-4'!A14</f>
        <v>4.本次评估估价师所知悉的法定优先受偿款情况说明如下：</v>
      </c>
    </row>
    <row r="61" spans="1:2" s="1592" customFormat="1">
      <c r="A61" s="1590" t="s">
        <v>1248</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1249</v>
      </c>
      <c r="B62" s="1591" t="str">
        <f>'预评函-4'!A16</f>
        <v>（2）根据《工程款支付情况说明》，截至价值时点，估价对象不存在应付未付工程款项。（只要没有施工方盖章的，均“设定”进行表述）</v>
      </c>
    </row>
    <row r="63" spans="1:2" s="1592" customFormat="1">
      <c r="A63" s="1590" t="s">
        <v>1250</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1262</v>
      </c>
      <c r="B64" s="1591" t="str">
        <f>'预评函-4'!A18</f>
        <v>故，本次评估不存在估价师知悉的法定优先受偿款</v>
      </c>
    </row>
    <row r="65" spans="1:2" s="1592" customFormat="1">
      <c r="A65" s="1590" t="s">
        <v>1251</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1252</v>
      </c>
      <c r="B66" s="1591" t="str">
        <f>'预评函-4'!A20</f>
        <v>——</v>
      </c>
    </row>
    <row r="67" spans="1:2" s="1592" customFormat="1">
      <c r="A67" s="1590" t="s">
        <v>1263</v>
      </c>
      <c r="B67" s="1591" t="str">
        <f>'预评函-4'!A21</f>
        <v>——</v>
      </c>
    </row>
    <row r="68" spans="1:2" s="1592" customFormat="1">
      <c r="A68" s="1590" t="s">
        <v>1264</v>
      </c>
      <c r="B68" s="1591" t="str">
        <f>'预评函-4'!A22</f>
        <v>8.其他需特殊说明事项：无（注意调整序号）</v>
      </c>
    </row>
    <row r="69" spans="1:2" s="1586" customFormat="1" ht="15" thickBot="1">
      <c r="A69" s="1593" t="s">
        <v>1253</v>
      </c>
      <c r="B69" s="1595">
        <f>'预评函-4'!C31</f>
        <v>42551</v>
      </c>
    </row>
    <row r="70" spans="1:2" ht="15" thickTop="1">
      <c r="A70" s="1596" t="s">
        <v>1254</v>
      </c>
      <c r="B70" s="1597" t="str">
        <f>'预评函-4'!A4</f>
        <v>王鹏</v>
      </c>
    </row>
    <row r="71" spans="1:2">
      <c r="A71" s="1590" t="s">
        <v>1255</v>
      </c>
      <c r="B71" s="1591">
        <f ca="1">'预评函-4'!B4</f>
        <v>1120050019</v>
      </c>
    </row>
    <row r="72" spans="1:2">
      <c r="A72" s="1590" t="s">
        <v>1256</v>
      </c>
      <c r="B72" s="1599" t="str">
        <f>'预评函-4'!A5</f>
        <v>郑燚</v>
      </c>
    </row>
    <row r="73" spans="1:2" s="1586" customFormat="1" ht="15" thickBot="1">
      <c r="A73" s="1593" t="s">
        <v>1257</v>
      </c>
      <c r="B73" s="1594">
        <f ca="1">'预评函-4'!B5</f>
        <v>1120070131</v>
      </c>
    </row>
    <row r="74" spans="1:2" ht="15" thickTop="1">
      <c r="A74" s="1583" t="s">
        <v>1293</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1138</v>
      </c>
      <c r="R1" s="2008" t="s">
        <v>1132</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1134</v>
      </c>
      <c r="S2" s="2014" t="s">
        <v>1707</v>
      </c>
      <c r="T2" s="2014" t="s">
        <v>1708</v>
      </c>
      <c r="U2" s="2014" t="s">
        <v>1707</v>
      </c>
      <c r="V2" s="2014" t="s">
        <v>1709</v>
      </c>
      <c r="W2" s="2014" t="s">
        <v>1707</v>
      </c>
    </row>
    <row r="3" spans="1:23">
      <c r="A3" s="2012" t="s">
        <v>1710</v>
      </c>
      <c r="B3" s="2015" t="s">
        <v>1139</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1133</v>
      </c>
      <c r="S3" s="2014" t="s">
        <v>1715</v>
      </c>
      <c r="T3" s="2014" t="s">
        <v>1716</v>
      </c>
      <c r="U3" s="2014" t="s">
        <v>1715</v>
      </c>
      <c r="V3" s="2014" t="s">
        <v>1717</v>
      </c>
      <c r="W3" s="2014" t="s">
        <v>1715</v>
      </c>
    </row>
    <row r="4" spans="1:23">
      <c r="A4" s="2012" t="s">
        <v>1718</v>
      </c>
      <c r="B4" s="2012" t="s">
        <v>1719</v>
      </c>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1135</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1136</v>
      </c>
      <c r="S5" s="2014" t="s">
        <v>1730</v>
      </c>
      <c r="T5" s="2014" t="s">
        <v>1731</v>
      </c>
      <c r="U5" s="2014" t="s">
        <v>1730</v>
      </c>
      <c r="W5" s="2014" t="s">
        <v>1730</v>
      </c>
    </row>
    <row r="6" spans="1:23">
      <c r="A6" s="2012" t="s">
        <v>1732</v>
      </c>
      <c r="B6" s="2015" t="s">
        <v>1140</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1137</v>
      </c>
      <c r="S6" s="2014" t="s">
        <v>1735</v>
      </c>
      <c r="T6" s="2014"/>
      <c r="U6" s="2014" t="s">
        <v>1735</v>
      </c>
      <c r="W6" s="2014" t="s">
        <v>1735</v>
      </c>
    </row>
    <row r="7" spans="1:23">
      <c r="A7" s="2012" t="s">
        <v>1736</v>
      </c>
      <c r="B7" s="2015" t="s">
        <v>1141</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c r="C18" s="2013"/>
    </row>
    <row r="19" spans="1:3">
      <c r="A19" s="2012" t="s">
        <v>1762</v>
      </c>
      <c r="B19" s="2012"/>
      <c r="C19" s="2013"/>
    </row>
    <row r="20" spans="1:3">
      <c r="A20" s="2012" t="s">
        <v>1763</v>
      </c>
      <c r="B20" s="2012" t="s">
        <v>3084</v>
      </c>
      <c r="C20" s="2013"/>
    </row>
    <row r="21" spans="1:3">
      <c r="A21" s="2012" t="s">
        <v>1764</v>
      </c>
      <c r="B21" s="2012" t="s">
        <v>3081</v>
      </c>
      <c r="C21" s="2013"/>
    </row>
    <row r="22" spans="1:3">
      <c r="A22" s="2012" t="s">
        <v>1765</v>
      </c>
      <c r="B22" s="2012" t="s">
        <v>3082</v>
      </c>
      <c r="C22" s="2013"/>
    </row>
    <row r="23" spans="1:3">
      <c r="A23" s="2012" t="s">
        <v>1766</v>
      </c>
      <c r="B23" s="2012" t="s">
        <v>3083</v>
      </c>
      <c r="C23" s="2013"/>
    </row>
    <row r="24" spans="1:3">
      <c r="A24" s="2012" t="s">
        <v>1767</v>
      </c>
      <c r="B24" s="2012" t="s">
        <v>3157</v>
      </c>
      <c r="C24" s="2013"/>
    </row>
    <row r="25" spans="1:3">
      <c r="A25" s="2012" t="s">
        <v>1768</v>
      </c>
      <c r="B25" s="2012" t="s">
        <v>3085</v>
      </c>
      <c r="C25" s="2013"/>
    </row>
    <row r="26" spans="1:3">
      <c r="A26" s="2012" t="s">
        <v>1769</v>
      </c>
      <c r="B26" s="2012" t="s">
        <v>3086</v>
      </c>
      <c r="C26" s="2013"/>
    </row>
    <row r="27" spans="1:3">
      <c r="A27" s="2012" t="s">
        <v>757</v>
      </c>
      <c r="B27" s="2012" t="s">
        <v>3087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为估价委托人在向北京农村商业银行股份有限公司天通苑支行办理贷款手续过程中，确定房地产抵押贷款额度提供参考依据而评估房地产抵押价值。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61号楼“富力万丽酒店”酒店、商业、地下车库、地下仓储用房房地产作为抵押担保物，向北京农村商业银行股份有限公司天通苑支行办理贷款手续。北京农村商业银行股份有限公司天通苑支行特委托北京康正宏基房地产评估有限公司对上述抵押物进行评估。本次评估为确定房地产抵押贷款额度提供参考依据而评估房地产抵押价值。</v>
      </c>
      <c r="D51" s="2020" t="s">
        <v>1278</v>
      </c>
    </row>
    <row r="52" spans="1:4">
      <c r="A52" s="2019" t="s">
        <v>858</v>
      </c>
      <c r="B52" s="2019" t="s">
        <v>859</v>
      </c>
      <c r="C52" s="2017" t="s">
        <v>860</v>
      </c>
      <c r="D52" s="2017" t="s">
        <v>861</v>
      </c>
    </row>
    <row r="53" spans="1:4">
      <c r="A53" s="3125"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XX年(多用途剩余年限尾数不同时，可只体现小数点后一位)，假定未设立法定优先受偿款下的房地产市场价值。</v>
      </c>
    </row>
    <row r="54" spans="1:4">
      <c r="A54" s="3125"/>
      <c r="B54" s="2020" t="s">
        <v>864</v>
      </c>
      <c r="C54" s="2017" t="s">
        <v>1275</v>
      </c>
    </row>
    <row r="55" spans="1:4">
      <c r="A55" s="3125"/>
      <c r="B55" s="2020" t="s">
        <v>865</v>
      </c>
      <c r="C55" s="2017" t="s">
        <v>1276</v>
      </c>
    </row>
    <row r="56" spans="1:4">
      <c r="A56" s="3125"/>
      <c r="B56" s="2020" t="s">
        <v>866</v>
      </c>
      <c r="C56" s="2017" t="s">
        <v>1280</v>
      </c>
    </row>
    <row r="57" spans="1:4">
      <c r="A57" s="3125"/>
      <c r="B57" s="2020" t="s">
        <v>867</v>
      </c>
      <c r="C57" s="2017" t="s">
        <v>1277</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4" sqref="H24"/>
    </sheetView>
  </sheetViews>
  <sheetFormatPr defaultColWidth="10" defaultRowHeight="18" customHeight="1"/>
  <cols>
    <col min="1" max="1" width="14.875" style="2030" customWidth="1"/>
    <col min="2" max="2" width="12.125" style="2030" customWidth="1"/>
    <col min="3" max="3" width="11.5" style="2030" customWidth="1"/>
    <col min="4" max="4" width="11.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134" t="str">
        <f>IF(B10="北京市","北京市",C10)&amp;F10&amp;IF('结果表（酒店）'!G1="在建","出让国有建设用地使用权及在建建筑物",IF('结果表（酒店）'!G1="土地","出让国有建设用地使用权",))&amp;B9&amp;"预评估"</f>
        <v>北京市朝阳区东三环中路61号楼“富力万丽酒店”酒店、商业、地下车库、地下仓储用房房地产抵押价值预评估</v>
      </c>
      <c r="C1" s="3135"/>
      <c r="D1" s="3135"/>
      <c r="E1" s="3135"/>
      <c r="F1" s="3135"/>
      <c r="G1" s="3135"/>
      <c r="H1" s="3135"/>
      <c r="I1" s="3136"/>
      <c r="J1" s="2024"/>
      <c r="K1" s="2025"/>
      <c r="L1" s="2026"/>
      <c r="M1" s="2026"/>
      <c r="N1" s="2027"/>
      <c r="O1" s="2028"/>
      <c r="P1" s="2027"/>
      <c r="Q1" s="2027"/>
      <c r="R1" s="2027"/>
      <c r="S1" s="2029" t="str">
        <f>IF(B10="北京市","北京市",C10)&amp;F10&amp;IF('结果表（酒店）'!G1="在建","出让国有建设用地使用权及在建建筑物房地产抵押价值",IF('结果表（酒店）'!G1="土地","出让国有建设用地使用权抵押价值",B9))</f>
        <v>北京市朝阳区东三环中路61号楼“富力万丽酒店”酒店、商业、地下车库、地下仓储用房房地产抵押价值</v>
      </c>
    </row>
    <row r="2" spans="1:19" ht="18" customHeight="1">
      <c r="A2" s="2024" t="s">
        <v>1771</v>
      </c>
      <c r="B2" s="1040"/>
      <c r="C2" s="2031"/>
      <c r="D2" s="2024"/>
      <c r="E2" s="2032"/>
      <c r="F2" s="2032"/>
      <c r="G2" s="2024"/>
      <c r="H2" s="2024"/>
      <c r="I2" s="2024"/>
      <c r="J2" s="2024"/>
      <c r="K2" s="2025"/>
      <c r="L2" s="2026"/>
      <c r="M2" s="2026"/>
      <c r="N2" s="2027"/>
      <c r="O2" s="2028"/>
      <c r="P2" s="2027"/>
      <c r="Q2" s="2027"/>
      <c r="R2" s="2027"/>
      <c r="S2" s="2029" t="str">
        <f>IF(B10="北京市","北京市",C10)&amp;F10&amp;IF('结果表（酒店）'!G1="在建","出让国有建设用地使用权及在建建筑物房地产",IF('结果表（酒店）'!G1="土地","出让国有建设用地使用权","房地产"))</f>
        <v>北京市朝阳区东三环中路61号楼“富力万丽酒店”酒店、商业、地下车库、地下仓储用房房地产</v>
      </c>
    </row>
    <row r="3" spans="1:19" ht="18" customHeight="1">
      <c r="A3" s="2033" t="s">
        <v>1772</v>
      </c>
      <c r="B3" s="2034">
        <v>43581</v>
      </c>
      <c r="C3" s="2035" t="s">
        <v>1773</v>
      </c>
      <c r="D3" s="2034">
        <f>B3</f>
        <v>43581</v>
      </c>
      <c r="E3" s="2024"/>
      <c r="F3" s="2024"/>
      <c r="G3" s="2024"/>
      <c r="H3" s="2024"/>
      <c r="I3" s="2024"/>
      <c r="J3" s="2024"/>
      <c r="K3" s="2025"/>
      <c r="L3" s="2026"/>
      <c r="M3" s="2026"/>
      <c r="N3" s="2027"/>
      <c r="O3" s="2028"/>
      <c r="P3" s="2027"/>
      <c r="Q3" s="2027"/>
      <c r="R3" s="2027"/>
      <c r="S3" s="2029"/>
    </row>
    <row r="4" spans="1:19" ht="18" customHeight="1" thickBot="1">
      <c r="A4" s="2036" t="s">
        <v>1774</v>
      </c>
      <c r="B4" s="2037" t="s">
        <v>3450</v>
      </c>
      <c r="C4" s="1038">
        <f ca="1">SUMIF(注册房地产估价师,B4,估价师及机构信息!B3:B24)</f>
        <v>1120050019</v>
      </c>
      <c r="D4" s="2037" t="s">
        <v>3165</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3013" t="s">
        <v>3217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3014" t="s">
        <v>3218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3015" t="s">
        <v>3217</v>
      </c>
      <c r="C7" s="2046"/>
      <c r="D7" s="2047"/>
      <c r="E7" s="2032"/>
      <c r="F7" s="2040"/>
      <c r="G7" s="2040"/>
      <c r="H7" s="2040"/>
      <c r="I7" s="2040"/>
      <c r="J7" s="2040"/>
      <c r="K7" s="2049"/>
      <c r="L7" s="2026"/>
      <c r="M7" s="2026"/>
      <c r="N7" s="2027"/>
      <c r="O7" s="2028"/>
      <c r="P7" s="2027"/>
      <c r="Q7" s="2027"/>
      <c r="R7" s="2027"/>
    </row>
    <row r="8" spans="1:19" ht="18" customHeight="1">
      <c r="A8" s="2045" t="s">
        <v>1778</v>
      </c>
      <c r="B8" s="2050" t="s">
        <v>3219</v>
      </c>
      <c r="C8" s="2051"/>
      <c r="D8" s="3137" t="s">
        <v>1779</v>
      </c>
      <c r="E8" s="2052" t="s">
        <v>3052</v>
      </c>
      <c r="F8" s="2053"/>
      <c r="G8" s="2024"/>
      <c r="H8" s="2024"/>
      <c r="I8" s="2024"/>
      <c r="J8" s="2040"/>
      <c r="K8" s="2041"/>
      <c r="L8" s="2026"/>
      <c r="M8" s="2026"/>
      <c r="N8" s="2027"/>
      <c r="O8" s="2028"/>
      <c r="P8" s="2027"/>
      <c r="Q8" s="2027"/>
      <c r="R8" s="2027"/>
    </row>
    <row r="9" spans="1:19" ht="18" customHeight="1" thickBot="1">
      <c r="A9" s="2038" t="s">
        <v>1780</v>
      </c>
      <c r="B9" s="2054" t="s">
        <v>3052</v>
      </c>
      <c r="C9" s="2055"/>
      <c r="D9" s="3138"/>
      <c r="E9" s="2054" t="s">
        <v>70</v>
      </c>
      <c r="F9" s="2056"/>
      <c r="G9" s="2057"/>
      <c r="H9" s="2057"/>
      <c r="I9" s="2057"/>
      <c r="J9" s="2040"/>
      <c r="K9" s="2049"/>
      <c r="L9" s="2026"/>
      <c r="M9" s="2026"/>
      <c r="N9" s="2027"/>
      <c r="O9" s="2028"/>
      <c r="P9" s="2027"/>
      <c r="Q9" s="2027"/>
      <c r="R9" s="2027"/>
    </row>
    <row r="10" spans="1:19" ht="18" customHeight="1" thickTop="1">
      <c r="A10" s="2058" t="s">
        <v>1781</v>
      </c>
      <c r="B10" s="2059" t="s">
        <v>3053</v>
      </c>
      <c r="C10" s="2060"/>
      <c r="D10" s="2044"/>
      <c r="E10" s="2061" t="s">
        <v>1782</v>
      </c>
      <c r="F10" s="2971" t="s">
        <v>3220</v>
      </c>
      <c r="G10" s="2062"/>
      <c r="H10" s="2063"/>
      <c r="I10" s="2044"/>
      <c r="J10" s="2040"/>
      <c r="K10" s="2049"/>
      <c r="L10" s="2026"/>
      <c r="M10" s="2026"/>
      <c r="N10" s="2027"/>
      <c r="O10" s="2028"/>
      <c r="P10" s="2027"/>
      <c r="Q10" s="2027"/>
      <c r="R10" s="2027"/>
    </row>
    <row r="11" spans="1:19" ht="18" customHeight="1">
      <c r="A11" s="2064" t="s">
        <v>1783</v>
      </c>
      <c r="B11" s="2065" t="s">
        <v>3054</v>
      </c>
      <c r="C11" s="2066"/>
      <c r="D11" s="2067"/>
      <c r="E11" s="2040"/>
      <c r="F11" s="2040"/>
      <c r="G11" s="2040"/>
      <c r="H11" s="2040"/>
      <c r="I11" s="2040"/>
      <c r="J11" s="2040"/>
      <c r="K11" s="2049"/>
      <c r="L11" s="2026"/>
      <c r="M11" s="2026"/>
      <c r="N11" s="2027"/>
      <c r="O11" s="2028"/>
      <c r="P11" s="2027"/>
      <c r="Q11" s="2027"/>
      <c r="R11" s="2027"/>
    </row>
    <row r="12" spans="1:19" ht="18" customHeight="1">
      <c r="A12" s="2068" t="s">
        <v>1784</v>
      </c>
      <c r="B12" s="2065" t="s">
        <v>3055</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51980</v>
      </c>
      <c r="F13" s="2074">
        <v>55633</v>
      </c>
      <c r="G13" s="2074">
        <v>55633</v>
      </c>
      <c r="H13" s="2074">
        <v>55633</v>
      </c>
      <c r="I13" s="1048"/>
      <c r="J13" s="2040"/>
      <c r="K13" s="2049"/>
      <c r="L13" s="2026"/>
      <c r="M13" s="2026"/>
      <c r="N13" s="2027"/>
      <c r="O13" s="2028"/>
      <c r="P13" s="2027"/>
      <c r="Q13" s="2027"/>
      <c r="R13" s="2027"/>
    </row>
    <row r="14" spans="1:19" ht="18" customHeight="1">
      <c r="A14" s="2071"/>
      <c r="B14" s="2072"/>
      <c r="C14" s="2073" t="s">
        <v>1793</v>
      </c>
      <c r="D14" s="1051"/>
      <c r="E14" s="1051">
        <v>40</v>
      </c>
      <c r="F14" s="1051">
        <v>50</v>
      </c>
      <c r="G14" s="1051">
        <v>50</v>
      </c>
      <c r="H14" s="1051">
        <v>50</v>
      </c>
      <c r="I14" s="1051"/>
      <c r="J14" s="2040"/>
      <c r="K14" s="2075"/>
      <c r="L14" s="2026"/>
      <c r="M14" s="2026"/>
      <c r="N14" s="2027"/>
      <c r="O14" s="2028"/>
      <c r="P14" s="2027"/>
      <c r="Q14" s="2027"/>
      <c r="R14" s="2027"/>
    </row>
    <row r="15" spans="1:19" ht="18" customHeight="1">
      <c r="A15" s="2058"/>
      <c r="B15" s="2076"/>
      <c r="C15" s="2073" t="s">
        <v>1794</v>
      </c>
      <c r="D15" s="1050" t="str">
        <f>IF(B12="出让",IF(D13="","",ROUNDDOWN(MIN((D13-$D$3)/365,D14),2)),D14)</f>
        <v/>
      </c>
      <c r="E15" s="1050">
        <f>IF(B12="出让",IF(E13="","",ROUNDDOWN(MIN((E13-$D$3)/365,E14),2)),E14)</f>
        <v>23.01</v>
      </c>
      <c r="F15" s="1050">
        <f>IF(B12="出让",IF(F13="","",ROUNDDOWN(MIN((F13-$D$3)/365,F14),2)),F14)</f>
        <v>33.01</v>
      </c>
      <c r="G15" s="1050">
        <f>IF(B12="出让",IF(G13="","",ROUNDDOWN(MIN((G13-$D$3)/365,G14),2)),G14)</f>
        <v>33.01</v>
      </c>
      <c r="H15" s="1050">
        <f>IF(B12="出让",IF(H13="","",ROUNDDOWN(MIN((H13-$D$3)/365,H14),2)),H14)</f>
        <v>33.01</v>
      </c>
      <c r="I15" s="1050" t="str">
        <f>IF(B12="出让",IF(I13="","",ROUNDDOWN(MIN((I13-$D$3)/365,I14),2)),I14)</f>
        <v/>
      </c>
      <c r="J15" s="2040"/>
      <c r="K15" s="2077"/>
      <c r="L15" s="2078"/>
      <c r="M15" s="2078"/>
      <c r="N15" s="2079"/>
      <c r="O15" s="2078"/>
      <c r="P15" s="2079"/>
      <c r="Q15" s="2027"/>
      <c r="R15" s="2027"/>
    </row>
    <row r="16" spans="1:19" ht="30.75" customHeight="1">
      <c r="A16" s="2061" t="s">
        <v>1795</v>
      </c>
      <c r="B16" s="3144" t="s">
        <v>3221</v>
      </c>
      <c r="C16" s="3145"/>
      <c r="D16" s="3146"/>
      <c r="E16" s="2080" t="s">
        <v>1796</v>
      </c>
      <c r="F16" s="3147" t="s">
        <v>3222</v>
      </c>
      <c r="G16" s="3148"/>
      <c r="H16" s="3148"/>
      <c r="I16" s="3149"/>
      <c r="J16" s="2027"/>
      <c r="K16" s="2077"/>
      <c r="L16" s="2078"/>
      <c r="M16" s="2078"/>
      <c r="N16" s="2079"/>
      <c r="O16" s="2078"/>
      <c r="P16" s="2079"/>
      <c r="Q16" s="2027"/>
      <c r="R16" s="2027"/>
    </row>
    <row r="17" spans="1:22" ht="18" customHeight="1">
      <c r="A17" s="2081" t="s">
        <v>1797</v>
      </c>
      <c r="B17" s="2033" t="s">
        <v>1798</v>
      </c>
      <c r="C17" s="1055">
        <f>'数据-汇总表'!E3</f>
        <v>98810.33</v>
      </c>
      <c r="D17" s="2082" t="s">
        <v>1799</v>
      </c>
      <c r="E17" s="3150" t="s">
        <v>3423</v>
      </c>
      <c r="F17" s="3151"/>
      <c r="G17" s="3151"/>
      <c r="H17" s="3151"/>
      <c r="I17" s="3152"/>
      <c r="J17" s="2027"/>
      <c r="K17" s="2083"/>
      <c r="L17" s="2078"/>
      <c r="M17" s="2078"/>
      <c r="N17" s="2079"/>
      <c r="O17" s="2078"/>
      <c r="P17" s="2079"/>
      <c r="Q17" s="2027"/>
      <c r="R17" s="2027"/>
      <c r="S17" s="2027"/>
      <c r="T17" s="2027"/>
      <c r="U17" s="2027"/>
      <c r="V17" s="2027"/>
    </row>
    <row r="18" spans="1:22" ht="27" customHeight="1" thickBot="1">
      <c r="A18" s="2084" t="s">
        <v>70</v>
      </c>
      <c r="B18" s="2036" t="s">
        <v>1800</v>
      </c>
      <c r="C18" s="1444">
        <f>'数据-汇总表'!D3</f>
        <v>11147.87</v>
      </c>
      <c r="D18" s="2085" t="s">
        <v>1799</v>
      </c>
      <c r="E18" s="3153" t="s">
        <v>3422</v>
      </c>
      <c r="F18" s="3154"/>
      <c r="G18" s="3154"/>
      <c r="H18" s="3154"/>
      <c r="I18" s="3155"/>
      <c r="J18" s="2027"/>
      <c r="K18" s="2083"/>
      <c r="L18" s="2078"/>
      <c r="M18" s="2078"/>
      <c r="N18" s="2079"/>
      <c r="O18" s="2078"/>
      <c r="P18" s="2079"/>
      <c r="Q18" s="2027"/>
      <c r="R18" s="2027"/>
      <c r="S18" s="2027"/>
      <c r="T18" s="2027"/>
      <c r="U18" s="2027"/>
      <c r="V18" s="2027"/>
    </row>
    <row r="19" spans="1:22" ht="37.5" customHeight="1" thickTop="1" thickBot="1">
      <c r="A19" s="373" t="s">
        <v>1801</v>
      </c>
      <c r="B19" s="352" t="s">
        <v>1802</v>
      </c>
      <c r="C19" s="2086" t="s">
        <v>3056</v>
      </c>
      <c r="D19" s="2087" t="s">
        <v>1803</v>
      </c>
      <c r="E19" s="2088" t="s">
        <v>3056</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1804</v>
      </c>
      <c r="B20" s="3140" t="s">
        <v>1805</v>
      </c>
      <c r="C20" s="3141"/>
      <c r="D20" s="3142" t="s">
        <v>1806</v>
      </c>
      <c r="E20" s="3143"/>
      <c r="F20" s="2092" t="s">
        <v>1807</v>
      </c>
      <c r="G20" s="2040"/>
      <c r="H20" s="2040"/>
      <c r="I20" s="2040"/>
      <c r="J20" s="2040"/>
      <c r="K20" s="3139" t="s">
        <v>1808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1809</v>
      </c>
      <c r="C21" s="2094" t="s">
        <v>3223</v>
      </c>
      <c r="D21" s="2095"/>
      <c r="E21" s="2096" t="s">
        <v>70</v>
      </c>
      <c r="F21" s="2097"/>
      <c r="G21" s="2040"/>
      <c r="H21" s="2040"/>
      <c r="I21" s="2040"/>
      <c r="J21" s="2040"/>
      <c r="K21" s="31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9"/>
      <c r="O21" s="2078"/>
      <c r="P21" s="2079"/>
      <c r="Q21" s="2027"/>
      <c r="R21" s="2027"/>
      <c r="S21" s="2027"/>
      <c r="T21" s="2027"/>
      <c r="U21" s="2027"/>
      <c r="V21" s="2027"/>
    </row>
    <row r="22" spans="1:22" ht="24.75" customHeight="1" thickBot="1">
      <c r="A22" s="2091"/>
      <c r="B22" s="2098" t="s">
        <v>1810</v>
      </c>
      <c r="C22" s="2094" t="s">
        <v>1811</v>
      </c>
      <c r="D22" s="2024"/>
      <c r="E22" s="2024"/>
      <c r="F22" s="2099"/>
      <c r="G22" s="2040"/>
      <c r="H22" s="2040"/>
      <c r="I22" s="2040"/>
      <c r="J22" s="2040"/>
      <c r="K22" s="3139"/>
      <c r="L22" s="748"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1812</v>
      </c>
      <c r="B23" s="183" t="s">
        <v>1813</v>
      </c>
      <c r="C23" s="2101"/>
      <c r="D23" s="2102" t="s">
        <v>1813</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1814</v>
      </c>
      <c r="C24" s="2106"/>
      <c r="D24" s="2100" t="s">
        <v>1814</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1815</v>
      </c>
      <c r="C25" s="2106"/>
      <c r="D25" s="2100" t="s">
        <v>1815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1816</v>
      </c>
      <c r="C26" s="2110"/>
      <c r="D26" s="2111" t="s">
        <v>1817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127" t="s">
        <v>1818</v>
      </c>
      <c r="B27" s="2058" t="s">
        <v>1819</v>
      </c>
      <c r="C27" s="2114" t="s">
        <v>3057</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127"/>
      <c r="B28" s="2033" t="s">
        <v>1820</v>
      </c>
      <c r="C28" s="2116" t="s">
        <v>3058</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127"/>
      <c r="B29" s="2033" t="s">
        <v>1821</v>
      </c>
      <c r="C29" s="2119" t="s">
        <v>3059</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128"/>
      <c r="B30" s="2033" t="s">
        <v>1822</v>
      </c>
      <c r="C30" s="3129"/>
      <c r="D30" s="3130"/>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31" t="s">
        <v>1823</v>
      </c>
      <c r="B31" s="2121" t="s">
        <v>3060</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132"/>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132"/>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1824</v>
      </c>
      <c r="B34" s="2128" t="s">
        <v>3062</v>
      </c>
      <c r="C34" s="2128" t="s">
        <v>3061</v>
      </c>
      <c r="D34" s="2128" t="s">
        <v>3063</v>
      </c>
      <c r="E34" s="2128" t="s">
        <v>3064</v>
      </c>
      <c r="F34" s="2128" t="s">
        <v>3065</v>
      </c>
      <c r="G34" s="2128" t="s">
        <v>3066</v>
      </c>
      <c r="H34" s="2128" t="s">
        <v>3067</v>
      </c>
      <c r="I34" s="2040"/>
      <c r="J34" s="2040"/>
      <c r="K34" s="1793">
        <f>COUNTIF(B34:H34,"——")</f>
        <v>0</v>
      </c>
      <c r="L34" s="2069" t="s">
        <v>1825</v>
      </c>
      <c r="M34" s="2069" t="s">
        <v>1826</v>
      </c>
      <c r="N34" s="2069" t="s">
        <v>1827</v>
      </c>
      <c r="O34" s="2069" t="s">
        <v>1828</v>
      </c>
      <c r="P34" s="2069" t="s">
        <v>1829</v>
      </c>
      <c r="Q34" s="2069" t="s">
        <v>1830</v>
      </c>
      <c r="R34" s="2069" t="s">
        <v>1831</v>
      </c>
      <c r="S34" s="3126" t="s">
        <v>1832</v>
      </c>
      <c r="T34" s="2129" t="str">
        <f>NUMBERSTRING(7-K34,1)&amp;"通"</f>
        <v>七通</v>
      </c>
      <c r="U34" s="2027"/>
      <c r="V34" s="2027"/>
    </row>
    <row r="35" spans="1:22" ht="18" customHeight="1">
      <c r="A35" s="2130"/>
      <c r="B35" s="3133" t="s">
        <v>1833</v>
      </c>
      <c r="C35" s="3133"/>
      <c r="D35" s="3133"/>
      <c r="E35" s="3133"/>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26"/>
      <c r="T35" s="48" t="str">
        <f>IF(T34="一通",L35,IF(T34="二通",M35,IF(T34="三通",N35,IF(T34="四通",O35,IF(T34="五通",P35,IF(T34="六通",Q35,R35))))))</f>
        <v>通路、通电、通讯、通上水、通下水、通热、燃气</v>
      </c>
      <c r="U35" s="2027"/>
      <c r="V35" s="2027"/>
    </row>
    <row r="36" spans="1:22" ht="18" customHeight="1">
      <c r="A36" s="2132"/>
      <c r="B36" s="2131" t="s">
        <v>1834</v>
      </c>
      <c r="C36" s="2131" t="s">
        <v>1835</v>
      </c>
      <c r="D36" s="2131" t="s">
        <v>1836</v>
      </c>
      <c r="E36" s="2131" t="s">
        <v>1837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1838</v>
      </c>
      <c r="B37" s="2135" t="s">
        <v>269</v>
      </c>
      <c r="C37" s="2135" t="s">
        <v>269</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1839</v>
      </c>
      <c r="B38" s="2137" t="s">
        <v>281</v>
      </c>
      <c r="C38" s="2137" t="s">
        <v>311</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1842</v>
      </c>
      <c r="B42" s="1793" t="s">
        <v>1843</v>
      </c>
      <c r="C42" s="1793" t="s">
        <v>1844</v>
      </c>
      <c r="D42" s="1793" t="s">
        <v>1845</v>
      </c>
      <c r="E42" s="1793" t="s">
        <v>1846</v>
      </c>
      <c r="F42" s="1793" t="s">
        <v>1847</v>
      </c>
      <c r="G42" s="1793" t="s">
        <v>1848</v>
      </c>
      <c r="H42" s="1793" t="s">
        <v>1849</v>
      </c>
      <c r="I42" s="1793" t="s">
        <v>1850</v>
      </c>
      <c r="J42" s="2147" t="s">
        <v>1851</v>
      </c>
      <c r="K42" s="2070" t="s">
        <v>1852</v>
      </c>
      <c r="L42" s="2070" t="s">
        <v>1853</v>
      </c>
      <c r="M42" s="2070" t="s">
        <v>1854</v>
      </c>
      <c r="N42" s="1793" t="s">
        <v>1855</v>
      </c>
      <c r="O42" s="1793" t="s">
        <v>1856</v>
      </c>
      <c r="P42" s="1793" t="s">
        <v>1857</v>
      </c>
      <c r="Q42" s="2069" t="s">
        <v>1858</v>
      </c>
      <c r="R42" s="2069" t="s">
        <v>1859</v>
      </c>
      <c r="S42" s="2027"/>
      <c r="T42" s="2027"/>
      <c r="U42" s="2027"/>
      <c r="V42" s="2027"/>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1862</v>
      </c>
      <c r="B2" s="11" t="s">
        <v>1863</v>
      </c>
      <c r="C2" s="11" t="s">
        <v>1864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1865</v>
      </c>
      <c r="AZ2" s="1271" t="s">
        <v>1866</v>
      </c>
      <c r="BA2" s="11" t="s">
        <v>1867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面积新!H13</f>
        <v>11147.87</v>
      </c>
      <c r="B3" s="14">
        <f>IF(C3="否",G5-AT5,G5)</f>
        <v>98810.33</v>
      </c>
      <c r="C3" s="2163" t="s">
        <v>1868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f>面积新!H13</f>
        <v>11147.87</v>
      </c>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1869</v>
      </c>
      <c r="B5" s="1801"/>
      <c r="C5" s="1801"/>
      <c r="D5" s="1804"/>
      <c r="E5" s="16" t="s">
        <v>1</v>
      </c>
      <c r="F5" s="16">
        <f>SUM(F13:F587)</f>
        <v>0</v>
      </c>
      <c r="G5" s="16">
        <f>SUM(G13:G587)</f>
        <v>98810.33</v>
      </c>
      <c r="H5" s="16">
        <f t="shared" ref="H5:AT5" si="0">SUM(H13:H656)</f>
        <v>98810.33</v>
      </c>
      <c r="I5" s="16">
        <f t="shared" si="0"/>
        <v>10941.939999999999</v>
      </c>
      <c r="J5" s="16">
        <f t="shared" si="0"/>
        <v>0</v>
      </c>
      <c r="K5" s="16">
        <f t="shared" si="0"/>
        <v>3358.16</v>
      </c>
      <c r="L5" s="16">
        <f t="shared" si="0"/>
        <v>0</v>
      </c>
      <c r="M5" s="16">
        <f t="shared" si="0"/>
        <v>61608.09</v>
      </c>
      <c r="N5" s="16">
        <f t="shared" si="0"/>
        <v>0</v>
      </c>
      <c r="O5" s="16">
        <f t="shared" si="0"/>
        <v>6914.72</v>
      </c>
      <c r="P5" s="16">
        <f t="shared" si="0"/>
        <v>0</v>
      </c>
      <c r="Q5" s="16">
        <f t="shared" si="0"/>
        <v>15987.419999999998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98810.33</v>
      </c>
      <c r="BA5" s="18">
        <f t="shared" si="1"/>
        <v>98810.33</v>
      </c>
      <c r="BB5" s="18">
        <f t="shared" si="1"/>
        <v>10941.939999999999</v>
      </c>
      <c r="BC5" s="18">
        <f t="shared" si="1"/>
        <v>3358.16</v>
      </c>
      <c r="BD5" s="18">
        <f t="shared" si="1"/>
        <v>61608.09</v>
      </c>
      <c r="BE5" s="18">
        <f t="shared" si="1"/>
        <v>6914.72</v>
      </c>
      <c r="BF5" s="18">
        <f t="shared" si="1"/>
        <v>15987.419999999998</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1870</v>
      </c>
      <c r="B6" s="2169"/>
      <c r="C6" s="2169"/>
      <c r="D6" s="2170"/>
      <c r="E6" s="16">
        <f>H6+AC6+AT6</f>
        <v>11147.87</v>
      </c>
      <c r="F6" s="16" t="s">
        <v>1</v>
      </c>
      <c r="G6" s="16" t="s">
        <v>2</v>
      </c>
      <c r="H6" s="20">
        <f>SUMIF(I$12:AB$12,"总值",I6:AB6)</f>
        <v>11147.87</v>
      </c>
      <c r="I6" s="16">
        <f t="shared" ref="I6:AB6" si="2">ROUND($A$3*I5/$B$3,2)</f>
        <v>1234.48</v>
      </c>
      <c r="J6" s="16">
        <f t="shared" si="2"/>
        <v>0</v>
      </c>
      <c r="K6" s="16">
        <f t="shared" si="2"/>
        <v>378.87</v>
      </c>
      <c r="L6" s="16">
        <f t="shared" si="2"/>
        <v>0</v>
      </c>
      <c r="M6" s="16">
        <f t="shared" si="2"/>
        <v>6950.68</v>
      </c>
      <c r="N6" s="16">
        <f t="shared" si="2"/>
        <v>0</v>
      </c>
      <c r="O6" s="16">
        <f t="shared" si="2"/>
        <v>780.12</v>
      </c>
      <c r="P6" s="16">
        <f t="shared" si="2"/>
        <v>0</v>
      </c>
      <c r="Q6" s="16">
        <f t="shared" si="2"/>
        <v>1803.72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1870</v>
      </c>
      <c r="AW6" s="2169"/>
      <c r="AX6" s="2169"/>
      <c r="AY6" s="21">
        <f>IF(AY3&gt;0,AY3,ROUND($A$3*AZ5/$B$3,2))</f>
        <v>11147.87</v>
      </c>
      <c r="AZ6" s="16" t="s">
        <v>3</v>
      </c>
      <c r="BA6" s="16">
        <f>ROUND($AY$6*BA5/$AZ$5,2)</f>
        <v>11147.87</v>
      </c>
      <c r="BB6" s="16">
        <f>ROUND($AY$6*BB5/$AZ$5,2)</f>
        <v>1234.48</v>
      </c>
      <c r="BC6" s="16">
        <f t="shared" ref="BC6:BH6" si="4">ROUND($AY$6*BC5/$AZ$5,2)</f>
        <v>378.87</v>
      </c>
      <c r="BD6" s="16">
        <f t="shared" si="4"/>
        <v>6950.68</v>
      </c>
      <c r="BE6" s="16">
        <f t="shared" si="4"/>
        <v>780.12</v>
      </c>
      <c r="BF6" s="16">
        <f t="shared" si="4"/>
        <v>1803.72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1871</v>
      </c>
      <c r="B7" s="2104" t="s">
        <v>1872</v>
      </c>
      <c r="C7" s="2104" t="s">
        <v>1873</v>
      </c>
      <c r="D7" s="2104" t="s">
        <v>1874</v>
      </c>
      <c r="E7" s="2104" t="s">
        <v>1875</v>
      </c>
      <c r="F7" s="2104" t="s">
        <v>1876</v>
      </c>
      <c r="G7" s="2173" t="s">
        <v>1877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1878</v>
      </c>
      <c r="AV7" s="23" t="s">
        <v>1879</v>
      </c>
      <c r="AW7" s="2161" t="s">
        <v>1880</v>
      </c>
      <c r="AX7" s="23" t="s">
        <v>1873</v>
      </c>
      <c r="AY7" s="1801" t="s">
        <v>1881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1882</v>
      </c>
      <c r="H8" s="2179" t="s">
        <v>1883</v>
      </c>
      <c r="I8" s="2180"/>
      <c r="J8" s="1816"/>
      <c r="K8" s="1816"/>
      <c r="L8" s="1816"/>
      <c r="M8" s="1816"/>
      <c r="N8" s="1816"/>
      <c r="O8" s="1816"/>
      <c r="P8" s="1816"/>
      <c r="Q8" s="1816"/>
      <c r="R8" s="1816"/>
      <c r="S8" s="1816"/>
      <c r="T8" s="1816"/>
      <c r="U8" s="1816"/>
      <c r="V8" s="2181"/>
      <c r="W8" s="1816"/>
      <c r="X8" s="1816"/>
      <c r="Y8" s="1816"/>
      <c r="Z8" s="1816"/>
      <c r="AA8" s="2181"/>
      <c r="AB8" s="2182"/>
      <c r="AC8" s="982" t="s">
        <v>1884</v>
      </c>
      <c r="AD8" s="2183"/>
      <c r="AE8" s="2175"/>
      <c r="AF8" s="1816"/>
      <c r="AG8" s="1816"/>
      <c r="AH8" s="1816"/>
      <c r="AI8" s="1816"/>
      <c r="AJ8" s="1816"/>
      <c r="AK8" s="1816"/>
      <c r="AL8" s="1816"/>
      <c r="AM8" s="1816"/>
      <c r="AN8" s="1816"/>
      <c r="AO8" s="1816"/>
      <c r="AP8" s="1816"/>
      <c r="AQ8" s="1816"/>
      <c r="AR8" s="1816"/>
      <c r="AS8" s="1816"/>
      <c r="AT8" s="1293" t="s">
        <v>1885</v>
      </c>
      <c r="AU8" s="2177" t="s">
        <v>1886</v>
      </c>
      <c r="AV8" s="1293"/>
      <c r="AW8" s="2160"/>
      <c r="AX8" s="1293"/>
      <c r="AY8" s="2161"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3"/>
      <c r="H9" s="2185" t="s">
        <v>1889</v>
      </c>
      <c r="I9" s="2186" t="s">
        <v>3034</v>
      </c>
      <c r="J9" s="982"/>
      <c r="K9" s="2186" t="s">
        <v>3034</v>
      </c>
      <c r="L9" s="982"/>
      <c r="M9" s="2186" t="s">
        <v>3034</v>
      </c>
      <c r="N9" s="982"/>
      <c r="O9" s="2186" t="s">
        <v>3047</v>
      </c>
      <c r="P9" s="982"/>
      <c r="Q9" s="2186" t="s">
        <v>3047</v>
      </c>
      <c r="R9" s="982"/>
      <c r="S9" s="2186"/>
      <c r="T9" s="982"/>
      <c r="U9" s="2186"/>
      <c r="V9" s="982"/>
      <c r="W9" s="2186"/>
      <c r="X9" s="2187"/>
      <c r="Y9" s="2186"/>
      <c r="Z9" s="982"/>
      <c r="AA9" s="2186"/>
      <c r="AB9" s="982"/>
      <c r="AC9" s="2178"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8"/>
      <c r="AT9" s="2177"/>
      <c r="AU9" s="2177" t="s">
        <v>1892</v>
      </c>
      <c r="AV9" s="1293"/>
      <c r="AW9" s="2160"/>
      <c r="AX9" s="1293"/>
      <c r="AY9" s="28"/>
      <c r="AZ9" s="28" t="s">
        <v>1882</v>
      </c>
      <c r="BA9" s="2189" t="s">
        <v>1893</v>
      </c>
      <c r="BB9" s="2190"/>
      <c r="BC9" s="1338"/>
      <c r="BD9" s="1338"/>
      <c r="BE9" s="1338"/>
      <c r="BF9" s="1338"/>
      <c r="BG9" s="1338"/>
      <c r="BH9" s="1338"/>
      <c r="BI9" s="1338"/>
      <c r="BJ9" s="1338"/>
      <c r="BK9" s="2191"/>
      <c r="BL9" s="15" t="s">
        <v>1894</v>
      </c>
      <c r="BM9" s="1816"/>
      <c r="BN9" s="2180"/>
      <c r="BO9" s="1816"/>
      <c r="BP9" s="1816"/>
      <c r="BQ9" s="1816"/>
      <c r="BR9" s="1816"/>
      <c r="BS9" s="1816"/>
      <c r="BT9" s="26"/>
    </row>
    <row r="10" spans="1:72" s="2184" customFormat="1" ht="12.75">
      <c r="A10" s="2177"/>
      <c r="B10" s="2177"/>
      <c r="C10" s="2177"/>
      <c r="D10" s="2177"/>
      <c r="E10" s="2177"/>
      <c r="F10" s="2177"/>
      <c r="G10" s="1293"/>
      <c r="H10" s="28"/>
      <c r="I10" s="2186" t="s">
        <v>1371</v>
      </c>
      <c r="J10" s="982"/>
      <c r="K10" s="2192" t="s">
        <v>27</v>
      </c>
      <c r="L10" s="982"/>
      <c r="M10" s="2192" t="s">
        <v>1371</v>
      </c>
      <c r="N10" s="982"/>
      <c r="O10" s="2192" t="s">
        <v>3072</v>
      </c>
      <c r="P10" s="982"/>
      <c r="Q10" s="2192" t="s">
        <v>3074</v>
      </c>
      <c r="R10" s="982"/>
      <c r="S10" s="2192"/>
      <c r="T10" s="982"/>
      <c r="U10" s="2192"/>
      <c r="V10" s="982"/>
      <c r="W10" s="2192"/>
      <c r="X10" s="982"/>
      <c r="Y10" s="2192"/>
      <c r="Z10" s="982"/>
      <c r="AA10" s="2192"/>
      <c r="AB10" s="982"/>
      <c r="AC10" s="1293"/>
      <c r="AD10" s="15" t="s">
        <v>1895</v>
      </c>
      <c r="AE10" s="2193"/>
      <c r="AF10" s="15" t="s">
        <v>1895</v>
      </c>
      <c r="AG10" s="2193"/>
      <c r="AH10" s="15" t="s">
        <v>1896</v>
      </c>
      <c r="AI10" s="2193"/>
      <c r="AJ10" s="15" t="s">
        <v>1896</v>
      </c>
      <c r="AK10" s="2193"/>
      <c r="AL10" s="15" t="s">
        <v>1897</v>
      </c>
      <c r="AM10" s="1299"/>
      <c r="AN10" s="15" t="s">
        <v>1897</v>
      </c>
      <c r="AO10" s="1299"/>
      <c r="AP10" s="15" t="s">
        <v>1898</v>
      </c>
      <c r="AQ10" s="1299"/>
      <c r="AR10" s="15" t="s">
        <v>1898</v>
      </c>
      <c r="AS10" s="1299"/>
      <c r="AT10" s="2177"/>
      <c r="AU10" s="2177"/>
      <c r="AV10" s="1293"/>
      <c r="AW10" s="2160"/>
      <c r="AX10" s="1293"/>
      <c r="AY10" s="28"/>
      <c r="AZ10" s="28"/>
      <c r="BA10" s="2194" t="s">
        <v>1889</v>
      </c>
      <c r="BB10" s="219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3"/>
      <c r="H11" s="2194"/>
      <c r="I11" s="2197" t="s">
        <v>3070</v>
      </c>
      <c r="J11" s="2198"/>
      <c r="K11" s="2197" t="s">
        <v>3071</v>
      </c>
      <c r="L11" s="2198"/>
      <c r="M11" s="2197" t="s">
        <v>3068</v>
      </c>
      <c r="N11" s="2198"/>
      <c r="O11" s="2197" t="s">
        <v>3073</v>
      </c>
      <c r="P11" s="2198"/>
      <c r="Q11" s="2197" t="s">
        <v>3069</v>
      </c>
      <c r="R11" s="2198"/>
      <c r="S11" s="2197"/>
      <c r="T11" s="2198"/>
      <c r="U11" s="2197"/>
      <c r="V11" s="2198"/>
      <c r="W11" s="2197"/>
      <c r="X11" s="2198"/>
      <c r="Y11" s="2197"/>
      <c r="Z11" s="2198"/>
      <c r="AA11" s="2197"/>
      <c r="AB11" s="2198"/>
      <c r="AC11" s="1293"/>
      <c r="AD11" s="2199" t="s">
        <v>1899</v>
      </c>
      <c r="AE11" s="1817"/>
      <c r="AF11" s="2199" t="s">
        <v>1899</v>
      </c>
      <c r="AG11" s="1817"/>
      <c r="AH11" s="2199" t="s">
        <v>1900</v>
      </c>
      <c r="AI11" s="2200"/>
      <c r="AJ11" s="2199" t="s">
        <v>1900</v>
      </c>
      <c r="AK11" s="1817"/>
      <c r="AL11" s="1815"/>
      <c r="AM11" s="1817"/>
      <c r="AN11" s="1815"/>
      <c r="AO11" s="1817"/>
      <c r="AP11" s="1815"/>
      <c r="AQ11" s="1817"/>
      <c r="AR11" s="1815"/>
      <c r="AS11" s="1817"/>
      <c r="AT11" s="2160"/>
      <c r="AU11" s="2177"/>
      <c r="AV11" s="1293"/>
      <c r="AW11" s="2160"/>
      <c r="AX11" s="1293"/>
      <c r="AY11" s="28"/>
      <c r="AZ11" s="28"/>
      <c r="BA11" s="28"/>
      <c r="BB11" s="2182" t="str">
        <f>I10</f>
        <v>商业</v>
      </c>
      <c r="BC11" s="2182" t="str">
        <f>K10</f>
        <v>办公</v>
      </c>
      <c r="BD11" s="2182" t="str">
        <f>M10</f>
        <v>商业</v>
      </c>
      <c r="BE11" s="2182" t="str">
        <f>O10</f>
        <v>仓储</v>
      </c>
      <c r="BF11" s="2182" t="str">
        <f>Q10</f>
        <v>车库—商业</v>
      </c>
      <c r="BG11" s="2182">
        <f>S10</f>
        <v>0</v>
      </c>
      <c r="BH11" s="2182">
        <f>U10</f>
        <v>0</v>
      </c>
      <c r="BI11" s="2182">
        <f>W10</f>
        <v>0</v>
      </c>
      <c r="BJ11" s="2182">
        <f>Y10</f>
        <v>0</v>
      </c>
      <c r="BK11" s="2182">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4"/>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2" t="s">
        <v>1902</v>
      </c>
      <c r="AT12" s="2205"/>
      <c r="AU12" s="2202"/>
      <c r="AV12" s="31"/>
      <c r="AW12" s="2161"/>
      <c r="AX12" s="31"/>
      <c r="AY12" s="2206"/>
      <c r="AZ12" s="28"/>
      <c r="BA12" s="2194"/>
      <c r="BB12" s="24" t="str">
        <f>I11</f>
        <v>底商</v>
      </c>
      <c r="BC12" s="2207" t="str">
        <f>K11</f>
        <v>办公楼</v>
      </c>
      <c r="BD12" s="2207" t="str">
        <f>M11</f>
        <v>酒店</v>
      </c>
      <c r="BE12" s="2182" t="str">
        <f>O11</f>
        <v>戊类库房</v>
      </c>
      <c r="BF12" s="2182" t="str">
        <f>Q11</f>
        <v>车库</v>
      </c>
      <c r="BG12" s="2182">
        <f>S11</f>
        <v>0</v>
      </c>
      <c r="BH12" s="2182">
        <f>U11</f>
        <v>0</v>
      </c>
      <c r="BI12" s="2182">
        <f>W11</f>
        <v>0</v>
      </c>
      <c r="BJ12" s="2182">
        <f>Y11</f>
        <v>0</v>
      </c>
      <c r="BK12" s="2182">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2972"/>
      <c r="D13" s="2208" t="s">
        <v>3056</v>
      </c>
      <c r="E13" s="16">
        <f>IF($C$3="是",ROUND($A$3*G13/$B$3,2),ROUND($A$3*(G13-AT13)/$B$3,2))</f>
        <v>11147.87</v>
      </c>
      <c r="F13" s="32"/>
      <c r="G13" s="33">
        <f>H13+AC13+AT13</f>
        <v>98810.33</v>
      </c>
      <c r="H13" s="20">
        <f>SUMIF(I$12:AB$12,"总值",I13:AB13)</f>
        <v>98810.33</v>
      </c>
      <c r="I13" s="2209">
        <f>面积新!H4</f>
        <v>10941.939999999999</v>
      </c>
      <c r="J13" s="2209"/>
      <c r="K13" s="2209">
        <f>面积新!H5</f>
        <v>3358.16</v>
      </c>
      <c r="L13" s="2209"/>
      <c r="M13" s="2209">
        <f>面积新!H6</f>
        <v>61608.09</v>
      </c>
      <c r="N13" s="2209"/>
      <c r="O13" s="2209">
        <f>面积新!I8</f>
        <v>6914.72</v>
      </c>
      <c r="P13" s="2209"/>
      <c r="Q13" s="2209">
        <f>面积新!I7</f>
        <v>15987.419999999998</v>
      </c>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11147.87</v>
      </c>
      <c r="AZ13" s="16">
        <f>BA13+BL13</f>
        <v>98810.33</v>
      </c>
      <c r="BA13" s="16">
        <f>SUM(BB13:BK13)</f>
        <v>98810.33</v>
      </c>
      <c r="BB13" s="16">
        <f>IF($D13="是",I13-J13,0)</f>
        <v>10941.939999999999</v>
      </c>
      <c r="BC13" s="16">
        <f>IF($D13="是",K13-L13,0)</f>
        <v>3358.16</v>
      </c>
      <c r="BD13" s="16">
        <f>IF($D13="是",M13-N13,0)</f>
        <v>61608.09</v>
      </c>
      <c r="BE13" s="16">
        <f>IF($D13="是",O13-P13,0)</f>
        <v>6914.72</v>
      </c>
      <c r="BF13" s="16">
        <f>IF($D13="是",Q13-R13,0)</f>
        <v>15987.419999999998</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2973"/>
      <c r="D14" s="2208" t="s">
        <v>3056</v>
      </c>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2973"/>
      <c r="D15" s="2208" t="s">
        <v>3056</v>
      </c>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2973"/>
      <c r="D16" s="2208" t="s">
        <v>3056</v>
      </c>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2973"/>
      <c r="D17" s="2208" t="s">
        <v>3056</v>
      </c>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17" sqref="A17:G3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1928</v>
      </c>
      <c r="B1" s="1392"/>
      <c r="C1" s="1392"/>
      <c r="D1" s="1392"/>
      <c r="E1" s="1392"/>
      <c r="F1" s="1392"/>
      <c r="G1" s="1392"/>
      <c r="H1" s="1392"/>
      <c r="I1" s="1392"/>
      <c r="J1" s="1392"/>
      <c r="K1" s="1392"/>
      <c r="L1" s="1392"/>
      <c r="M1" s="1392"/>
      <c r="N1" s="1392"/>
      <c r="O1" s="1392"/>
      <c r="P1" s="1392"/>
    </row>
    <row r="2" spans="1:16" ht="15">
      <c r="A2" s="3165" t="s">
        <v>1929</v>
      </c>
      <c r="B2" s="3165"/>
      <c r="C2" s="3165"/>
      <c r="D2" s="968" t="s">
        <v>1905</v>
      </c>
      <c r="E2" s="2222" t="s">
        <v>1906</v>
      </c>
      <c r="F2" s="1392"/>
      <c r="G2" s="2223"/>
      <c r="H2" s="2224"/>
      <c r="I2" s="2225" t="s">
        <v>1930</v>
      </c>
      <c r="J2" s="1392"/>
      <c r="K2" s="1392"/>
      <c r="L2" s="1392"/>
      <c r="M2" s="1392"/>
      <c r="N2" s="1427"/>
      <c r="O2" s="1392"/>
      <c r="P2" s="1392"/>
    </row>
    <row r="3" spans="1:16" ht="15.75" thickBot="1">
      <c r="A3" s="3166" t="s">
        <v>1903</v>
      </c>
      <c r="B3" s="3166"/>
      <c r="C3" s="3166"/>
      <c r="D3" s="46">
        <f>'数据-基础表'!AY6</f>
        <v>11147.87</v>
      </c>
      <c r="E3" s="46">
        <f>'数据-基础表'!AZ5</f>
        <v>98810.33</v>
      </c>
      <c r="F3" s="1392"/>
      <c r="G3" s="1399"/>
      <c r="H3" s="1248" t="s">
        <v>1904</v>
      </c>
      <c r="I3" s="55">
        <f>ROUND('数据-基础表'!B3/'数据-基础表'!A3,2)</f>
        <v>8.86</v>
      </c>
      <c r="J3" s="1392"/>
      <c r="K3" s="1392"/>
      <c r="L3" s="1392"/>
      <c r="M3" s="1392"/>
      <c r="N3" s="1427"/>
      <c r="O3" s="1392"/>
      <c r="P3" s="1392"/>
    </row>
    <row r="4" spans="1:16" ht="15">
      <c r="A4" s="3167"/>
      <c r="B4" s="3168"/>
      <c r="C4" s="3169"/>
      <c r="D4" s="2226" t="s">
        <v>1905</v>
      </c>
      <c r="E4" s="2227" t="s">
        <v>1906</v>
      </c>
      <c r="F4" s="1392"/>
      <c r="G4" s="2228" t="s">
        <v>1931</v>
      </c>
      <c r="H4" s="1248" t="s">
        <v>1911</v>
      </c>
      <c r="I4" s="55">
        <f>ROUND(SUMIF('数据-基础表'!I9:AS9,"地上",'数据-基础表'!I5:AS5)/'数据-基础表'!A3,2)</f>
        <v>6.81</v>
      </c>
      <c r="J4" s="1392"/>
      <c r="K4" s="1392"/>
      <c r="L4" s="1392"/>
      <c r="M4" s="1392"/>
      <c r="N4" s="1427"/>
      <c r="O4" s="1392"/>
      <c r="P4" s="1392"/>
    </row>
    <row r="5" spans="1:16">
      <c r="A5" s="47" t="s">
        <v>1907</v>
      </c>
      <c r="B5" s="3170" t="s">
        <v>1908</v>
      </c>
      <c r="C5" s="3170"/>
      <c r="D5" s="48">
        <f>ROUND($D$3*E5/$E$3,2)</f>
        <v>0</v>
      </c>
      <c r="E5" s="49">
        <f>SUMIF('数据-基础表'!$11:$11,"住宅",'数据-基础表'!$5:$5)</f>
        <v>0</v>
      </c>
      <c r="F5" s="1392"/>
      <c r="G5" s="1399"/>
      <c r="H5" s="1248" t="s">
        <v>1904</v>
      </c>
      <c r="I5" s="55">
        <f>ROUND(E31/D31,2)</f>
        <v>8.86</v>
      </c>
      <c r="J5" s="1392"/>
      <c r="K5" s="1392"/>
      <c r="L5" s="1392"/>
      <c r="M5" s="1392"/>
      <c r="N5" s="1392"/>
      <c r="O5" s="1392"/>
      <c r="P5" s="1392"/>
    </row>
    <row r="6" spans="1:16" ht="15" thickBot="1">
      <c r="A6" s="2229"/>
      <c r="B6" s="3170" t="s">
        <v>1909</v>
      </c>
      <c r="C6" s="3170"/>
      <c r="D6" s="48">
        <f>ROUND($D$3*E6/$E$3,2)</f>
        <v>11147.87</v>
      </c>
      <c r="E6" s="49">
        <f>E3-E5</f>
        <v>98810.33</v>
      </c>
      <c r="F6" s="1392"/>
      <c r="G6" s="2230" t="s">
        <v>1910</v>
      </c>
      <c r="H6" s="1399" t="s">
        <v>1911</v>
      </c>
      <c r="I6" s="940">
        <f>ROUND(F31/D31,2)</f>
        <v>6.81</v>
      </c>
      <c r="J6" s="1392"/>
      <c r="K6" s="1392"/>
      <c r="L6" s="1392"/>
      <c r="M6" s="1392"/>
      <c r="N6" s="1392"/>
      <c r="O6" s="1392"/>
      <c r="P6" s="1392"/>
    </row>
    <row r="7" spans="1:16" ht="15">
      <c r="A7" s="3162"/>
      <c r="B7" s="3163"/>
      <c r="C7" s="3164"/>
      <c r="D7" s="2226" t="s">
        <v>1905</v>
      </c>
      <c r="E7" s="2231" t="s">
        <v>1912</v>
      </c>
      <c r="F7" s="1392"/>
      <c r="G7" s="2223" t="s">
        <v>1913</v>
      </c>
      <c r="H7" s="64"/>
      <c r="I7" s="420"/>
      <c r="J7" s="1392"/>
      <c r="K7" s="1392"/>
      <c r="L7" s="1392"/>
      <c r="M7" s="1392"/>
      <c r="N7" s="1392"/>
      <c r="O7" s="1392"/>
      <c r="P7" s="1392"/>
    </row>
    <row r="8" spans="1:16">
      <c r="A8" s="47" t="s">
        <v>1914</v>
      </c>
      <c r="B8" s="50" t="s">
        <v>1915</v>
      </c>
      <c r="C8" s="48" t="s">
        <v>1916</v>
      </c>
      <c r="D8" s="48">
        <f t="shared" ref="D8:D15" si="0">ROUND($D$3*E8/$E$3,2)</f>
        <v>8564.0300000000007</v>
      </c>
      <c r="E8" s="51">
        <f>SUMIF('数据-基础表'!BB10:BK10,"地上",'数据-基础表'!BB5:BK5)</f>
        <v>75908.19</v>
      </c>
      <c r="F8" s="1392"/>
      <c r="G8" s="2232"/>
      <c r="H8" s="2232"/>
      <c r="I8" s="1392"/>
      <c r="J8" s="1392"/>
      <c r="K8" s="1392"/>
      <c r="L8" s="1392"/>
      <c r="M8" s="1392"/>
      <c r="N8" s="1392"/>
      <c r="O8" s="1392"/>
      <c r="P8" s="1392"/>
    </row>
    <row r="9" spans="1:16">
      <c r="A9" s="2233"/>
      <c r="B9" s="2234"/>
      <c r="C9" s="48" t="s">
        <v>1917</v>
      </c>
      <c r="D9" s="48">
        <f t="shared" si="0"/>
        <v>0</v>
      </c>
      <c r="E9" s="52">
        <v>0</v>
      </c>
      <c r="F9" s="1392"/>
      <c r="G9" s="2232"/>
      <c r="H9" s="2232"/>
      <c r="I9" s="1392"/>
      <c r="J9" s="1392"/>
      <c r="K9" s="1392"/>
      <c r="L9" s="1392"/>
      <c r="M9" s="1392"/>
      <c r="N9" s="1392"/>
      <c r="O9" s="1392"/>
      <c r="P9" s="1392"/>
    </row>
    <row r="10" spans="1:16">
      <c r="A10" s="2233"/>
      <c r="B10" s="2234"/>
      <c r="C10" s="48" t="s">
        <v>1926</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1918</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1919</v>
      </c>
      <c r="D12" s="48">
        <f t="shared" si="0"/>
        <v>780.12</v>
      </c>
      <c r="E12" s="51">
        <f>SUMPRODUCT(('数据-基础表'!BB10:BK10="地下")*('数据-基础表'!BB11:BK11="仓储")*('数据-基础表'!BB5:BK5))</f>
        <v>6914.72</v>
      </c>
      <c r="F12" s="1392"/>
      <c r="G12" s="2232"/>
      <c r="H12" s="2232"/>
      <c r="I12" s="1392"/>
      <c r="J12" s="1392"/>
      <c r="K12" s="1392"/>
      <c r="L12" s="1392"/>
      <c r="M12" s="1392"/>
      <c r="N12" s="1392"/>
      <c r="O12" s="1392"/>
      <c r="P12" s="1392"/>
    </row>
    <row r="13" spans="1:16">
      <c r="A13" s="2233"/>
      <c r="B13" s="2234"/>
      <c r="C13" s="48" t="s">
        <v>1920</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1932</v>
      </c>
      <c r="D14" s="48">
        <f t="shared" si="0"/>
        <v>1803.72</v>
      </c>
      <c r="E14" s="51">
        <f>SUMPRODUCT(('数据-基础表'!BB10:BK10="地下")*('数据-基础表'!BB11:BK11="车库—商业")*('数据-基础表'!BB5:BK5))</f>
        <v>15987.419999999998</v>
      </c>
      <c r="F14" s="1392"/>
      <c r="G14" s="2232"/>
      <c r="H14" s="2232"/>
      <c r="I14" s="1392"/>
      <c r="J14" s="1392"/>
      <c r="K14" s="1392"/>
      <c r="L14" s="1392"/>
      <c r="M14" s="1392"/>
      <c r="N14" s="1392"/>
      <c r="O14" s="1392"/>
      <c r="P14" s="1392"/>
    </row>
    <row r="15" spans="1:16" ht="15" thickBot="1">
      <c r="A15" s="2233"/>
      <c r="B15" s="2234"/>
      <c r="C15" s="48" t="s">
        <v>1927</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1921</v>
      </c>
      <c r="D16" s="50">
        <f>SUM(D8:D15)</f>
        <v>11147.87</v>
      </c>
      <c r="E16" s="53">
        <f>SUM(E8:E15)</f>
        <v>98810.33</v>
      </c>
      <c r="F16" s="1392"/>
      <c r="G16" s="2232"/>
      <c r="H16" s="2235" t="s">
        <v>1933</v>
      </c>
      <c r="I16" s="2236"/>
      <c r="J16" s="1392"/>
      <c r="K16" s="3159" t="s">
        <v>1933</v>
      </c>
      <c r="L16" s="3160"/>
      <c r="M16" s="3160"/>
      <c r="N16" s="3160"/>
      <c r="O16" s="3160"/>
      <c r="P16" s="3161"/>
    </row>
    <row r="17" spans="1:19" ht="15">
      <c r="A17" s="2237" t="s">
        <v>1934</v>
      </c>
      <c r="B17" s="2238" t="s">
        <v>1935</v>
      </c>
      <c r="C17" s="2239" t="s">
        <v>1936</v>
      </c>
      <c r="D17" s="2240" t="s">
        <v>1924</v>
      </c>
      <c r="E17" s="2241" t="s">
        <v>1925</v>
      </c>
      <c r="F17" s="2242"/>
      <c r="G17" s="2243"/>
      <c r="H17" s="2244" t="s">
        <v>1937</v>
      </c>
      <c r="I17" s="2245" t="s">
        <v>1922</v>
      </c>
      <c r="J17" s="1392"/>
      <c r="K17" s="3156" t="s">
        <v>1938</v>
      </c>
      <c r="L17" s="3157"/>
      <c r="M17" s="3158"/>
      <c r="N17" s="3156" t="s">
        <v>1939</v>
      </c>
      <c r="O17" s="3157"/>
      <c r="P17" s="3158"/>
      <c r="R17" s="2223" t="s">
        <v>1940</v>
      </c>
      <c r="S17" s="64"/>
    </row>
    <row r="18" spans="1:19" ht="15">
      <c r="A18" s="2233"/>
      <c r="B18" s="2246"/>
      <c r="C18" s="2247"/>
      <c r="D18" s="2248"/>
      <c r="E18" s="2249" t="s">
        <v>1941</v>
      </c>
      <c r="F18" s="2250" t="s">
        <v>1942</v>
      </c>
      <c r="G18" s="2251" t="s">
        <v>1943</v>
      </c>
      <c r="H18" s="1263" t="s">
        <v>1944</v>
      </c>
      <c r="I18" s="2252" t="s">
        <v>1945</v>
      </c>
      <c r="J18" s="1392"/>
      <c r="K18" s="1263" t="s">
        <v>1946</v>
      </c>
      <c r="L18" s="2253" t="s">
        <v>1947</v>
      </c>
      <c r="M18" s="1047" t="s">
        <v>1948</v>
      </c>
      <c r="N18" s="1263" t="s">
        <v>1946</v>
      </c>
      <c r="O18" s="2253" t="s">
        <v>1947</v>
      </c>
      <c r="P18" s="1047" t="s">
        <v>1948</v>
      </c>
      <c r="R18" s="1248" t="s">
        <v>1949</v>
      </c>
      <c r="S18" s="1248" t="s">
        <v>1950</v>
      </c>
    </row>
    <row r="19" spans="1:19">
      <c r="A19" s="2254"/>
      <c r="B19" s="50" t="s">
        <v>1923</v>
      </c>
      <c r="C19" s="2974" t="s">
        <v>3075</v>
      </c>
      <c r="D19" s="48">
        <f>ROUND($D$3*E19/$E$3,2)</f>
        <v>1234.48</v>
      </c>
      <c r="E19" s="56">
        <f t="shared" ref="E19:E26" si="1">SUM(F19:G19)</f>
        <v>10941.939999999999</v>
      </c>
      <c r="F19" s="57">
        <f>'数据-基础表'!I13</f>
        <v>10941.939999999999</v>
      </c>
      <c r="G19" s="58"/>
      <c r="H19" s="723">
        <f>ROUND($D$3*I19/$E$3,2)</f>
        <v>0</v>
      </c>
      <c r="I19" s="51">
        <f t="shared" ref="I19:I26" si="2">IF($I$17="自定义",P19,M19)</f>
        <v>0</v>
      </c>
      <c r="J19" s="1392"/>
      <c r="K19" s="1391">
        <f t="shared" ref="K19:K26" si="3">ROUND(E$28*E19/E$27,2)</f>
        <v>0</v>
      </c>
      <c r="L19" s="1248">
        <f t="shared" ref="L19:L26" si="4">ROUND(IF(COUNTIF(C19,"*住宅*")&gt;0,E$29*E19/E$32,0),2)</f>
        <v>0</v>
      </c>
      <c r="M19" s="1403">
        <f>K19+L19</f>
        <v>0</v>
      </c>
      <c r="N19" s="2255"/>
      <c r="O19" s="2256"/>
      <c r="P19" s="1403">
        <f>N19+O19</f>
        <v>0</v>
      </c>
      <c r="R19" s="1248">
        <f t="shared" ref="R19:S26" si="5">D19+H19</f>
        <v>1234.48</v>
      </c>
      <c r="S19" s="1249">
        <f t="shared" si="5"/>
        <v>10941.939999999999</v>
      </c>
    </row>
    <row r="20" spans="1:19">
      <c r="A20" s="2257"/>
      <c r="B20" s="50" t="s">
        <v>1951</v>
      </c>
      <c r="C20" s="2974" t="s">
        <v>3076</v>
      </c>
      <c r="D20" s="48">
        <f t="shared" ref="D20:D26" si="6">ROUND($D$3*E20/$E$3,2)</f>
        <v>378.87</v>
      </c>
      <c r="E20" s="56">
        <f t="shared" si="1"/>
        <v>3358.16</v>
      </c>
      <c r="F20" s="57">
        <f>'数据-基础表'!K13</f>
        <v>3358.16</v>
      </c>
      <c r="G20" s="58"/>
      <c r="H20" s="723">
        <f t="shared" ref="H20:H26" si="7">ROUND($D$3*I20/$E$3,2)</f>
        <v>0</v>
      </c>
      <c r="I20" s="51">
        <f t="shared" si="2"/>
        <v>0</v>
      </c>
      <c r="J20" s="1392"/>
      <c r="K20" s="1391">
        <f t="shared" si="3"/>
        <v>0</v>
      </c>
      <c r="L20" s="1248">
        <f t="shared" si="4"/>
        <v>0</v>
      </c>
      <c r="M20" s="1403">
        <f t="shared" ref="M20:M26" si="8">K20+L20</f>
        <v>0</v>
      </c>
      <c r="N20" s="2255"/>
      <c r="O20" s="2256"/>
      <c r="P20" s="1403">
        <f t="shared" ref="P20:P26" si="9">N20+O20</f>
        <v>0</v>
      </c>
      <c r="R20" s="1248">
        <f t="shared" si="5"/>
        <v>378.87</v>
      </c>
      <c r="S20" s="1249">
        <f t="shared" si="5"/>
        <v>3358.16</v>
      </c>
    </row>
    <row r="21" spans="1:19">
      <c r="A21" s="2257"/>
      <c r="B21" s="50" t="s">
        <v>1951</v>
      </c>
      <c r="C21" s="2974" t="s">
        <v>3077</v>
      </c>
      <c r="D21" s="48">
        <f t="shared" si="6"/>
        <v>6950.68</v>
      </c>
      <c r="E21" s="56">
        <f t="shared" si="1"/>
        <v>61608.09</v>
      </c>
      <c r="F21" s="57">
        <f>'数据-基础表'!M13</f>
        <v>61608.09</v>
      </c>
      <c r="G21" s="58"/>
      <c r="H21" s="723">
        <f t="shared" si="7"/>
        <v>0</v>
      </c>
      <c r="I21" s="51">
        <f t="shared" si="2"/>
        <v>0</v>
      </c>
      <c r="J21" s="1392"/>
      <c r="K21" s="1391">
        <f t="shared" si="3"/>
        <v>0</v>
      </c>
      <c r="L21" s="1248">
        <f t="shared" si="4"/>
        <v>0</v>
      </c>
      <c r="M21" s="1403">
        <f t="shared" si="8"/>
        <v>0</v>
      </c>
      <c r="N21" s="2255"/>
      <c r="O21" s="2256"/>
      <c r="P21" s="1403">
        <f t="shared" si="9"/>
        <v>0</v>
      </c>
      <c r="R21" s="1248">
        <f t="shared" si="5"/>
        <v>6950.68</v>
      </c>
      <c r="S21" s="1249">
        <f t="shared" si="5"/>
        <v>61608.09</v>
      </c>
    </row>
    <row r="22" spans="1:19">
      <c r="A22" s="2257"/>
      <c r="B22" s="50" t="s">
        <v>1951</v>
      </c>
      <c r="C22" s="2975" t="s">
        <v>3078</v>
      </c>
      <c r="D22" s="48">
        <f t="shared" si="6"/>
        <v>1803.72</v>
      </c>
      <c r="E22" s="56">
        <f t="shared" si="1"/>
        <v>15987.419999999998</v>
      </c>
      <c r="F22" s="61"/>
      <c r="G22" s="62">
        <f>'数据-基础表'!Q13</f>
        <v>15987.419999999998</v>
      </c>
      <c r="H22" s="723">
        <f t="shared" si="7"/>
        <v>0</v>
      </c>
      <c r="I22" s="51">
        <f t="shared" si="2"/>
        <v>0</v>
      </c>
      <c r="J22" s="1392"/>
      <c r="K22" s="1391">
        <f t="shared" si="3"/>
        <v>0</v>
      </c>
      <c r="L22" s="1248">
        <f t="shared" si="4"/>
        <v>0</v>
      </c>
      <c r="M22" s="1403">
        <f t="shared" si="8"/>
        <v>0</v>
      </c>
      <c r="N22" s="2255"/>
      <c r="O22" s="2256"/>
      <c r="P22" s="1403">
        <f t="shared" si="9"/>
        <v>0</v>
      </c>
      <c r="R22" s="1248">
        <f t="shared" si="5"/>
        <v>1803.72</v>
      </c>
      <c r="S22" s="1249">
        <f t="shared" si="5"/>
        <v>15987.419999999998</v>
      </c>
    </row>
    <row r="23" spans="1:19">
      <c r="A23" s="2257"/>
      <c r="B23" s="50" t="s">
        <v>1951</v>
      </c>
      <c r="C23" s="2975" t="s">
        <v>3079</v>
      </c>
      <c r="D23" s="48">
        <f>ROUND($D$3*E23/$E$3,2)</f>
        <v>780.12</v>
      </c>
      <c r="E23" s="56">
        <f>SUM(F23:G23)</f>
        <v>6914.72</v>
      </c>
      <c r="F23" s="61"/>
      <c r="G23" s="62">
        <f>'数据-基础表'!O13</f>
        <v>6914.72</v>
      </c>
      <c r="H23" s="723">
        <f>ROUND($D$3*I23/$E$3,2)</f>
        <v>0</v>
      </c>
      <c r="I23" s="51">
        <f t="shared" si="2"/>
        <v>0</v>
      </c>
      <c r="J23" s="1392"/>
      <c r="K23" s="1391">
        <f t="shared" si="3"/>
        <v>0</v>
      </c>
      <c r="L23" s="1248">
        <f t="shared" si="4"/>
        <v>0</v>
      </c>
      <c r="M23" s="1403">
        <f t="shared" si="8"/>
        <v>0</v>
      </c>
      <c r="N23" s="2255"/>
      <c r="O23" s="2256"/>
      <c r="P23" s="1403">
        <f t="shared" si="9"/>
        <v>0</v>
      </c>
      <c r="R23" s="1248">
        <f t="shared" si="5"/>
        <v>780.12</v>
      </c>
      <c r="S23" s="1249">
        <f t="shared" si="5"/>
        <v>6914.72</v>
      </c>
    </row>
    <row r="24" spans="1:19">
      <c r="A24" s="2257"/>
      <c r="B24" s="50" t="s">
        <v>1951</v>
      </c>
      <c r="C24" s="60"/>
      <c r="D24" s="48">
        <f>ROUND($D$3*E24/$E$3,2)</f>
        <v>0</v>
      </c>
      <c r="E24" s="56">
        <f>SUM(F24:G24)</f>
        <v>0</v>
      </c>
      <c r="F24" s="61"/>
      <c r="G24" s="62"/>
      <c r="H24" s="723">
        <f>ROUND($D$3*I24/$E$3,2)</f>
        <v>0</v>
      </c>
      <c r="I24" s="51">
        <f t="shared" si="2"/>
        <v>0</v>
      </c>
      <c r="J24" s="1392"/>
      <c r="K24" s="1391">
        <f t="shared" si="3"/>
        <v>0</v>
      </c>
      <c r="L24" s="1248">
        <f t="shared" si="4"/>
        <v>0</v>
      </c>
      <c r="M24" s="1403">
        <f t="shared" si="8"/>
        <v>0</v>
      </c>
      <c r="N24" s="2255"/>
      <c r="O24" s="2256"/>
      <c r="P24" s="1403">
        <f t="shared" si="9"/>
        <v>0</v>
      </c>
      <c r="R24" s="1248">
        <f t="shared" si="5"/>
        <v>0</v>
      </c>
      <c r="S24" s="1249">
        <f t="shared" si="5"/>
        <v>0</v>
      </c>
    </row>
    <row r="25" spans="1:19">
      <c r="A25" s="2257"/>
      <c r="B25" s="50" t="s">
        <v>1951</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55"/>
      <c r="O25" s="2256"/>
      <c r="P25" s="1403">
        <f t="shared" si="9"/>
        <v>0</v>
      </c>
      <c r="R25" s="1248">
        <f t="shared" si="5"/>
        <v>0</v>
      </c>
      <c r="S25" s="1249">
        <f t="shared" si="5"/>
        <v>0</v>
      </c>
    </row>
    <row r="26" spans="1:19">
      <c r="A26" s="2257"/>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8">
        <f t="shared" si="5"/>
        <v>0</v>
      </c>
      <c r="S26" s="1249">
        <f t="shared" si="5"/>
        <v>0</v>
      </c>
    </row>
    <row r="27" spans="1:19" ht="15.75" thickBot="1">
      <c r="A27" s="2257"/>
      <c r="B27" s="48"/>
      <c r="C27" s="2260" t="s">
        <v>1952</v>
      </c>
      <c r="D27" s="1393">
        <f>SUM(D19:D26)</f>
        <v>11147.87</v>
      </c>
      <c r="E27" s="1394">
        <f>IF(SUM(E19:E26)='数据-基础表'!BA5,SUM(E19:E26),IF(F27="地上面积有误","面积有误","地下面积有误"))</f>
        <v>98810.33</v>
      </c>
      <c r="F27" s="1393">
        <f>IF(SUM(F19:F26)=E8,SUM(F19:F26),"地上面积有误")</f>
        <v>75908.19</v>
      </c>
      <c r="G27" s="1395">
        <f>SUM(G19:G26)</f>
        <v>22902.14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11147.87</v>
      </c>
      <c r="S27" s="1248">
        <f>IF(SUM(S19:S26)=$E$3,SUM(S19:S26),SUM(S19:S26)&amp;"误差"&amp;ROUND(SUM(S19:S26)-E3,2))</f>
        <v>98810.33</v>
      </c>
    </row>
    <row r="28" spans="1:19">
      <c r="A28" s="2257"/>
      <c r="B28" s="50" t="s">
        <v>1953</v>
      </c>
      <c r="C28" s="1260"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1953</v>
      </c>
      <c r="C29" s="2261"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8" t="s">
        <v>1956</v>
      </c>
      <c r="D31" s="729">
        <f>D27+D30</f>
        <v>11147.87</v>
      </c>
      <c r="E31" s="729">
        <f>E27+E30</f>
        <v>98810.33</v>
      </c>
      <c r="F31" s="730">
        <f>F27+F30</f>
        <v>75908.19</v>
      </c>
      <c r="G31" s="731">
        <f>G27+G30</f>
        <v>22902.14</v>
      </c>
      <c r="H31" s="1392"/>
      <c r="I31" s="1392"/>
      <c r="J31" s="1392"/>
      <c r="K31" s="1392"/>
      <c r="L31" s="1392"/>
      <c r="M31" s="1392"/>
      <c r="N31" s="1392"/>
      <c r="O31" s="1392"/>
      <c r="P31" s="1392"/>
    </row>
    <row r="32" spans="1:19">
      <c r="A32" s="2228"/>
      <c r="B32" s="2228" t="s">
        <v>1957</v>
      </c>
      <c r="C32" s="2228"/>
      <c r="D32" s="2228"/>
      <c r="E32" s="1275">
        <f>SUMIF(C19:C26,"*住宅*",E19:E26)</f>
        <v>0</v>
      </c>
      <c r="F32" s="2228"/>
      <c r="G32" s="2228"/>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topLeftCell="A22" zoomScaleNormal="100" workbookViewId="0">
      <selection activeCell="I68" sqref="I68"/>
    </sheetView>
  </sheetViews>
  <sheetFormatPr defaultRowHeight="12"/>
  <cols>
    <col min="1" max="1" width="9" style="3024"/>
    <col min="2" max="2" width="15.5" style="3025" customWidth="1"/>
    <col min="3" max="4" width="9" style="3024"/>
    <col min="5" max="5" width="9" style="3025"/>
    <col min="6" max="7" width="9" style="3024"/>
    <col min="8" max="9" width="10.5" style="3024" customWidth="1"/>
    <col min="10" max="10" width="14" style="3025" customWidth="1"/>
    <col min="11" max="16384" width="9" style="3024"/>
  </cols>
  <sheetData>
    <row r="1" spans="1:13">
      <c r="A1" s="3171" t="s">
        <v>3254</v>
      </c>
      <c r="B1" s="3171"/>
      <c r="C1" s="3171"/>
      <c r="D1" s="3171"/>
      <c r="E1" s="3171"/>
    </row>
    <row r="2" spans="1:13">
      <c r="A2" s="3026" t="s">
        <v>3255</v>
      </c>
      <c r="B2" s="3027" t="s">
        <v>3256</v>
      </c>
      <c r="C2" s="3026" t="s">
        <v>3259</v>
      </c>
      <c r="D2" s="3026" t="s">
        <v>3262</v>
      </c>
      <c r="E2" s="3027" t="s">
        <v>3260</v>
      </c>
    </row>
    <row r="3" spans="1:13">
      <c r="A3" s="3026">
        <v>1</v>
      </c>
      <c r="B3" s="3027" t="s">
        <v>3258</v>
      </c>
      <c r="C3" s="3026">
        <v>83.17</v>
      </c>
      <c r="D3" s="3026"/>
      <c r="E3" s="3027" t="s">
        <v>3261</v>
      </c>
      <c r="G3" s="3026" t="s">
        <v>3369</v>
      </c>
      <c r="H3" s="3026" t="s">
        <v>3375</v>
      </c>
      <c r="I3" s="3026" t="s">
        <v>3374</v>
      </c>
      <c r="J3" s="3027" t="s">
        <v>3260</v>
      </c>
      <c r="L3" s="3024" t="s">
        <v>3376</v>
      </c>
      <c r="M3" s="3024" t="s">
        <v>3377</v>
      </c>
    </row>
    <row r="4" spans="1:13">
      <c r="A4" s="3026">
        <v>2</v>
      </c>
      <c r="B4" s="3027" t="s">
        <v>3263</v>
      </c>
      <c r="C4" s="3026">
        <v>2704.7</v>
      </c>
      <c r="D4" s="3026" t="s">
        <v>3264</v>
      </c>
      <c r="E4" s="3027" t="s">
        <v>3261</v>
      </c>
      <c r="G4" s="3026" t="s">
        <v>3370</v>
      </c>
      <c r="H4" s="3026">
        <f>C26+C29+C30+C31+C33</f>
        <v>10941.939999999999</v>
      </c>
      <c r="I4" s="3026">
        <v>0</v>
      </c>
      <c r="J4" s="3027" t="s">
        <v>3380</v>
      </c>
      <c r="L4" s="3024">
        <f>C26+C29+C30+C31</f>
        <v>4137.24</v>
      </c>
      <c r="M4" s="3024">
        <f>C33</f>
        <v>6804.7</v>
      </c>
    </row>
    <row r="5" spans="1:13">
      <c r="A5" s="3026">
        <v>3</v>
      </c>
      <c r="B5" s="3027" t="s">
        <v>3265</v>
      </c>
      <c r="C5" s="3026">
        <v>11208.56</v>
      </c>
      <c r="D5" s="3026" t="s">
        <v>3266</v>
      </c>
      <c r="E5" s="3027" t="s">
        <v>3267</v>
      </c>
      <c r="G5" s="3026" t="s">
        <v>3371</v>
      </c>
      <c r="H5" s="3026">
        <f>C39+C42</f>
        <v>3358.16</v>
      </c>
      <c r="I5" s="3026">
        <v>0</v>
      </c>
      <c r="J5" s="3027" t="s">
        <v>3381</v>
      </c>
    </row>
    <row r="6" spans="1:13">
      <c r="A6" s="3026">
        <v>4</v>
      </c>
      <c r="B6" s="3027" t="s">
        <v>3286</v>
      </c>
      <c r="C6" s="3026">
        <v>1422.12</v>
      </c>
      <c r="D6" s="3026"/>
      <c r="E6" s="3027" t="s">
        <v>3269</v>
      </c>
      <c r="G6" s="3026" t="s">
        <v>3303</v>
      </c>
      <c r="H6" s="3026">
        <f>C27+C28+C35+C37+C40+SUM(C43:C63)</f>
        <v>61608.09</v>
      </c>
      <c r="I6" s="3026">
        <v>0</v>
      </c>
      <c r="J6" s="3027" t="s">
        <v>3382</v>
      </c>
    </row>
    <row r="7" spans="1:13">
      <c r="A7" s="3026">
        <v>5</v>
      </c>
      <c r="B7" s="3027" t="s">
        <v>3270</v>
      </c>
      <c r="C7" s="3026">
        <v>90.92</v>
      </c>
      <c r="D7" s="3026" t="s">
        <v>3274</v>
      </c>
      <c r="E7" s="3027" t="s">
        <v>3269</v>
      </c>
      <c r="G7" s="3026" t="s">
        <v>3043</v>
      </c>
      <c r="H7" s="3026">
        <v>0</v>
      </c>
      <c r="I7" s="3026">
        <f>C4+C5+C19</f>
        <v>15987.419999999998</v>
      </c>
      <c r="J7" s="3027" t="s">
        <v>3383</v>
      </c>
    </row>
    <row r="8" spans="1:13">
      <c r="A8" s="3026">
        <v>6</v>
      </c>
      <c r="B8" s="3027" t="s">
        <v>3271</v>
      </c>
      <c r="C8" s="3026">
        <v>184</v>
      </c>
      <c r="D8" s="3026" t="s">
        <v>3274</v>
      </c>
      <c r="E8" s="3027" t="s">
        <v>3269</v>
      </c>
      <c r="G8" s="3026" t="s">
        <v>3372</v>
      </c>
      <c r="H8" s="3026">
        <v>0</v>
      </c>
      <c r="I8" s="3026">
        <f>SUM(C7:C17)+C22+C23</f>
        <v>6914.72</v>
      </c>
      <c r="J8" s="3027" t="s">
        <v>3384</v>
      </c>
    </row>
    <row r="9" spans="1:13">
      <c r="A9" s="3026">
        <v>7</v>
      </c>
      <c r="B9" s="3027" t="s">
        <v>3272</v>
      </c>
      <c r="C9" s="3026">
        <v>69.06</v>
      </c>
      <c r="D9" s="3026" t="s">
        <v>3274</v>
      </c>
      <c r="E9" s="3027" t="s">
        <v>3268</v>
      </c>
      <c r="G9" s="3026" t="s">
        <v>3373</v>
      </c>
      <c r="H9" s="3026">
        <f>C25+C32+C34+C36+C38+C41</f>
        <v>3107.8199999999997</v>
      </c>
      <c r="I9" s="3026">
        <f>C3+C6+C18+C20+C21+C24</f>
        <v>8569.92</v>
      </c>
      <c r="J9" s="3027"/>
    </row>
    <row r="10" spans="1:13">
      <c r="A10" s="3026">
        <v>8</v>
      </c>
      <c r="B10" s="3027" t="s">
        <v>3273</v>
      </c>
      <c r="C10" s="3026">
        <v>100.55</v>
      </c>
      <c r="D10" s="3026" t="s">
        <v>3274</v>
      </c>
      <c r="E10" s="3027" t="s">
        <v>3268</v>
      </c>
      <c r="G10" s="3026" t="s">
        <v>3378</v>
      </c>
      <c r="H10" s="3026">
        <f>SUM(H4:H9)</f>
        <v>79016.010000000009</v>
      </c>
      <c r="I10" s="3026">
        <f>SUM(I4:I9)</f>
        <v>31472.059999999998</v>
      </c>
      <c r="J10" s="3027"/>
    </row>
    <row r="11" spans="1:13">
      <c r="A11" s="3026">
        <v>9</v>
      </c>
      <c r="B11" s="3027" t="s">
        <v>3275</v>
      </c>
      <c r="C11" s="3026">
        <v>154.18</v>
      </c>
      <c r="D11" s="3026" t="s">
        <v>3274</v>
      </c>
      <c r="E11" s="3027" t="s">
        <v>3268</v>
      </c>
      <c r="G11" s="3028"/>
      <c r="H11" s="3028"/>
      <c r="I11" s="3028"/>
      <c r="J11" s="3029"/>
    </row>
    <row r="12" spans="1:13">
      <c r="A12" s="3026">
        <v>10</v>
      </c>
      <c r="B12" s="3027" t="s">
        <v>3276</v>
      </c>
      <c r="C12" s="3026">
        <v>108.56</v>
      </c>
      <c r="D12" s="3026" t="s">
        <v>3274</v>
      </c>
      <c r="E12" s="3027" t="s">
        <v>3268</v>
      </c>
      <c r="G12" s="3028" t="s">
        <v>3379</v>
      </c>
      <c r="H12" s="3028">
        <f>H4+H5+H6+I7+I8</f>
        <v>98810.33</v>
      </c>
      <c r="I12" s="3028"/>
      <c r="J12" s="3029"/>
    </row>
    <row r="13" spans="1:13">
      <c r="A13" s="3026">
        <v>11</v>
      </c>
      <c r="B13" s="3027" t="s">
        <v>3277</v>
      </c>
      <c r="C13" s="3026">
        <v>90.39</v>
      </c>
      <c r="D13" s="3026" t="s">
        <v>3274</v>
      </c>
      <c r="E13" s="3027" t="s">
        <v>3268</v>
      </c>
      <c r="G13" s="3028" t="s">
        <v>3051</v>
      </c>
      <c r="H13" s="3028">
        <v>11147.87</v>
      </c>
      <c r="I13" s="3028"/>
      <c r="J13" s="3031">
        <f>'数据-基础表'!A3</f>
        <v>11147.87</v>
      </c>
    </row>
    <row r="14" spans="1:13">
      <c r="A14" s="3026">
        <v>12</v>
      </c>
      <c r="B14" s="3027" t="s">
        <v>3278</v>
      </c>
      <c r="C14" s="3026">
        <v>346.89</v>
      </c>
      <c r="D14" s="3026" t="s">
        <v>3274</v>
      </c>
      <c r="E14" s="3027" t="s">
        <v>3268</v>
      </c>
    </row>
    <row r="15" spans="1:13">
      <c r="A15" s="3026">
        <v>13</v>
      </c>
      <c r="B15" s="3027" t="s">
        <v>3279</v>
      </c>
      <c r="C15" s="3026">
        <v>65.66</v>
      </c>
      <c r="D15" s="3026" t="s">
        <v>3274</v>
      </c>
      <c r="E15" s="3027" t="s">
        <v>3268</v>
      </c>
      <c r="G15" s="3024" t="s">
        <v>3385</v>
      </c>
      <c r="H15" s="3030">
        <f>ROUND((H4+H5+H6+H9)/H13,2)</f>
        <v>7.09</v>
      </c>
      <c r="J15" s="3032">
        <f>ROUND((H4+H5+H6+H9)/J13,2)</f>
        <v>7.09</v>
      </c>
    </row>
    <row r="16" spans="1:13">
      <c r="A16" s="3026">
        <v>14</v>
      </c>
      <c r="B16" s="3027" t="s">
        <v>3280</v>
      </c>
      <c r="C16" s="3026">
        <v>203.14</v>
      </c>
      <c r="D16" s="3026" t="s">
        <v>3274</v>
      </c>
      <c r="E16" s="3027" t="s">
        <v>3268</v>
      </c>
    </row>
    <row r="17" spans="1:11">
      <c r="A17" s="3026">
        <v>15</v>
      </c>
      <c r="B17" s="3027" t="s">
        <v>3281</v>
      </c>
      <c r="C17" s="3026">
        <v>51.85</v>
      </c>
      <c r="D17" s="3026" t="s">
        <v>3274</v>
      </c>
      <c r="E17" s="3027" t="s">
        <v>3268</v>
      </c>
      <c r="G17" s="3171" t="s">
        <v>3386</v>
      </c>
      <c r="H17" s="3171"/>
      <c r="I17" s="3171"/>
      <c r="J17" s="3171"/>
      <c r="K17" s="3171"/>
    </row>
    <row r="18" spans="1:11">
      <c r="A18" s="3026">
        <v>16</v>
      </c>
      <c r="B18" s="3027" t="s">
        <v>3282</v>
      </c>
      <c r="C18" s="3026">
        <v>2427.33</v>
      </c>
      <c r="D18" s="3026" t="s">
        <v>3283</v>
      </c>
      <c r="E18" s="3027" t="s">
        <v>3268</v>
      </c>
      <c r="G18" s="3026" t="s">
        <v>3255</v>
      </c>
      <c r="H18" s="3027" t="s">
        <v>3256</v>
      </c>
      <c r="I18" s="3026" t="s">
        <v>3259</v>
      </c>
      <c r="J18" s="3026" t="s">
        <v>3262</v>
      </c>
      <c r="K18" s="3027" t="s">
        <v>3260</v>
      </c>
    </row>
    <row r="19" spans="1:11">
      <c r="A19" s="3026">
        <v>17</v>
      </c>
      <c r="B19" s="3027" t="s">
        <v>3284</v>
      </c>
      <c r="C19" s="3026">
        <v>2074.16</v>
      </c>
      <c r="D19" s="3026" t="s">
        <v>3285</v>
      </c>
      <c r="E19" s="3027" t="s">
        <v>3268</v>
      </c>
      <c r="G19" s="3026">
        <v>1</v>
      </c>
      <c r="H19" s="3027" t="s">
        <v>3263</v>
      </c>
      <c r="I19" s="3026">
        <v>2704.7</v>
      </c>
      <c r="J19" s="3026" t="s">
        <v>3264</v>
      </c>
      <c r="K19" s="3027" t="s">
        <v>3261</v>
      </c>
    </row>
    <row r="20" spans="1:11">
      <c r="A20" s="3026">
        <v>18</v>
      </c>
      <c r="B20" s="3027" t="s">
        <v>3295</v>
      </c>
      <c r="C20" s="3026">
        <v>527.34</v>
      </c>
      <c r="D20" s="3026"/>
      <c r="E20" s="3027" t="s">
        <v>3288</v>
      </c>
      <c r="G20" s="3026">
        <v>2</v>
      </c>
      <c r="H20" s="3027" t="s">
        <v>3265</v>
      </c>
      <c r="I20" s="3026">
        <v>11208.56</v>
      </c>
      <c r="J20" s="3026" t="s">
        <v>3266</v>
      </c>
      <c r="K20" s="3027" t="s">
        <v>3267</v>
      </c>
    </row>
    <row r="21" spans="1:11">
      <c r="A21" s="3026">
        <v>19</v>
      </c>
      <c r="B21" s="3027" t="s">
        <v>3289</v>
      </c>
      <c r="C21" s="3026">
        <v>3562.94</v>
      </c>
      <c r="D21" s="3026" t="s">
        <v>3283</v>
      </c>
      <c r="E21" s="3027" t="s">
        <v>3294</v>
      </c>
      <c r="G21" s="3026">
        <v>3</v>
      </c>
      <c r="H21" s="3027" t="s">
        <v>3270</v>
      </c>
      <c r="I21" s="3026">
        <v>90.92</v>
      </c>
      <c r="J21" s="3026" t="s">
        <v>3274</v>
      </c>
      <c r="K21" s="3027" t="s">
        <v>3269</v>
      </c>
    </row>
    <row r="22" spans="1:11">
      <c r="A22" s="3026">
        <v>20</v>
      </c>
      <c r="B22" s="3027" t="s">
        <v>3290</v>
      </c>
      <c r="C22" s="3026">
        <v>5033.92</v>
      </c>
      <c r="D22" s="3026" t="s">
        <v>3274</v>
      </c>
      <c r="E22" s="3027" t="s">
        <v>3287</v>
      </c>
      <c r="G22" s="3026">
        <v>4</v>
      </c>
      <c r="H22" s="3027" t="s">
        <v>3271</v>
      </c>
      <c r="I22" s="3026">
        <v>184</v>
      </c>
      <c r="J22" s="3026" t="s">
        <v>3274</v>
      </c>
      <c r="K22" s="3027" t="s">
        <v>3269</v>
      </c>
    </row>
    <row r="23" spans="1:11">
      <c r="A23" s="3026">
        <v>21</v>
      </c>
      <c r="B23" s="3027" t="s">
        <v>3291</v>
      </c>
      <c r="C23" s="3026">
        <v>415.6</v>
      </c>
      <c r="D23" s="3026" t="s">
        <v>3274</v>
      </c>
      <c r="E23" s="3027" t="s">
        <v>3287</v>
      </c>
      <c r="G23" s="3026">
        <v>5</v>
      </c>
      <c r="H23" s="3027" t="s">
        <v>3272</v>
      </c>
      <c r="I23" s="3026">
        <v>69.06</v>
      </c>
      <c r="J23" s="3026" t="s">
        <v>3274</v>
      </c>
      <c r="K23" s="3027" t="s">
        <v>3268</v>
      </c>
    </row>
    <row r="24" spans="1:11">
      <c r="A24" s="3026">
        <v>22</v>
      </c>
      <c r="B24" s="3027" t="s">
        <v>3292</v>
      </c>
      <c r="C24" s="3026">
        <v>547.02</v>
      </c>
      <c r="D24" s="3026" t="s">
        <v>3293</v>
      </c>
      <c r="E24" s="3027" t="s">
        <v>3287</v>
      </c>
      <c r="G24" s="3026">
        <v>6</v>
      </c>
      <c r="H24" s="3027" t="s">
        <v>3273</v>
      </c>
      <c r="I24" s="3026">
        <v>100.55</v>
      </c>
      <c r="J24" s="3026" t="s">
        <v>3274</v>
      </c>
      <c r="K24" s="3027" t="s">
        <v>3268</v>
      </c>
    </row>
    <row r="25" spans="1:11">
      <c r="A25" s="3026">
        <v>23</v>
      </c>
      <c r="B25" s="3027" t="s">
        <v>3307</v>
      </c>
      <c r="C25" s="3026">
        <v>215.95</v>
      </c>
      <c r="D25" s="3026"/>
      <c r="E25" s="3027" t="s">
        <v>3305</v>
      </c>
      <c r="G25" s="3026">
        <v>7</v>
      </c>
      <c r="H25" s="3027" t="s">
        <v>3275</v>
      </c>
      <c r="I25" s="3026">
        <v>154.18</v>
      </c>
      <c r="J25" s="3026" t="s">
        <v>3274</v>
      </c>
      <c r="K25" s="3027" t="s">
        <v>3268</v>
      </c>
    </row>
    <row r="26" spans="1:11">
      <c r="A26" s="3026">
        <v>24</v>
      </c>
      <c r="B26" s="3027" t="s">
        <v>3296</v>
      </c>
      <c r="C26" s="3026">
        <v>2534.48</v>
      </c>
      <c r="D26" s="3026" t="s">
        <v>3302</v>
      </c>
      <c r="E26" s="3027" t="s">
        <v>3306</v>
      </c>
      <c r="G26" s="3026">
        <v>8</v>
      </c>
      <c r="H26" s="3027" t="s">
        <v>3276</v>
      </c>
      <c r="I26" s="3026">
        <v>108.56</v>
      </c>
      <c r="J26" s="3026" t="s">
        <v>3274</v>
      </c>
      <c r="K26" s="3027" t="s">
        <v>3268</v>
      </c>
    </row>
    <row r="27" spans="1:11">
      <c r="A27" s="3026">
        <v>25</v>
      </c>
      <c r="B27" s="3027" t="s">
        <v>3297</v>
      </c>
      <c r="C27" s="3026">
        <v>176.38</v>
      </c>
      <c r="D27" s="3026" t="s">
        <v>3303</v>
      </c>
      <c r="E27" s="3027" t="s">
        <v>3304</v>
      </c>
      <c r="G27" s="3026">
        <v>9</v>
      </c>
      <c r="H27" s="3027" t="s">
        <v>3277</v>
      </c>
      <c r="I27" s="3026">
        <v>90.39</v>
      </c>
      <c r="J27" s="3026" t="s">
        <v>3274</v>
      </c>
      <c r="K27" s="3027" t="s">
        <v>3268</v>
      </c>
    </row>
    <row r="28" spans="1:11">
      <c r="A28" s="3026">
        <v>26</v>
      </c>
      <c r="B28" s="3027" t="s">
        <v>3298</v>
      </c>
      <c r="C28" s="3026">
        <v>866.13</v>
      </c>
      <c r="D28" s="3026" t="s">
        <v>3303</v>
      </c>
      <c r="E28" s="3027" t="s">
        <v>3304</v>
      </c>
      <c r="G28" s="3026">
        <v>10</v>
      </c>
      <c r="H28" s="3027" t="s">
        <v>3278</v>
      </c>
      <c r="I28" s="3026">
        <v>346.89</v>
      </c>
      <c r="J28" s="3026" t="s">
        <v>3274</v>
      </c>
      <c r="K28" s="3027" t="s">
        <v>3268</v>
      </c>
    </row>
    <row r="29" spans="1:11">
      <c r="A29" s="3026">
        <v>27</v>
      </c>
      <c r="B29" s="3027" t="s">
        <v>3299</v>
      </c>
      <c r="C29" s="3026">
        <v>346.74</v>
      </c>
      <c r="D29" s="3026" t="s">
        <v>3302</v>
      </c>
      <c r="E29" s="3027" t="s">
        <v>3304</v>
      </c>
      <c r="G29" s="3026">
        <v>11</v>
      </c>
      <c r="H29" s="3027" t="s">
        <v>3279</v>
      </c>
      <c r="I29" s="3026">
        <v>65.66</v>
      </c>
      <c r="J29" s="3026" t="s">
        <v>3274</v>
      </c>
      <c r="K29" s="3027" t="s">
        <v>3268</v>
      </c>
    </row>
    <row r="30" spans="1:11">
      <c r="A30" s="3026">
        <v>28</v>
      </c>
      <c r="B30" s="3027" t="s">
        <v>3300</v>
      </c>
      <c r="C30" s="3026">
        <v>1015.24</v>
      </c>
      <c r="D30" s="3026" t="s">
        <v>3302</v>
      </c>
      <c r="E30" s="3027" t="s">
        <v>3304</v>
      </c>
      <c r="G30" s="3026">
        <v>12</v>
      </c>
      <c r="H30" s="3027" t="s">
        <v>3280</v>
      </c>
      <c r="I30" s="3026">
        <v>203.14</v>
      </c>
      <c r="J30" s="3026" t="s">
        <v>3274</v>
      </c>
      <c r="K30" s="3027" t="s">
        <v>3268</v>
      </c>
    </row>
    <row r="31" spans="1:11">
      <c r="A31" s="3026">
        <v>29</v>
      </c>
      <c r="B31" s="3027" t="s">
        <v>3301</v>
      </c>
      <c r="C31" s="3026">
        <v>240.78</v>
      </c>
      <c r="D31" s="3026" t="s">
        <v>3302</v>
      </c>
      <c r="E31" s="3027" t="s">
        <v>3304</v>
      </c>
      <c r="G31" s="3026">
        <v>13</v>
      </c>
      <c r="H31" s="3027" t="s">
        <v>3281</v>
      </c>
      <c r="I31" s="3026">
        <v>51.85</v>
      </c>
      <c r="J31" s="3026" t="s">
        <v>3274</v>
      </c>
      <c r="K31" s="3027" t="s">
        <v>3268</v>
      </c>
    </row>
    <row r="32" spans="1:11">
      <c r="A32" s="3026">
        <v>30</v>
      </c>
      <c r="B32" s="3027" t="s">
        <v>3311</v>
      </c>
      <c r="C32" s="3026">
        <v>78.41</v>
      </c>
      <c r="D32" s="3026"/>
      <c r="E32" s="3027" t="s">
        <v>3310</v>
      </c>
      <c r="G32" s="3026">
        <v>14</v>
      </c>
      <c r="H32" s="3027" t="s">
        <v>3284</v>
      </c>
      <c r="I32" s="3026">
        <v>2074.16</v>
      </c>
      <c r="J32" s="3026" t="s">
        <v>3285</v>
      </c>
      <c r="K32" s="3027" t="s">
        <v>3268</v>
      </c>
    </row>
    <row r="33" spans="1:11">
      <c r="A33" s="3026">
        <v>31</v>
      </c>
      <c r="B33" s="3027" t="s">
        <v>3308</v>
      </c>
      <c r="C33" s="3026">
        <v>6804.7</v>
      </c>
      <c r="D33" s="3026" t="s">
        <v>3302</v>
      </c>
      <c r="E33" s="3027" t="s">
        <v>3309</v>
      </c>
      <c r="G33" s="3026">
        <v>15</v>
      </c>
      <c r="H33" s="3027" t="s">
        <v>3290</v>
      </c>
      <c r="I33" s="3026">
        <v>5033.92</v>
      </c>
      <c r="J33" s="3026" t="s">
        <v>3274</v>
      </c>
      <c r="K33" s="3027" t="s">
        <v>3287</v>
      </c>
    </row>
    <row r="34" spans="1:11">
      <c r="A34" s="3026">
        <v>32</v>
      </c>
      <c r="B34" s="3027" t="s">
        <v>3312</v>
      </c>
      <c r="C34" s="3026">
        <v>728.75</v>
      </c>
      <c r="D34" s="3026"/>
      <c r="E34" s="3027" t="s">
        <v>3315</v>
      </c>
      <c r="G34" s="3026">
        <v>16</v>
      </c>
      <c r="H34" s="3027" t="s">
        <v>3291</v>
      </c>
      <c r="I34" s="3026">
        <v>415.6</v>
      </c>
      <c r="J34" s="3026" t="s">
        <v>3274</v>
      </c>
      <c r="K34" s="3027" t="s">
        <v>3287</v>
      </c>
    </row>
    <row r="35" spans="1:11">
      <c r="A35" s="3026">
        <v>33</v>
      </c>
      <c r="B35" s="3027" t="s">
        <v>3313</v>
      </c>
      <c r="C35" s="3026">
        <v>8499.86</v>
      </c>
      <c r="D35" s="3026" t="s">
        <v>3303</v>
      </c>
      <c r="E35" s="3027" t="s">
        <v>3314</v>
      </c>
      <c r="G35" s="3026">
        <v>17</v>
      </c>
      <c r="H35" s="3027" t="s">
        <v>3296</v>
      </c>
      <c r="I35" s="3026">
        <v>2534.48</v>
      </c>
      <c r="J35" s="3026" t="s">
        <v>3302</v>
      </c>
      <c r="K35" s="3027" t="s">
        <v>3306</v>
      </c>
    </row>
    <row r="36" spans="1:11">
      <c r="A36" s="3026">
        <v>34</v>
      </c>
      <c r="B36" s="3027" t="s">
        <v>3257</v>
      </c>
      <c r="C36" s="3026">
        <v>2061.73</v>
      </c>
      <c r="D36" s="3026"/>
      <c r="E36" s="3027" t="s">
        <v>3317</v>
      </c>
      <c r="G36" s="3026">
        <v>18</v>
      </c>
      <c r="H36" s="3027" t="s">
        <v>3297</v>
      </c>
      <c r="I36" s="3026">
        <v>176.38</v>
      </c>
      <c r="J36" s="3026" t="s">
        <v>3303</v>
      </c>
      <c r="K36" s="3027" t="s">
        <v>3304</v>
      </c>
    </row>
    <row r="37" spans="1:11">
      <c r="A37" s="3026">
        <v>35</v>
      </c>
      <c r="B37" s="3027" t="s">
        <v>3316</v>
      </c>
      <c r="C37" s="3026">
        <v>7374.48</v>
      </c>
      <c r="D37" s="3026" t="s">
        <v>3303</v>
      </c>
      <c r="E37" s="3027" t="s">
        <v>3317</v>
      </c>
      <c r="G37" s="3026">
        <v>19</v>
      </c>
      <c r="H37" s="3027" t="s">
        <v>3298</v>
      </c>
      <c r="I37" s="3026">
        <v>866.13</v>
      </c>
      <c r="J37" s="3026" t="s">
        <v>3303</v>
      </c>
      <c r="K37" s="3027" t="s">
        <v>3304</v>
      </c>
    </row>
    <row r="38" spans="1:11">
      <c r="A38" s="3026">
        <v>36</v>
      </c>
      <c r="B38" s="3027" t="s">
        <v>3318</v>
      </c>
      <c r="C38" s="3026">
        <v>11.49</v>
      </c>
      <c r="D38" s="3026"/>
      <c r="E38" s="3027" t="s">
        <v>3319</v>
      </c>
      <c r="G38" s="3026">
        <v>20</v>
      </c>
      <c r="H38" s="3027" t="s">
        <v>3299</v>
      </c>
      <c r="I38" s="3026">
        <v>346.74</v>
      </c>
      <c r="J38" s="3026" t="s">
        <v>3302</v>
      </c>
      <c r="K38" s="3027" t="s">
        <v>3304</v>
      </c>
    </row>
    <row r="39" spans="1:11">
      <c r="A39" s="3026">
        <v>37</v>
      </c>
      <c r="B39" s="3027" t="s">
        <v>3320</v>
      </c>
      <c r="C39" s="3026">
        <v>1761.31</v>
      </c>
      <c r="D39" s="3026" t="s">
        <v>3321</v>
      </c>
      <c r="E39" s="3027" t="s">
        <v>3322</v>
      </c>
      <c r="G39" s="3026">
        <v>21</v>
      </c>
      <c r="H39" s="3027" t="s">
        <v>3300</v>
      </c>
      <c r="I39" s="3026">
        <v>1015.24</v>
      </c>
      <c r="J39" s="3026" t="s">
        <v>3302</v>
      </c>
      <c r="K39" s="3027" t="s">
        <v>3304</v>
      </c>
    </row>
    <row r="40" spans="1:11">
      <c r="A40" s="3026">
        <v>38</v>
      </c>
      <c r="B40" s="3027" t="s">
        <v>3323</v>
      </c>
      <c r="C40" s="3026">
        <v>1977.48</v>
      </c>
      <c r="D40" s="3026" t="s">
        <v>3303</v>
      </c>
      <c r="E40" s="3027" t="s">
        <v>3322</v>
      </c>
      <c r="G40" s="3026">
        <v>22</v>
      </c>
      <c r="H40" s="3027" t="s">
        <v>3301</v>
      </c>
      <c r="I40" s="3026">
        <v>240.78</v>
      </c>
      <c r="J40" s="3026" t="s">
        <v>3302</v>
      </c>
      <c r="K40" s="3027" t="s">
        <v>3304</v>
      </c>
    </row>
    <row r="41" spans="1:11">
      <c r="A41" s="3026">
        <v>39</v>
      </c>
      <c r="B41" s="3027" t="s">
        <v>3324</v>
      </c>
      <c r="C41" s="3026">
        <v>11.49</v>
      </c>
      <c r="D41" s="3026"/>
      <c r="E41" s="3027" t="s">
        <v>3325</v>
      </c>
      <c r="G41" s="3026">
        <v>23</v>
      </c>
      <c r="H41" s="3027" t="s">
        <v>3308</v>
      </c>
      <c r="I41" s="3026">
        <v>6804.7</v>
      </c>
      <c r="J41" s="3026" t="s">
        <v>3302</v>
      </c>
      <c r="K41" s="3027" t="s">
        <v>3309</v>
      </c>
    </row>
    <row r="42" spans="1:11">
      <c r="A42" s="3026">
        <v>40</v>
      </c>
      <c r="B42" s="3027" t="s">
        <v>3326</v>
      </c>
      <c r="C42" s="3026">
        <v>1596.85</v>
      </c>
      <c r="D42" s="3026" t="s">
        <v>3321</v>
      </c>
      <c r="E42" s="3027" t="s">
        <v>3328</v>
      </c>
      <c r="G42" s="3026">
        <v>24</v>
      </c>
      <c r="H42" s="3027" t="s">
        <v>3313</v>
      </c>
      <c r="I42" s="3026">
        <v>8499.86</v>
      </c>
      <c r="J42" s="3026" t="s">
        <v>3303</v>
      </c>
      <c r="K42" s="3027" t="s">
        <v>3314</v>
      </c>
    </row>
    <row r="43" spans="1:11">
      <c r="A43" s="3026">
        <v>41</v>
      </c>
      <c r="B43" s="3027" t="s">
        <v>3327</v>
      </c>
      <c r="C43" s="3026">
        <v>2044.68</v>
      </c>
      <c r="D43" s="3026" t="s">
        <v>3303</v>
      </c>
      <c r="E43" s="3027" t="s">
        <v>3325</v>
      </c>
      <c r="G43" s="3026">
        <v>25</v>
      </c>
      <c r="H43" s="3027" t="s">
        <v>3316</v>
      </c>
      <c r="I43" s="3026">
        <v>7374.48</v>
      </c>
      <c r="J43" s="3026" t="s">
        <v>3303</v>
      </c>
      <c r="K43" s="3027" t="s">
        <v>3317</v>
      </c>
    </row>
    <row r="44" spans="1:11">
      <c r="A44" s="3026">
        <v>42</v>
      </c>
      <c r="B44" s="3027" t="s">
        <v>3329</v>
      </c>
      <c r="C44" s="3026">
        <v>2043.75</v>
      </c>
      <c r="D44" s="3026" t="s">
        <v>3303</v>
      </c>
      <c r="E44" s="3027" t="s">
        <v>3349</v>
      </c>
      <c r="G44" s="3026">
        <v>26</v>
      </c>
      <c r="H44" s="3027" t="s">
        <v>3320</v>
      </c>
      <c r="I44" s="3026">
        <v>1761.31</v>
      </c>
      <c r="J44" s="3026" t="s">
        <v>3321</v>
      </c>
      <c r="K44" s="3027" t="s">
        <v>3322</v>
      </c>
    </row>
    <row r="45" spans="1:11">
      <c r="A45" s="3026">
        <v>43</v>
      </c>
      <c r="B45" s="3027" t="s">
        <v>3330</v>
      </c>
      <c r="C45" s="3026">
        <v>2043.86</v>
      </c>
      <c r="D45" s="3026" t="s">
        <v>3303</v>
      </c>
      <c r="E45" s="3027" t="s">
        <v>3350</v>
      </c>
      <c r="G45" s="3026">
        <v>27</v>
      </c>
      <c r="H45" s="3027" t="s">
        <v>3323</v>
      </c>
      <c r="I45" s="3026">
        <v>1977.48</v>
      </c>
      <c r="J45" s="3026" t="s">
        <v>3303</v>
      </c>
      <c r="K45" s="3027" t="s">
        <v>3322</v>
      </c>
    </row>
    <row r="46" spans="1:11">
      <c r="A46" s="3026">
        <v>44</v>
      </c>
      <c r="B46" s="3027" t="s">
        <v>3331</v>
      </c>
      <c r="C46" s="3026">
        <v>2044.47</v>
      </c>
      <c r="D46" s="3026" t="s">
        <v>3303</v>
      </c>
      <c r="E46" s="3027" t="s">
        <v>3351</v>
      </c>
      <c r="G46" s="3026">
        <v>28</v>
      </c>
      <c r="H46" s="3027" t="s">
        <v>3326</v>
      </c>
      <c r="I46" s="3026">
        <v>1596.85</v>
      </c>
      <c r="J46" s="3026" t="s">
        <v>3321</v>
      </c>
      <c r="K46" s="3027" t="s">
        <v>3328</v>
      </c>
    </row>
    <row r="47" spans="1:11">
      <c r="A47" s="3026">
        <v>45</v>
      </c>
      <c r="B47" s="3027" t="s">
        <v>3332</v>
      </c>
      <c r="C47" s="3026">
        <v>2044.42</v>
      </c>
      <c r="D47" s="3026" t="s">
        <v>3303</v>
      </c>
      <c r="E47" s="3027" t="s">
        <v>3352</v>
      </c>
      <c r="G47" s="3026">
        <v>29</v>
      </c>
      <c r="H47" s="3027" t="s">
        <v>3327</v>
      </c>
      <c r="I47" s="3026">
        <v>2044.68</v>
      </c>
      <c r="J47" s="3026" t="s">
        <v>3303</v>
      </c>
      <c r="K47" s="3027" t="s">
        <v>3325</v>
      </c>
    </row>
    <row r="48" spans="1:11">
      <c r="A48" s="3026">
        <v>46</v>
      </c>
      <c r="B48" s="3027" t="s">
        <v>3333</v>
      </c>
      <c r="C48" s="3026">
        <v>2044.27</v>
      </c>
      <c r="D48" s="3026" t="s">
        <v>3303</v>
      </c>
      <c r="E48" s="3027" t="s">
        <v>3353</v>
      </c>
      <c r="G48" s="3026">
        <v>30</v>
      </c>
      <c r="H48" s="3027" t="s">
        <v>3329</v>
      </c>
      <c r="I48" s="3026">
        <v>2043.75</v>
      </c>
      <c r="J48" s="3026" t="s">
        <v>3303</v>
      </c>
      <c r="K48" s="3027" t="s">
        <v>3349</v>
      </c>
    </row>
    <row r="49" spans="1:11">
      <c r="A49" s="3026">
        <v>47</v>
      </c>
      <c r="B49" s="3027" t="s">
        <v>3334</v>
      </c>
      <c r="C49" s="3026">
        <v>2044.22</v>
      </c>
      <c r="D49" s="3026" t="s">
        <v>3303</v>
      </c>
      <c r="E49" s="3027" t="s">
        <v>3354</v>
      </c>
      <c r="G49" s="3026">
        <v>31</v>
      </c>
      <c r="H49" s="3027" t="s">
        <v>3330</v>
      </c>
      <c r="I49" s="3026">
        <v>2043.86</v>
      </c>
      <c r="J49" s="3026" t="s">
        <v>3303</v>
      </c>
      <c r="K49" s="3027" t="s">
        <v>3350</v>
      </c>
    </row>
    <row r="50" spans="1:11">
      <c r="A50" s="3026">
        <v>48</v>
      </c>
      <c r="B50" s="3027" t="s">
        <v>3335</v>
      </c>
      <c r="C50" s="3026">
        <v>2044.32</v>
      </c>
      <c r="D50" s="3026" t="s">
        <v>3303</v>
      </c>
      <c r="E50" s="3027" t="s">
        <v>3368</v>
      </c>
      <c r="G50" s="3026">
        <v>32</v>
      </c>
      <c r="H50" s="3027" t="s">
        <v>3331</v>
      </c>
      <c r="I50" s="3026">
        <v>2044.47</v>
      </c>
      <c r="J50" s="3026" t="s">
        <v>3303</v>
      </c>
      <c r="K50" s="3027" t="s">
        <v>3351</v>
      </c>
    </row>
    <row r="51" spans="1:11">
      <c r="A51" s="3026">
        <v>49</v>
      </c>
      <c r="B51" s="3027" t="s">
        <v>3336</v>
      </c>
      <c r="C51" s="3026">
        <v>2044.12</v>
      </c>
      <c r="D51" s="3026" t="s">
        <v>3303</v>
      </c>
      <c r="E51" s="3027" t="s">
        <v>3355</v>
      </c>
      <c r="G51" s="3026">
        <v>33</v>
      </c>
      <c r="H51" s="3027" t="s">
        <v>3332</v>
      </c>
      <c r="I51" s="3026">
        <v>2044.42</v>
      </c>
      <c r="J51" s="3026" t="s">
        <v>3303</v>
      </c>
      <c r="K51" s="3027" t="s">
        <v>3352</v>
      </c>
    </row>
    <row r="52" spans="1:11">
      <c r="A52" s="3026">
        <v>50</v>
      </c>
      <c r="B52" s="3027" t="s">
        <v>3337</v>
      </c>
      <c r="C52" s="3026">
        <v>2044.08</v>
      </c>
      <c r="D52" s="3026" t="s">
        <v>3303</v>
      </c>
      <c r="E52" s="3027" t="s">
        <v>3356</v>
      </c>
      <c r="G52" s="3026">
        <v>34</v>
      </c>
      <c r="H52" s="3027" t="s">
        <v>3333</v>
      </c>
      <c r="I52" s="3026">
        <v>2044.27</v>
      </c>
      <c r="J52" s="3026" t="s">
        <v>3303</v>
      </c>
      <c r="K52" s="3027" t="s">
        <v>3353</v>
      </c>
    </row>
    <row r="53" spans="1:11">
      <c r="A53" s="3026">
        <v>51</v>
      </c>
      <c r="B53" s="3027" t="s">
        <v>3338</v>
      </c>
      <c r="C53" s="3026">
        <v>2045.94</v>
      </c>
      <c r="D53" s="3026" t="s">
        <v>3303</v>
      </c>
      <c r="E53" s="3027" t="s">
        <v>3357</v>
      </c>
      <c r="G53" s="3026">
        <v>35</v>
      </c>
      <c r="H53" s="3027" t="s">
        <v>3334</v>
      </c>
      <c r="I53" s="3026">
        <v>2044.22</v>
      </c>
      <c r="J53" s="3026" t="s">
        <v>3303</v>
      </c>
      <c r="K53" s="3027" t="s">
        <v>3354</v>
      </c>
    </row>
    <row r="54" spans="1:11">
      <c r="A54" s="3026">
        <v>52</v>
      </c>
      <c r="B54" s="3027" t="s">
        <v>3339</v>
      </c>
      <c r="C54" s="3026">
        <v>2045.06</v>
      </c>
      <c r="D54" s="3026" t="s">
        <v>3303</v>
      </c>
      <c r="E54" s="3027" t="s">
        <v>3358</v>
      </c>
      <c r="G54" s="3026">
        <v>36</v>
      </c>
      <c r="H54" s="3027" t="s">
        <v>3335</v>
      </c>
      <c r="I54" s="3026">
        <v>2044.32</v>
      </c>
      <c r="J54" s="3026" t="s">
        <v>3303</v>
      </c>
      <c r="K54" s="3027" t="s">
        <v>3368</v>
      </c>
    </row>
    <row r="55" spans="1:11">
      <c r="A55" s="3026">
        <v>53</v>
      </c>
      <c r="B55" s="3027" t="s">
        <v>3340</v>
      </c>
      <c r="C55" s="3026">
        <v>2044.19</v>
      </c>
      <c r="D55" s="3026" t="s">
        <v>3303</v>
      </c>
      <c r="E55" s="3027" t="s">
        <v>3359</v>
      </c>
      <c r="G55" s="3026">
        <v>37</v>
      </c>
      <c r="H55" s="3027" t="s">
        <v>3336</v>
      </c>
      <c r="I55" s="3026">
        <v>2044.12</v>
      </c>
      <c r="J55" s="3026" t="s">
        <v>3303</v>
      </c>
      <c r="K55" s="3027" t="s">
        <v>3355</v>
      </c>
    </row>
    <row r="56" spans="1:11">
      <c r="A56" s="3026">
        <v>54</v>
      </c>
      <c r="B56" s="3027" t="s">
        <v>3341</v>
      </c>
      <c r="C56" s="3026">
        <v>2043.2</v>
      </c>
      <c r="D56" s="3026" t="s">
        <v>3303</v>
      </c>
      <c r="E56" s="3027" t="s">
        <v>3360</v>
      </c>
      <c r="G56" s="3026">
        <v>38</v>
      </c>
      <c r="H56" s="3027" t="s">
        <v>3337</v>
      </c>
      <c r="I56" s="3026">
        <v>2044.08</v>
      </c>
      <c r="J56" s="3026" t="s">
        <v>3303</v>
      </c>
      <c r="K56" s="3027" t="s">
        <v>3356</v>
      </c>
    </row>
    <row r="57" spans="1:11">
      <c r="A57" s="3026">
        <v>55</v>
      </c>
      <c r="B57" s="3027" t="s">
        <v>3342</v>
      </c>
      <c r="C57" s="3026">
        <v>2042.36</v>
      </c>
      <c r="D57" s="3026" t="s">
        <v>3303</v>
      </c>
      <c r="E57" s="3027" t="s">
        <v>3361</v>
      </c>
      <c r="G57" s="3026">
        <v>39</v>
      </c>
      <c r="H57" s="3027" t="s">
        <v>3338</v>
      </c>
      <c r="I57" s="3026">
        <v>2045.94</v>
      </c>
      <c r="J57" s="3026" t="s">
        <v>3303</v>
      </c>
      <c r="K57" s="3027" t="s">
        <v>3357</v>
      </c>
    </row>
    <row r="58" spans="1:11">
      <c r="A58" s="3026">
        <v>56</v>
      </c>
      <c r="B58" s="3027" t="s">
        <v>3343</v>
      </c>
      <c r="C58" s="3026">
        <v>2041.55</v>
      </c>
      <c r="D58" s="3026" t="s">
        <v>3303</v>
      </c>
      <c r="E58" s="3027" t="s">
        <v>3362</v>
      </c>
      <c r="G58" s="3026">
        <v>40</v>
      </c>
      <c r="H58" s="3027" t="s">
        <v>3339</v>
      </c>
      <c r="I58" s="3026">
        <v>2045.06</v>
      </c>
      <c r="J58" s="3026" t="s">
        <v>3303</v>
      </c>
      <c r="K58" s="3027" t="s">
        <v>3358</v>
      </c>
    </row>
    <row r="59" spans="1:11">
      <c r="A59" s="3026">
        <v>57</v>
      </c>
      <c r="B59" s="3027" t="s">
        <v>3344</v>
      </c>
      <c r="C59" s="3026">
        <v>2040.84</v>
      </c>
      <c r="D59" s="3026" t="s">
        <v>3303</v>
      </c>
      <c r="E59" s="3027" t="s">
        <v>3363</v>
      </c>
      <c r="G59" s="3026">
        <v>41</v>
      </c>
      <c r="H59" s="3027" t="s">
        <v>3340</v>
      </c>
      <c r="I59" s="3026">
        <v>2044.19</v>
      </c>
      <c r="J59" s="3026" t="s">
        <v>3303</v>
      </c>
      <c r="K59" s="3027" t="s">
        <v>3359</v>
      </c>
    </row>
    <row r="60" spans="1:11">
      <c r="A60" s="3026">
        <v>58</v>
      </c>
      <c r="B60" s="3027" t="s">
        <v>3345</v>
      </c>
      <c r="C60" s="3026">
        <v>2040.07</v>
      </c>
      <c r="D60" s="3026" t="s">
        <v>3303</v>
      </c>
      <c r="E60" s="3027" t="s">
        <v>3364</v>
      </c>
      <c r="G60" s="3026">
        <v>42</v>
      </c>
      <c r="H60" s="3027" t="s">
        <v>3341</v>
      </c>
      <c r="I60" s="3026">
        <v>2043.2</v>
      </c>
      <c r="J60" s="3026" t="s">
        <v>3303</v>
      </c>
      <c r="K60" s="3027" t="s">
        <v>3360</v>
      </c>
    </row>
    <row r="61" spans="1:11">
      <c r="A61" s="3026">
        <v>59</v>
      </c>
      <c r="B61" s="3027" t="s">
        <v>3346</v>
      </c>
      <c r="C61" s="3026">
        <v>2039.25</v>
      </c>
      <c r="D61" s="3026" t="s">
        <v>3303</v>
      </c>
      <c r="E61" s="3027" t="s">
        <v>3365</v>
      </c>
      <c r="G61" s="3026">
        <v>43</v>
      </c>
      <c r="H61" s="3027" t="s">
        <v>3342</v>
      </c>
      <c r="I61" s="3026">
        <v>2042.36</v>
      </c>
      <c r="J61" s="3026" t="s">
        <v>3303</v>
      </c>
      <c r="K61" s="3027" t="s">
        <v>3361</v>
      </c>
    </row>
    <row r="62" spans="1:11">
      <c r="A62" s="3026">
        <v>60</v>
      </c>
      <c r="B62" s="3027" t="s">
        <v>3347</v>
      </c>
      <c r="C62" s="3026">
        <v>1873.87</v>
      </c>
      <c r="D62" s="3026" t="s">
        <v>3303</v>
      </c>
      <c r="E62" s="3027" t="s">
        <v>3366</v>
      </c>
      <c r="G62" s="3026">
        <v>44</v>
      </c>
      <c r="H62" s="3027" t="s">
        <v>3343</v>
      </c>
      <c r="I62" s="3026">
        <v>2041.55</v>
      </c>
      <c r="J62" s="3026" t="s">
        <v>3303</v>
      </c>
      <c r="K62" s="3027" t="s">
        <v>3362</v>
      </c>
    </row>
    <row r="63" spans="1:11">
      <c r="A63" s="3026">
        <v>61</v>
      </c>
      <c r="B63" s="3027" t="s">
        <v>3348</v>
      </c>
      <c r="C63" s="3026">
        <v>2015.24</v>
      </c>
      <c r="D63" s="3026" t="s">
        <v>3303</v>
      </c>
      <c r="E63" s="3027" t="s">
        <v>3367</v>
      </c>
      <c r="G63" s="3026">
        <v>45</v>
      </c>
      <c r="H63" s="3027" t="s">
        <v>3344</v>
      </c>
      <c r="I63" s="3026">
        <v>2040.84</v>
      </c>
      <c r="J63" s="3026" t="s">
        <v>3303</v>
      </c>
      <c r="K63" s="3027" t="s">
        <v>3363</v>
      </c>
    </row>
    <row r="64" spans="1:11">
      <c r="A64" s="3026"/>
      <c r="B64" s="3027"/>
      <c r="C64" s="3026">
        <f>SUM(C3:C63)</f>
        <v>110488.07</v>
      </c>
      <c r="D64" s="3026"/>
      <c r="E64" s="3027"/>
      <c r="G64" s="3026">
        <v>46</v>
      </c>
      <c r="H64" s="3027" t="s">
        <v>3345</v>
      </c>
      <c r="I64" s="3026">
        <v>2040.07</v>
      </c>
      <c r="J64" s="3026" t="s">
        <v>3303</v>
      </c>
      <c r="K64" s="3027" t="s">
        <v>3364</v>
      </c>
    </row>
    <row r="65" spans="2:11">
      <c r="G65" s="3026">
        <v>47</v>
      </c>
      <c r="H65" s="3027" t="s">
        <v>3346</v>
      </c>
      <c r="I65" s="3026">
        <v>2039.25</v>
      </c>
      <c r="J65" s="3026" t="s">
        <v>3303</v>
      </c>
      <c r="K65" s="3027" t="s">
        <v>3365</v>
      </c>
    </row>
    <row r="66" spans="2:11">
      <c r="G66" s="3026">
        <v>48</v>
      </c>
      <c r="H66" s="3027" t="s">
        <v>3347</v>
      </c>
      <c r="I66" s="3026">
        <v>1873.87</v>
      </c>
      <c r="J66" s="3026" t="s">
        <v>3303</v>
      </c>
      <c r="K66" s="3027" t="s">
        <v>3366</v>
      </c>
    </row>
    <row r="67" spans="2:11">
      <c r="G67" s="3026">
        <v>49</v>
      </c>
      <c r="H67" s="3027" t="s">
        <v>3348</v>
      </c>
      <c r="I67" s="3026">
        <v>2015.24</v>
      </c>
      <c r="J67" s="3026" t="s">
        <v>3303</v>
      </c>
      <c r="K67" s="3027" t="s">
        <v>3367</v>
      </c>
    </row>
    <row r="68" spans="2:11">
      <c r="H68" s="3025"/>
      <c r="I68" s="3024">
        <f>SUM(I19:I67)</f>
        <v>98810.330000000016</v>
      </c>
      <c r="J68" s="3024"/>
      <c r="K68" s="3025"/>
    </row>
    <row r="69" spans="2:11">
      <c r="B69" s="3024"/>
      <c r="E69" s="3024"/>
    </row>
    <row r="70" spans="2:11">
      <c r="B70" s="3024"/>
      <c r="E70" s="3024"/>
    </row>
    <row r="71" spans="2:11">
      <c r="B71" s="3024"/>
      <c r="E71" s="3024"/>
    </row>
    <row r="72" spans="2:11">
      <c r="B72" s="3024"/>
      <c r="E72" s="3024"/>
    </row>
    <row r="73" spans="2:11">
      <c r="B73" s="3024"/>
      <c r="E73" s="3024"/>
    </row>
    <row r="74" spans="2:11">
      <c r="B74" s="3024"/>
      <c r="E74" s="3024"/>
    </row>
    <row r="75" spans="2:11">
      <c r="B75" s="3024"/>
      <c r="E75" s="3024"/>
    </row>
    <row r="76" spans="2:11">
      <c r="B76" s="3024"/>
      <c r="E76" s="3024"/>
    </row>
    <row r="77" spans="2:11">
      <c r="B77" s="3024"/>
      <c r="E77" s="3024"/>
    </row>
    <row r="78" spans="2:11">
      <c r="B78" s="3024"/>
      <c r="E78" s="3024"/>
    </row>
    <row r="79" spans="2:11">
      <c r="B79" s="3024"/>
      <c r="E79" s="3024"/>
    </row>
    <row r="80" spans="2:11">
      <c r="B80" s="3024"/>
      <c r="E80" s="3024"/>
    </row>
    <row r="81" spans="2:5">
      <c r="B81" s="3024"/>
      <c r="E81" s="3024"/>
    </row>
    <row r="82" spans="2:5">
      <c r="B82" s="3024"/>
      <c r="E82" s="3024"/>
    </row>
    <row r="83" spans="2:5">
      <c r="B83" s="3024"/>
      <c r="E83" s="3024"/>
    </row>
    <row r="84" spans="2:5">
      <c r="B84" s="3024"/>
      <c r="E84" s="3024"/>
    </row>
    <row r="85" spans="2:5">
      <c r="B85" s="3024"/>
      <c r="E85" s="3024"/>
    </row>
    <row r="86" spans="2:5">
      <c r="B86" s="3024"/>
      <c r="E86" s="3024"/>
    </row>
    <row r="87" spans="2:5">
      <c r="B87" s="3024"/>
      <c r="E87" s="3024"/>
    </row>
    <row r="88" spans="2:5">
      <c r="B88" s="3024"/>
      <c r="E88" s="3024"/>
    </row>
    <row r="89" spans="2:5">
      <c r="B89" s="3024"/>
      <c r="E89" s="3024"/>
    </row>
    <row r="90" spans="2:5">
      <c r="B90" s="3024"/>
      <c r="E90" s="3024"/>
    </row>
    <row r="91" spans="2:5">
      <c r="B91" s="3024"/>
      <c r="E91" s="3024"/>
    </row>
    <row r="92" spans="2:5">
      <c r="B92" s="3024"/>
      <c r="E92" s="3024"/>
    </row>
    <row r="93" spans="2:5">
      <c r="B93" s="3024"/>
      <c r="E93" s="3024"/>
    </row>
    <row r="94" spans="2:5">
      <c r="B94" s="3024"/>
      <c r="E94" s="3024"/>
    </row>
    <row r="95" spans="2:5">
      <c r="B95" s="3024"/>
      <c r="E95" s="3024"/>
    </row>
    <row r="96" spans="2:5">
      <c r="B96" s="3024"/>
      <c r="E96" s="3024"/>
    </row>
    <row r="97" spans="2:5">
      <c r="B97" s="3024"/>
      <c r="E97" s="3024"/>
    </row>
    <row r="98" spans="2:5">
      <c r="B98" s="3024"/>
      <c r="E98" s="3024"/>
    </row>
    <row r="99" spans="2:5">
      <c r="B99" s="3024"/>
      <c r="E99" s="3024"/>
    </row>
    <row r="100" spans="2:5">
      <c r="B100" s="3024"/>
      <c r="E100" s="3024"/>
    </row>
    <row r="101" spans="2:5">
      <c r="B101" s="3024"/>
      <c r="E101" s="3024"/>
    </row>
    <row r="102" spans="2:5">
      <c r="B102" s="3024"/>
      <c r="E102" s="3024"/>
    </row>
    <row r="103" spans="2:5">
      <c r="B103" s="3024"/>
      <c r="E103" s="3024"/>
    </row>
    <row r="104" spans="2:5">
      <c r="B104" s="3024"/>
      <c r="E104" s="3024"/>
    </row>
    <row r="105" spans="2:5">
      <c r="B105" s="3024"/>
      <c r="E105" s="3024"/>
    </row>
    <row r="106" spans="2:5">
      <c r="B106" s="3024"/>
      <c r="E106" s="3024"/>
    </row>
    <row r="107" spans="2:5">
      <c r="B107" s="3024"/>
      <c r="E107" s="3024"/>
    </row>
    <row r="108" spans="2:5">
      <c r="B108" s="3024"/>
      <c r="E108" s="3024"/>
    </row>
    <row r="109" spans="2:5">
      <c r="B109" s="3024"/>
      <c r="E109" s="3024"/>
    </row>
    <row r="110" spans="2:5">
      <c r="B110" s="3024"/>
      <c r="E110" s="3024"/>
    </row>
    <row r="111" spans="2:5">
      <c r="B111" s="3024"/>
      <c r="E111" s="3024"/>
    </row>
    <row r="112" spans="2:5">
      <c r="B112" s="3024"/>
      <c r="E112" s="3024"/>
    </row>
    <row r="113" spans="2:5">
      <c r="B113" s="3024"/>
      <c r="E113" s="3024"/>
    </row>
    <row r="114" spans="2:5">
      <c r="B114" s="3024"/>
      <c r="E114" s="3024"/>
    </row>
    <row r="115" spans="2:5">
      <c r="B115" s="3024"/>
      <c r="E115" s="3024"/>
    </row>
    <row r="116" spans="2:5">
      <c r="B116" s="3024"/>
      <c r="E116" s="3024"/>
    </row>
    <row r="117" spans="2:5">
      <c r="B117" s="3024"/>
      <c r="E117" s="3024"/>
    </row>
    <row r="118" spans="2:5">
      <c r="B118" s="3024"/>
      <c r="E118" s="3024"/>
    </row>
  </sheetData>
  <mergeCells count="2">
    <mergeCell ref="A1:E1"/>
    <mergeCell ref="G17:K1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1"/>
  <sheetViews>
    <sheetView workbookViewId="0">
      <selection activeCell="C16" sqref="C16:I24"/>
    </sheetView>
  </sheetViews>
  <sheetFormatPr defaultRowHeight="13.5"/>
  <cols>
    <col min="3" max="3" width="15.5" customWidth="1"/>
    <col min="5" max="5" width="7.5" customWidth="1"/>
    <col min="6" max="6" width="9.375" customWidth="1"/>
  </cols>
  <sheetData>
    <row r="2" spans="1:7">
      <c r="A2" s="2964" t="s">
        <v>3032</v>
      </c>
      <c r="B2">
        <v>4137.24</v>
      </c>
    </row>
    <row r="3" spans="1:7">
      <c r="A3" s="2964" t="s">
        <v>3033</v>
      </c>
      <c r="B3">
        <v>6804.7</v>
      </c>
    </row>
    <row r="5" spans="1:7">
      <c r="A5" s="3172" t="s">
        <v>3049</v>
      </c>
      <c r="B5" s="3173"/>
      <c r="C5" s="3173"/>
      <c r="D5" s="3173"/>
      <c r="E5" s="3173"/>
      <c r="F5" s="3173"/>
    </row>
    <row r="6" spans="1:7" ht="27">
      <c r="A6" s="3172" t="s">
        <v>3035</v>
      </c>
      <c r="B6" s="3172" t="s">
        <v>3036</v>
      </c>
      <c r="C6" s="2966" t="s">
        <v>3037</v>
      </c>
      <c r="D6" s="2967">
        <v>4137.24</v>
      </c>
      <c r="E6" s="2967"/>
      <c r="F6" s="2970" t="s">
        <v>3051</v>
      </c>
    </row>
    <row r="7" spans="1:7" ht="14.25" customHeight="1">
      <c r="A7" s="3172"/>
      <c r="B7" s="3172"/>
      <c r="C7" s="2966" t="s">
        <v>3038</v>
      </c>
      <c r="D7" s="2967">
        <v>6804.7</v>
      </c>
      <c r="E7" s="2967"/>
      <c r="F7" s="3174">
        <v>11147.87</v>
      </c>
    </row>
    <row r="8" spans="1:7" ht="31.5" customHeight="1">
      <c r="A8" s="3172"/>
      <c r="B8" s="2966" t="s">
        <v>3041</v>
      </c>
      <c r="C8" s="2968" t="s">
        <v>3040</v>
      </c>
      <c r="D8" s="2967">
        <v>61608.09</v>
      </c>
      <c r="E8" s="2967"/>
      <c r="F8" s="3174"/>
    </row>
    <row r="9" spans="1:7">
      <c r="A9" s="3172"/>
      <c r="B9" s="2966" t="s">
        <v>3042</v>
      </c>
      <c r="C9" s="2966" t="s">
        <v>3039</v>
      </c>
      <c r="D9" s="2967">
        <v>3358.16</v>
      </c>
      <c r="E9" s="2967"/>
      <c r="F9" s="3174"/>
    </row>
    <row r="10" spans="1:7">
      <c r="A10" s="3172" t="s">
        <v>3048</v>
      </c>
      <c r="B10" s="2966" t="s">
        <v>3043</v>
      </c>
      <c r="C10" s="2969" t="s">
        <v>3044</v>
      </c>
      <c r="D10" s="2967">
        <v>15987.42</v>
      </c>
      <c r="E10" s="2967">
        <v>262</v>
      </c>
      <c r="F10" s="3174"/>
    </row>
    <row r="11" spans="1:7">
      <c r="A11" s="3173"/>
      <c r="B11" s="2966" t="s">
        <v>3046</v>
      </c>
      <c r="C11" s="2969" t="s">
        <v>3045</v>
      </c>
      <c r="D11" s="2967">
        <v>6914.72</v>
      </c>
      <c r="E11" s="2967"/>
      <c r="F11" s="3175"/>
    </row>
    <row r="12" spans="1:7">
      <c r="A12" s="3172" t="s">
        <v>3050</v>
      </c>
      <c r="B12" s="3173"/>
      <c r="C12" s="3173"/>
      <c r="D12" s="2965">
        <f>SUM(D6:D11)</f>
        <v>98810.33</v>
      </c>
      <c r="E12" s="2965"/>
      <c r="F12" s="2965"/>
    </row>
    <row r="16" spans="1:7">
      <c r="C16" s="2964" t="s">
        <v>3095</v>
      </c>
      <c r="E16" s="2977">
        <v>0.4</v>
      </c>
      <c r="F16" s="2976">
        <v>0.39379999999999998</v>
      </c>
      <c r="G16" s="2976">
        <v>0.39369999999999999</v>
      </c>
    </row>
    <row r="17" spans="1:12">
      <c r="E17">
        <v>2015</v>
      </c>
      <c r="F17">
        <v>2016</v>
      </c>
      <c r="G17">
        <v>2017</v>
      </c>
    </row>
    <row r="18" spans="1:12">
      <c r="A18" s="2964"/>
      <c r="C18" s="2964" t="s">
        <v>3088</v>
      </c>
      <c r="D18" s="2964" t="s">
        <v>3094</v>
      </c>
      <c r="E18">
        <v>13140</v>
      </c>
      <c r="F18">
        <v>13764</v>
      </c>
      <c r="G18">
        <v>14520</v>
      </c>
      <c r="H18" s="2976">
        <f>ROUND(F18/E18-1,4)</f>
        <v>4.7500000000000001E-2</v>
      </c>
      <c r="I18" s="2976">
        <f>ROUND(G18/F18-1,4)</f>
        <v>5.4899999999999997E-2</v>
      </c>
    </row>
    <row r="19" spans="1:12">
      <c r="A19" s="2964"/>
      <c r="C19" s="2964"/>
      <c r="D19" s="2964" t="s">
        <v>3091</v>
      </c>
      <c r="E19">
        <f>E20-E18</f>
        <v>9243</v>
      </c>
      <c r="F19">
        <f>F20-F18</f>
        <v>8542</v>
      </c>
      <c r="G19">
        <f>G20-G18</f>
        <v>9057</v>
      </c>
    </row>
    <row r="20" spans="1:12">
      <c r="D20" s="2964" t="s">
        <v>3092</v>
      </c>
      <c r="E20" s="3005">
        <v>22383</v>
      </c>
      <c r="F20" s="3005">
        <v>22306</v>
      </c>
      <c r="G20" s="3005">
        <v>23577</v>
      </c>
      <c r="H20" s="2976">
        <f>ROUND(F20/E20-1,4)</f>
        <v>-3.3999999999999998E-3</v>
      </c>
      <c r="I20" s="2976">
        <f>ROUND(G20/F20-1,4)</f>
        <v>5.7000000000000002E-2</v>
      </c>
      <c r="L20">
        <f>472500-262*45-0.9*D11</f>
        <v>454486.75199999998</v>
      </c>
    </row>
    <row r="21" spans="1:12">
      <c r="D21" s="2964" t="s">
        <v>3093</v>
      </c>
      <c r="E21" s="2976">
        <f>ROUND(E19/E18,4)</f>
        <v>0.70340000000000003</v>
      </c>
      <c r="F21" s="2976">
        <f>ROUND(F19/F18,4)</f>
        <v>0.62060000000000004</v>
      </c>
      <c r="G21" s="2976">
        <f>ROUND(G19/G18,4)</f>
        <v>0.62380000000000002</v>
      </c>
    </row>
    <row r="22" spans="1:12">
      <c r="C22" s="2964" t="s">
        <v>3089</v>
      </c>
      <c r="E22">
        <v>7923</v>
      </c>
      <c r="F22">
        <v>7820</v>
      </c>
      <c r="G22">
        <v>7421</v>
      </c>
      <c r="L22">
        <f>L20/(D6+D7+D8+D9)</f>
        <v>5.9873216842609471</v>
      </c>
    </row>
    <row r="24" spans="1:12">
      <c r="C24" s="2964" t="s">
        <v>3090</v>
      </c>
      <c r="E24" s="2976">
        <f>ROUND(E22/E20,2)</f>
        <v>0.35</v>
      </c>
      <c r="F24" s="2976">
        <f>ROUND(F22/F20,2)</f>
        <v>0.35</v>
      </c>
      <c r="G24" s="2976">
        <f>ROUND(G22/G20,2)</f>
        <v>0.31</v>
      </c>
    </row>
    <row r="27" spans="1:12">
      <c r="J27">
        <f>5.8*(D12-D10-D11)</f>
        <v>440267.50199999998</v>
      </c>
    </row>
    <row r="28" spans="1:12">
      <c r="H28">
        <f ca="1">G20/'收益法-酒店'!F7/365</f>
        <v>1.0484746491563886E-3</v>
      </c>
    </row>
    <row r="31" spans="1:12">
      <c r="H31">
        <f ca="1">G20/'收益法-酒店'!F7/365</f>
        <v>1.0484746491563886E-3</v>
      </c>
    </row>
  </sheetData>
  <mergeCells count="6">
    <mergeCell ref="B6:B7"/>
    <mergeCell ref="A6:A9"/>
    <mergeCell ref="A10:A11"/>
    <mergeCell ref="A5:F5"/>
    <mergeCell ref="A12:C12"/>
    <mergeCell ref="F7:F11"/>
  </mergeCells>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21"/>
  <sheetViews>
    <sheetView workbookViewId="0">
      <selection activeCell="A7" sqref="A7:A8"/>
    </sheetView>
  </sheetViews>
  <sheetFormatPr defaultRowHeight="13.5"/>
  <cols>
    <col min="1" max="1" width="25" style="3072" customWidth="1"/>
    <col min="2" max="2" width="22.25" style="3072" customWidth="1"/>
    <col min="3" max="3" width="9.75" style="3072" bestFit="1" customWidth="1"/>
    <col min="4" max="4" width="16.375" style="3072" customWidth="1"/>
    <col min="5" max="5" width="9" style="3072"/>
    <col min="6" max="7" width="9.125" style="3072" bestFit="1" customWidth="1"/>
    <col min="8" max="8" width="9.75" style="3072" bestFit="1" customWidth="1"/>
    <col min="9" max="9" width="11.375" style="3072" customWidth="1"/>
    <col min="10" max="11" width="9" style="3072"/>
    <col min="12" max="13" width="9.125" style="3072" bestFit="1" customWidth="1"/>
    <col min="14" max="14" width="10.375" style="3072" bestFit="1" customWidth="1"/>
    <col min="15" max="15" width="10.125" style="3072" bestFit="1" customWidth="1"/>
    <col min="16" max="16" width="10.375" style="3072" bestFit="1" customWidth="1"/>
    <col min="17" max="17" width="9.375" style="3072" bestFit="1" customWidth="1"/>
    <col min="18" max="20" width="9.625" style="3072" bestFit="1" customWidth="1"/>
    <col min="21" max="21" width="9.75" style="3072" bestFit="1" customWidth="1"/>
    <col min="22" max="25" width="9.625" style="3072" bestFit="1" customWidth="1"/>
    <col min="26" max="26" width="10.375" style="3072" bestFit="1" customWidth="1"/>
    <col min="27" max="27" width="10.125" style="3072" bestFit="1" customWidth="1"/>
    <col min="28" max="28" width="10.375" style="3072" bestFit="1" customWidth="1"/>
    <col min="29" max="29" width="9.625" style="3072" bestFit="1" customWidth="1"/>
    <col min="30" max="37" width="9.875" style="3072" bestFit="1" customWidth="1"/>
    <col min="38" max="38" width="10.625" style="3072" bestFit="1" customWidth="1"/>
    <col min="39" max="39" width="10.375" style="3072" bestFit="1" customWidth="1"/>
    <col min="40" max="40" width="10.625" style="3072" bestFit="1" customWidth="1"/>
    <col min="41" max="41" width="9.375" style="3072" bestFit="1" customWidth="1"/>
    <col min="42" max="49" width="9.625" style="3072" bestFit="1" customWidth="1"/>
    <col min="50" max="50" width="10.375" style="3072" bestFit="1" customWidth="1"/>
    <col min="51" max="51" width="10.125" style="3072" bestFit="1" customWidth="1"/>
    <col min="52" max="52" width="10.375" style="3072" bestFit="1" customWidth="1"/>
    <col min="53" max="53" width="12.75" style="3072" bestFit="1" customWidth="1"/>
    <col min="54" max="61" width="9.875" style="3072" bestFit="1" customWidth="1"/>
    <col min="62" max="62" width="10.625" style="3072" bestFit="1" customWidth="1"/>
    <col min="63" max="63" width="10.375" style="3072" bestFit="1" customWidth="1"/>
    <col min="64" max="64" width="10.625" style="3072" bestFit="1" customWidth="1"/>
    <col min="65" max="65" width="9.625" style="3072" bestFit="1" customWidth="1"/>
    <col min="66" max="73" width="9.875" style="3072" bestFit="1" customWidth="1"/>
    <col min="74" max="74" width="10.625" style="3072" bestFit="1" customWidth="1"/>
    <col min="75" max="75" width="10.375" style="3072" bestFit="1" customWidth="1"/>
    <col min="76" max="76" width="10.625" style="3072" bestFit="1" customWidth="1"/>
    <col min="77" max="77" width="9.625" style="3072" bestFit="1" customWidth="1"/>
    <col min="78" max="85" width="9.875" style="3072" bestFit="1" customWidth="1"/>
    <col min="86" max="86" width="10.625" style="3072" bestFit="1" customWidth="1"/>
    <col min="87" max="87" width="10.375" style="3072" bestFit="1" customWidth="1"/>
    <col min="88" max="88" width="10.625" style="3072" bestFit="1" customWidth="1"/>
    <col min="89" max="89" width="9.625" style="3072" bestFit="1" customWidth="1"/>
    <col min="90" max="97" width="9.875" style="3072" bestFit="1" customWidth="1"/>
    <col min="98" max="98" width="10.625" style="3072" bestFit="1" customWidth="1"/>
    <col min="99" max="99" width="10.375" style="3072" bestFit="1" customWidth="1"/>
    <col min="100" max="100" width="10.625" style="3072" bestFit="1" customWidth="1"/>
    <col min="101" max="101" width="9.625" style="3072" bestFit="1" customWidth="1"/>
    <col min="102" max="109" width="9.875" style="3072" bestFit="1" customWidth="1"/>
    <col min="110" max="110" width="10.625" style="3072" bestFit="1" customWidth="1"/>
    <col min="111" max="111" width="10.375" style="3072" bestFit="1" customWidth="1"/>
    <col min="112" max="112" width="10.625" style="3072" bestFit="1" customWidth="1"/>
    <col min="113" max="113" width="9.625" style="3072" bestFit="1" customWidth="1"/>
    <col min="114" max="121" width="9.875" style="3072" bestFit="1" customWidth="1"/>
    <col min="122" max="122" width="10.625" style="3072" bestFit="1" customWidth="1"/>
    <col min="123" max="123" width="10.375" style="3072" bestFit="1" customWidth="1"/>
    <col min="124" max="124" width="10.625" style="3072" bestFit="1" customWidth="1"/>
    <col min="125" max="125" width="9" style="3072"/>
    <col min="126" max="126" width="11.25" style="3072" bestFit="1" customWidth="1"/>
    <col min="127" max="128" width="9" style="3072"/>
    <col min="129" max="129" width="9.75" style="3072" bestFit="1" customWidth="1"/>
    <col min="130" max="16384" width="9" style="3072"/>
  </cols>
  <sheetData>
    <row r="1" spans="1:129" s="3049" customFormat="1" ht="12">
      <c r="A1" s="3182" t="s">
        <v>3413</v>
      </c>
      <c r="B1" s="3184" t="s">
        <v>3414</v>
      </c>
      <c r="C1" s="3186" t="s">
        <v>3415</v>
      </c>
      <c r="D1" s="3176" t="s">
        <v>3416</v>
      </c>
      <c r="E1" s="3176" t="s">
        <v>3399</v>
      </c>
      <c r="F1" s="3045" t="s">
        <v>3400</v>
      </c>
      <c r="G1" s="3045" t="s">
        <v>3137</v>
      </c>
      <c r="H1" s="3046" t="s">
        <v>3401</v>
      </c>
      <c r="I1" s="3182" t="s">
        <v>3417</v>
      </c>
      <c r="J1" s="3182" t="s">
        <v>3402</v>
      </c>
      <c r="K1" s="3192" t="s">
        <v>3403</v>
      </c>
      <c r="L1" s="3046" t="s">
        <v>3404</v>
      </c>
      <c r="M1" s="3176" t="s">
        <v>3405</v>
      </c>
      <c r="N1" s="3188">
        <v>43374</v>
      </c>
      <c r="O1" s="3188">
        <v>43405</v>
      </c>
      <c r="P1" s="3188">
        <v>43435</v>
      </c>
      <c r="Q1" s="3188">
        <v>43466</v>
      </c>
      <c r="R1" s="3188">
        <v>43497</v>
      </c>
      <c r="S1" s="3188">
        <v>43525</v>
      </c>
      <c r="T1" s="3188">
        <v>43556</v>
      </c>
      <c r="U1" s="3188">
        <v>43586</v>
      </c>
      <c r="V1" s="3188">
        <v>43617</v>
      </c>
      <c r="W1" s="3188">
        <v>43647</v>
      </c>
      <c r="X1" s="3188">
        <v>43678</v>
      </c>
      <c r="Y1" s="3188">
        <v>43709</v>
      </c>
      <c r="Z1" s="3188">
        <v>43739</v>
      </c>
      <c r="AA1" s="3188">
        <v>43770</v>
      </c>
      <c r="AB1" s="3188">
        <v>43800</v>
      </c>
      <c r="AC1" s="3188">
        <v>43831</v>
      </c>
      <c r="AD1" s="3188">
        <v>43862</v>
      </c>
      <c r="AE1" s="3188">
        <v>43891</v>
      </c>
      <c r="AF1" s="3188">
        <v>43922</v>
      </c>
      <c r="AG1" s="3188">
        <v>43952</v>
      </c>
      <c r="AH1" s="3188">
        <v>43983</v>
      </c>
      <c r="AI1" s="3188">
        <v>44013</v>
      </c>
      <c r="AJ1" s="3188">
        <v>44044</v>
      </c>
      <c r="AK1" s="3188">
        <v>44075</v>
      </c>
      <c r="AL1" s="3188">
        <v>44105</v>
      </c>
      <c r="AM1" s="3188">
        <v>44136</v>
      </c>
      <c r="AN1" s="3188">
        <v>44166</v>
      </c>
      <c r="AO1" s="3188">
        <v>44197</v>
      </c>
      <c r="AP1" s="3188">
        <v>44228</v>
      </c>
      <c r="AQ1" s="3188">
        <v>44256</v>
      </c>
      <c r="AR1" s="3188">
        <v>44287</v>
      </c>
      <c r="AS1" s="3188">
        <v>44317</v>
      </c>
      <c r="AT1" s="3188">
        <v>44348</v>
      </c>
      <c r="AU1" s="3188">
        <v>44378</v>
      </c>
      <c r="AV1" s="3188">
        <v>44409</v>
      </c>
      <c r="AW1" s="3188">
        <v>44440</v>
      </c>
      <c r="AX1" s="3188">
        <v>44470</v>
      </c>
      <c r="AY1" s="3188">
        <v>44501</v>
      </c>
      <c r="AZ1" s="3188">
        <v>44531</v>
      </c>
      <c r="BA1" s="3188">
        <v>44562</v>
      </c>
      <c r="BB1" s="3188">
        <v>44593</v>
      </c>
      <c r="BC1" s="3188">
        <v>44621</v>
      </c>
      <c r="BD1" s="3188">
        <v>44652</v>
      </c>
      <c r="BE1" s="3188">
        <v>44682</v>
      </c>
      <c r="BF1" s="3188">
        <v>44713</v>
      </c>
      <c r="BG1" s="3188">
        <v>44743</v>
      </c>
      <c r="BH1" s="3188">
        <v>44774</v>
      </c>
      <c r="BI1" s="3188">
        <v>44805</v>
      </c>
      <c r="BJ1" s="3188">
        <v>44835</v>
      </c>
      <c r="BK1" s="3188">
        <v>44866</v>
      </c>
      <c r="BL1" s="3188">
        <v>44896</v>
      </c>
      <c r="BM1" s="3188">
        <v>44927</v>
      </c>
      <c r="BN1" s="3188">
        <v>44958</v>
      </c>
      <c r="BO1" s="3188">
        <v>44986</v>
      </c>
      <c r="BP1" s="3188">
        <v>45017</v>
      </c>
      <c r="BQ1" s="3188">
        <v>45047</v>
      </c>
      <c r="BR1" s="3188">
        <v>45078</v>
      </c>
      <c r="BS1" s="3188">
        <v>45108</v>
      </c>
      <c r="BT1" s="3188">
        <v>45139</v>
      </c>
      <c r="BU1" s="3188">
        <v>45170</v>
      </c>
      <c r="BV1" s="3188">
        <v>45200</v>
      </c>
      <c r="BW1" s="3188">
        <v>45231</v>
      </c>
      <c r="BX1" s="3188">
        <v>45261</v>
      </c>
      <c r="BY1" s="3188">
        <v>45292</v>
      </c>
      <c r="BZ1" s="3188">
        <v>45323</v>
      </c>
      <c r="CA1" s="3188">
        <v>45352</v>
      </c>
      <c r="CB1" s="3188">
        <v>45383</v>
      </c>
      <c r="CC1" s="3188">
        <v>45413</v>
      </c>
      <c r="CD1" s="3188">
        <v>45444</v>
      </c>
      <c r="CE1" s="3188">
        <v>45474</v>
      </c>
      <c r="CF1" s="3188">
        <v>45505</v>
      </c>
      <c r="CG1" s="3188">
        <v>45536</v>
      </c>
      <c r="CH1" s="3188">
        <v>45566</v>
      </c>
      <c r="CI1" s="3188">
        <v>45597</v>
      </c>
      <c r="CJ1" s="3188">
        <v>45627</v>
      </c>
      <c r="CK1" s="3188">
        <v>45658</v>
      </c>
      <c r="CL1" s="3188">
        <v>45689</v>
      </c>
      <c r="CM1" s="3188">
        <v>45717</v>
      </c>
      <c r="CN1" s="3188">
        <v>45748</v>
      </c>
      <c r="CO1" s="3188">
        <v>45778</v>
      </c>
      <c r="CP1" s="3188">
        <v>45809</v>
      </c>
      <c r="CQ1" s="3188">
        <v>45839</v>
      </c>
      <c r="CR1" s="3188">
        <v>45870</v>
      </c>
      <c r="CS1" s="3188">
        <v>45901</v>
      </c>
      <c r="CT1" s="3188">
        <v>45931</v>
      </c>
      <c r="CU1" s="3188">
        <v>45962</v>
      </c>
      <c r="CV1" s="3188">
        <v>45992</v>
      </c>
      <c r="CW1" s="3176">
        <v>46023</v>
      </c>
      <c r="CX1" s="3176">
        <v>46054</v>
      </c>
      <c r="CY1" s="3176">
        <v>46082</v>
      </c>
      <c r="CZ1" s="3176">
        <v>46113</v>
      </c>
      <c r="DA1" s="3176">
        <v>46143</v>
      </c>
      <c r="DB1" s="3176">
        <v>46174</v>
      </c>
      <c r="DC1" s="3176">
        <v>46204</v>
      </c>
      <c r="DD1" s="3176">
        <v>46235</v>
      </c>
      <c r="DE1" s="3176">
        <v>46266</v>
      </c>
      <c r="DF1" s="3176">
        <v>46296</v>
      </c>
      <c r="DG1" s="3176">
        <v>46327</v>
      </c>
      <c r="DH1" s="3176">
        <v>46357</v>
      </c>
      <c r="DI1" s="3176">
        <v>46388</v>
      </c>
      <c r="DJ1" s="3176">
        <v>46419</v>
      </c>
      <c r="DK1" s="3176">
        <v>46447</v>
      </c>
      <c r="DL1" s="3176">
        <v>46478</v>
      </c>
      <c r="DM1" s="3176">
        <v>46508</v>
      </c>
      <c r="DN1" s="3176">
        <v>46539</v>
      </c>
      <c r="DO1" s="3176">
        <v>46569</v>
      </c>
      <c r="DP1" s="3176">
        <v>46600</v>
      </c>
      <c r="DQ1" s="3176">
        <v>46631</v>
      </c>
      <c r="DR1" s="3176">
        <v>46661</v>
      </c>
      <c r="DS1" s="3176">
        <v>46692</v>
      </c>
      <c r="DT1" s="3176">
        <v>46722</v>
      </c>
      <c r="DU1" s="3176" t="s">
        <v>3406</v>
      </c>
      <c r="DV1" s="3178" t="s">
        <v>3407</v>
      </c>
      <c r="DW1" s="3180" t="s">
        <v>3408</v>
      </c>
      <c r="DX1" s="3047" t="s">
        <v>3409</v>
      </c>
      <c r="DY1" s="3048" t="s">
        <v>3410</v>
      </c>
    </row>
    <row r="2" spans="1:129" s="3054" customFormat="1" ht="12">
      <c r="A2" s="3183"/>
      <c r="B2" s="3185"/>
      <c r="C2" s="3187"/>
      <c r="D2" s="3177"/>
      <c r="E2" s="3177"/>
      <c r="F2" s="3050" t="s">
        <v>3418</v>
      </c>
      <c r="G2" s="3050"/>
      <c r="H2" s="3051" t="s">
        <v>3411</v>
      </c>
      <c r="I2" s="3183"/>
      <c r="J2" s="3183"/>
      <c r="K2" s="3193"/>
      <c r="L2" s="3052" t="s">
        <v>3411</v>
      </c>
      <c r="M2" s="3177"/>
      <c r="N2" s="3189"/>
      <c r="O2" s="3189"/>
      <c r="P2" s="3189"/>
      <c r="Q2" s="3189"/>
      <c r="R2" s="3189"/>
      <c r="S2" s="3189"/>
      <c r="T2" s="3189"/>
      <c r="U2" s="3189"/>
      <c r="V2" s="3189"/>
      <c r="W2" s="3189"/>
      <c r="X2" s="3189"/>
      <c r="Y2" s="3189"/>
      <c r="Z2" s="3189"/>
      <c r="AA2" s="3189"/>
      <c r="AB2" s="3189"/>
      <c r="AC2" s="3189"/>
      <c r="AD2" s="3189"/>
      <c r="AE2" s="3189"/>
      <c r="AF2" s="3189"/>
      <c r="AG2" s="3189"/>
      <c r="AH2" s="3189"/>
      <c r="AI2" s="3189"/>
      <c r="AJ2" s="3189"/>
      <c r="AK2" s="3189"/>
      <c r="AL2" s="3189"/>
      <c r="AM2" s="3189"/>
      <c r="AN2" s="3189"/>
      <c r="AO2" s="3189"/>
      <c r="AP2" s="3189"/>
      <c r="AQ2" s="3189"/>
      <c r="AR2" s="3189"/>
      <c r="AS2" s="3189"/>
      <c r="AT2" s="3189"/>
      <c r="AU2" s="3189"/>
      <c r="AV2" s="3189"/>
      <c r="AW2" s="3189"/>
      <c r="AX2" s="3189"/>
      <c r="AY2" s="3189"/>
      <c r="AZ2" s="3189"/>
      <c r="BA2" s="3189"/>
      <c r="BB2" s="3189"/>
      <c r="BC2" s="3189"/>
      <c r="BD2" s="3189"/>
      <c r="BE2" s="3189"/>
      <c r="BF2" s="3189"/>
      <c r="BG2" s="3189"/>
      <c r="BH2" s="3189"/>
      <c r="BI2" s="3189"/>
      <c r="BJ2" s="3189"/>
      <c r="BK2" s="3189"/>
      <c r="BL2" s="3189"/>
      <c r="BM2" s="3189"/>
      <c r="BN2" s="3189"/>
      <c r="BO2" s="3189"/>
      <c r="BP2" s="3189"/>
      <c r="BQ2" s="3189"/>
      <c r="BR2" s="3189"/>
      <c r="BS2" s="3189"/>
      <c r="BT2" s="3189"/>
      <c r="BU2" s="3189"/>
      <c r="BV2" s="3189"/>
      <c r="BW2" s="3189"/>
      <c r="BX2" s="3189"/>
      <c r="BY2" s="3189"/>
      <c r="BZ2" s="3189"/>
      <c r="CA2" s="3189"/>
      <c r="CB2" s="3189"/>
      <c r="CC2" s="3189"/>
      <c r="CD2" s="3189"/>
      <c r="CE2" s="3189"/>
      <c r="CF2" s="3189"/>
      <c r="CG2" s="3189"/>
      <c r="CH2" s="3189"/>
      <c r="CI2" s="3189"/>
      <c r="CJ2" s="3189"/>
      <c r="CK2" s="3189"/>
      <c r="CL2" s="3189"/>
      <c r="CM2" s="3189"/>
      <c r="CN2" s="3189"/>
      <c r="CO2" s="3189"/>
      <c r="CP2" s="3189"/>
      <c r="CQ2" s="3189"/>
      <c r="CR2" s="3189"/>
      <c r="CS2" s="3189"/>
      <c r="CT2" s="3189"/>
      <c r="CU2" s="3189"/>
      <c r="CV2" s="3189"/>
      <c r="CW2" s="3177"/>
      <c r="CX2" s="3177"/>
      <c r="CY2" s="3177"/>
      <c r="CZ2" s="3177"/>
      <c r="DA2" s="3177"/>
      <c r="DB2" s="3177"/>
      <c r="DC2" s="3177"/>
      <c r="DD2" s="3177"/>
      <c r="DE2" s="3177"/>
      <c r="DF2" s="3177"/>
      <c r="DG2" s="3177"/>
      <c r="DH2" s="3177"/>
      <c r="DI2" s="3177"/>
      <c r="DJ2" s="3177"/>
      <c r="DK2" s="3177"/>
      <c r="DL2" s="3177"/>
      <c r="DM2" s="3177"/>
      <c r="DN2" s="3177"/>
      <c r="DO2" s="3177"/>
      <c r="DP2" s="3177"/>
      <c r="DQ2" s="3177"/>
      <c r="DR2" s="3177"/>
      <c r="DS2" s="3177"/>
      <c r="DT2" s="3177"/>
      <c r="DU2" s="3177"/>
      <c r="DV2" s="3179"/>
      <c r="DW2" s="3181"/>
      <c r="DX2" s="3053" t="s">
        <v>3412</v>
      </c>
      <c r="DY2" s="3048"/>
    </row>
    <row r="3" spans="1:129" s="3064" customFormat="1" ht="12" customHeight="1">
      <c r="A3" s="3194" t="s">
        <v>3096</v>
      </c>
      <c r="B3" s="3196" t="s">
        <v>3097</v>
      </c>
      <c r="C3" s="3198"/>
      <c r="D3" s="3190" t="s">
        <v>3392</v>
      </c>
      <c r="E3" s="3055"/>
      <c r="F3" s="3190">
        <v>1047</v>
      </c>
      <c r="G3" s="3056"/>
      <c r="H3" s="3190">
        <f>I3/F3</f>
        <v>38.204393505253101</v>
      </c>
      <c r="I3" s="3190">
        <v>40000</v>
      </c>
      <c r="J3" s="3055"/>
      <c r="K3" s="3055"/>
      <c r="L3" s="3057"/>
      <c r="M3" s="3058">
        <v>120000</v>
      </c>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059"/>
      <c r="AZ3" s="3059"/>
      <c r="BA3" s="3059"/>
      <c r="BB3" s="3059"/>
      <c r="BC3" s="3059"/>
      <c r="BD3" s="3059"/>
      <c r="BE3" s="3059"/>
      <c r="BF3" s="3059"/>
      <c r="BG3" s="3059"/>
      <c r="BH3" s="3059"/>
      <c r="BI3" s="3059"/>
      <c r="BJ3" s="3059"/>
      <c r="BK3" s="3059"/>
      <c r="BL3" s="3059"/>
      <c r="BM3" s="3059"/>
      <c r="BN3" s="3059"/>
      <c r="BO3" s="3059"/>
      <c r="BP3" s="3059"/>
      <c r="BQ3" s="3059"/>
      <c r="BR3" s="3059"/>
      <c r="BS3" s="3059"/>
      <c r="BT3" s="3059"/>
      <c r="BU3" s="3059"/>
      <c r="BV3" s="3059"/>
      <c r="BW3" s="3059"/>
      <c r="BX3" s="3059"/>
      <c r="BY3" s="3059"/>
      <c r="BZ3" s="3059"/>
      <c r="CA3" s="3059"/>
      <c r="CB3" s="3059"/>
      <c r="CC3" s="3059"/>
      <c r="CD3" s="3059"/>
      <c r="CE3" s="3059"/>
      <c r="CF3" s="3059"/>
      <c r="CG3" s="3059"/>
      <c r="CH3" s="3059"/>
      <c r="CI3" s="3059"/>
      <c r="CJ3" s="3059"/>
      <c r="CK3" s="3059"/>
      <c r="CL3" s="3059"/>
      <c r="CM3" s="3059"/>
      <c r="CN3" s="3059"/>
      <c r="CO3" s="3059"/>
      <c r="CP3" s="3059"/>
      <c r="CQ3" s="3059"/>
      <c r="CR3" s="3059"/>
      <c r="CS3" s="3059"/>
      <c r="CT3" s="3059"/>
      <c r="CU3" s="3059"/>
      <c r="CV3" s="3059"/>
      <c r="CW3" s="3059"/>
      <c r="CX3" s="3059"/>
      <c r="CY3" s="3059"/>
      <c r="CZ3" s="3059"/>
      <c r="DA3" s="3059"/>
      <c r="DB3" s="3059"/>
      <c r="DC3" s="3059"/>
      <c r="DD3" s="3059"/>
      <c r="DE3" s="3059"/>
      <c r="DF3" s="3059"/>
      <c r="DG3" s="3059"/>
      <c r="DH3" s="3059"/>
      <c r="DI3" s="3059"/>
      <c r="DJ3" s="3059"/>
      <c r="DK3" s="3059"/>
      <c r="DL3" s="3059"/>
      <c r="DM3" s="3059"/>
      <c r="DN3" s="3059"/>
      <c r="DO3" s="3059"/>
      <c r="DP3" s="3059"/>
      <c r="DQ3" s="3059"/>
      <c r="DR3" s="3059"/>
      <c r="DS3" s="3059"/>
      <c r="DT3" s="3059"/>
      <c r="DU3" s="3059"/>
      <c r="DV3" s="3060">
        <f t="shared" ref="DV3:DV14" si="0">SUM(N3:DU3)</f>
        <v>0</v>
      </c>
      <c r="DW3" s="3061"/>
      <c r="DX3" s="3062"/>
      <c r="DY3" s="3063">
        <v>10557929.199999999</v>
      </c>
    </row>
    <row r="4" spans="1:129" s="3064" customFormat="1" ht="12">
      <c r="A4" s="3195"/>
      <c r="B4" s="3197"/>
      <c r="C4" s="3199"/>
      <c r="D4" s="3191"/>
      <c r="E4" s="3055"/>
      <c r="F4" s="3191"/>
      <c r="G4" s="3065"/>
      <c r="H4" s="3191"/>
      <c r="I4" s="3191"/>
      <c r="J4" s="3055"/>
      <c r="K4" s="3055"/>
      <c r="L4" s="3057"/>
      <c r="M4" s="3055"/>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059"/>
      <c r="BB4" s="3059"/>
      <c r="BC4" s="3059"/>
      <c r="BD4" s="3059"/>
      <c r="BE4" s="3059"/>
      <c r="BF4" s="3059"/>
      <c r="BG4" s="3059"/>
      <c r="BH4" s="3059"/>
      <c r="BI4" s="3059"/>
      <c r="BJ4" s="3059"/>
      <c r="BK4" s="3059"/>
      <c r="BL4" s="3059"/>
      <c r="BM4" s="3059"/>
      <c r="BN4" s="3059"/>
      <c r="BO4" s="3059"/>
      <c r="BP4" s="3059"/>
      <c r="BQ4" s="3059"/>
      <c r="BR4" s="3059"/>
      <c r="BS4" s="3059"/>
      <c r="BT4" s="3059"/>
      <c r="BU4" s="3059"/>
      <c r="BV4" s="3059"/>
      <c r="BW4" s="3059"/>
      <c r="BX4" s="3059"/>
      <c r="BY4" s="3059"/>
      <c r="BZ4" s="3059"/>
      <c r="CA4" s="3059"/>
      <c r="CB4" s="3059"/>
      <c r="CC4" s="3059"/>
      <c r="CD4" s="3059"/>
      <c r="CE4" s="3059"/>
      <c r="CF4" s="3059"/>
      <c r="CG4" s="3059"/>
      <c r="CH4" s="3059"/>
      <c r="CI4" s="3059"/>
      <c r="CJ4" s="3059"/>
      <c r="CK4" s="3059"/>
      <c r="CL4" s="3059"/>
      <c r="CM4" s="3059"/>
      <c r="CN4" s="3059"/>
      <c r="CO4" s="3059"/>
      <c r="CP4" s="3059"/>
      <c r="CQ4" s="3059"/>
      <c r="CR4" s="3059"/>
      <c r="CS4" s="3059"/>
      <c r="CT4" s="3059"/>
      <c r="CU4" s="3059"/>
      <c r="CV4" s="3059"/>
      <c r="CW4" s="3059"/>
      <c r="CX4" s="3059"/>
      <c r="CY4" s="3059"/>
      <c r="CZ4" s="3059"/>
      <c r="DA4" s="3059"/>
      <c r="DB4" s="3059"/>
      <c r="DC4" s="3059"/>
      <c r="DD4" s="3059"/>
      <c r="DE4" s="3059"/>
      <c r="DF4" s="3059"/>
      <c r="DG4" s="3059"/>
      <c r="DH4" s="3059"/>
      <c r="DI4" s="3059"/>
      <c r="DJ4" s="3059"/>
      <c r="DK4" s="3059"/>
      <c r="DL4" s="3059"/>
      <c r="DM4" s="3059"/>
      <c r="DN4" s="3059"/>
      <c r="DO4" s="3059"/>
      <c r="DP4" s="3059"/>
      <c r="DQ4" s="3059"/>
      <c r="DR4" s="3059"/>
      <c r="DS4" s="3059"/>
      <c r="DT4" s="3059"/>
      <c r="DU4" s="3059"/>
      <c r="DV4" s="3066">
        <f t="shared" si="0"/>
        <v>0</v>
      </c>
      <c r="DW4" s="3061"/>
      <c r="DX4" s="3062"/>
      <c r="DY4" s="3063">
        <v>0</v>
      </c>
    </row>
    <row r="5" spans="1:129" s="3064" customFormat="1" ht="12">
      <c r="A5" s="3194" t="s">
        <v>3099</v>
      </c>
      <c r="B5" s="3196" t="s">
        <v>3393</v>
      </c>
      <c r="C5" s="3198">
        <f>DV5*0.001</f>
        <v>19608.468150000001</v>
      </c>
      <c r="D5" s="3190" t="s">
        <v>3394</v>
      </c>
      <c r="E5" s="3190"/>
      <c r="F5" s="3190">
        <v>894.06</v>
      </c>
      <c r="G5" s="3056"/>
      <c r="H5" s="3190">
        <v>17.100000000000001</v>
      </c>
      <c r="I5" s="3190">
        <f>F5*H5*365/12</f>
        <v>465022.95750000002</v>
      </c>
      <c r="J5" s="3190"/>
      <c r="K5" s="3190"/>
      <c r="L5" s="3190">
        <v>13.5</v>
      </c>
      <c r="M5" s="3058"/>
      <c r="N5" s="3067"/>
      <c r="O5" s="3067"/>
      <c r="P5" s="3067"/>
      <c r="Q5" s="3067">
        <v>2790137.76</v>
      </c>
      <c r="R5" s="3067"/>
      <c r="S5" s="3067"/>
      <c r="T5" s="3067"/>
      <c r="U5" s="3067"/>
      <c r="V5" s="3067"/>
      <c r="W5" s="3067">
        <v>2790137.76</v>
      </c>
      <c r="X5" s="3067"/>
      <c r="Y5" s="3067"/>
      <c r="Z5" s="3067"/>
      <c r="AA5" s="3067"/>
      <c r="AB5" s="3067"/>
      <c r="AC5" s="3067">
        <v>2790137.76</v>
      </c>
      <c r="AD5" s="3067"/>
      <c r="AE5" s="3067"/>
      <c r="AF5" s="3067"/>
      <c r="AG5" s="3067"/>
      <c r="AH5" s="3067"/>
      <c r="AI5" s="3067">
        <v>2790137.76</v>
      </c>
      <c r="AJ5" s="3067"/>
      <c r="AK5" s="3067"/>
      <c r="AL5" s="3067"/>
      <c r="AM5" s="3067"/>
      <c r="AN5" s="3067"/>
      <c r="AO5" s="3067">
        <v>2790137.76</v>
      </c>
      <c r="AP5" s="3067"/>
      <c r="AQ5" s="3067"/>
      <c r="AR5" s="3067"/>
      <c r="AS5" s="3067"/>
      <c r="AT5" s="3067"/>
      <c r="AU5" s="3067">
        <v>2790137.76</v>
      </c>
      <c r="AV5" s="3067"/>
      <c r="AW5" s="3067"/>
      <c r="AX5" s="3067"/>
      <c r="AY5" s="3067"/>
      <c r="AZ5" s="3067"/>
      <c r="BA5" s="3067">
        <v>2867641.59</v>
      </c>
      <c r="BB5" s="3067"/>
      <c r="BC5" s="3067"/>
      <c r="BD5" s="3067"/>
      <c r="BE5" s="3067"/>
      <c r="BF5" s="3067"/>
      <c r="BG5" s="3067"/>
      <c r="BH5" s="3067"/>
      <c r="BI5" s="3067"/>
      <c r="BJ5" s="3067"/>
      <c r="BK5" s="3067"/>
      <c r="BL5" s="3067"/>
      <c r="BM5" s="3067"/>
      <c r="BN5" s="3067"/>
      <c r="BO5" s="3067"/>
      <c r="BP5" s="3067"/>
      <c r="BQ5" s="3067"/>
      <c r="BR5" s="3067"/>
      <c r="BS5" s="3067"/>
      <c r="BT5" s="3067"/>
      <c r="BU5" s="3067"/>
      <c r="BV5" s="3067"/>
      <c r="BW5" s="3067"/>
      <c r="BX5" s="3067"/>
      <c r="BY5" s="3067"/>
      <c r="BZ5" s="3067"/>
      <c r="CA5" s="3067"/>
      <c r="CB5" s="3067"/>
      <c r="CC5" s="3067"/>
      <c r="CD5" s="3067"/>
      <c r="CE5" s="3067"/>
      <c r="CF5" s="3067"/>
      <c r="CG5" s="3067"/>
      <c r="CH5" s="3067"/>
      <c r="CI5" s="3067"/>
      <c r="CJ5" s="3067"/>
      <c r="CK5" s="3067"/>
      <c r="CL5" s="3067"/>
      <c r="CM5" s="3067"/>
      <c r="CN5" s="3067"/>
      <c r="CO5" s="3067"/>
      <c r="CP5" s="3067"/>
      <c r="CQ5" s="3067"/>
      <c r="CR5" s="3067"/>
      <c r="CS5" s="3067"/>
      <c r="CT5" s="3067"/>
      <c r="CU5" s="3067"/>
      <c r="CV5" s="3067"/>
      <c r="CW5" s="3067"/>
      <c r="CX5" s="3067"/>
      <c r="CY5" s="3067"/>
      <c r="CZ5" s="3067"/>
      <c r="DA5" s="3067"/>
      <c r="DB5" s="3067"/>
      <c r="DC5" s="3067"/>
      <c r="DD5" s="3067"/>
      <c r="DE5" s="3067"/>
      <c r="DF5" s="3067"/>
      <c r="DG5" s="3067"/>
      <c r="DH5" s="3067"/>
      <c r="DI5" s="3067"/>
      <c r="DJ5" s="3067"/>
      <c r="DK5" s="3067"/>
      <c r="DL5" s="3067"/>
      <c r="DM5" s="3067"/>
      <c r="DN5" s="3067"/>
      <c r="DO5" s="3067"/>
      <c r="DP5" s="3067"/>
      <c r="DQ5" s="3067"/>
      <c r="DR5" s="3067"/>
      <c r="DS5" s="3067"/>
      <c r="DT5" s="3067"/>
      <c r="DU5" s="3067"/>
      <c r="DV5" s="3060">
        <f t="shared" si="0"/>
        <v>19608468.149999999</v>
      </c>
      <c r="DW5" s="3068"/>
      <c r="DX5" s="3062"/>
      <c r="DY5" s="3069">
        <v>38058457.829999998</v>
      </c>
    </row>
    <row r="6" spans="1:129" s="3064" customFormat="1" ht="12">
      <c r="A6" s="3195"/>
      <c r="B6" s="3197"/>
      <c r="C6" s="3199"/>
      <c r="D6" s="3191"/>
      <c r="E6" s="3191"/>
      <c r="F6" s="3191"/>
      <c r="G6" s="3065"/>
      <c r="H6" s="3191"/>
      <c r="I6" s="3191"/>
      <c r="J6" s="3191"/>
      <c r="K6" s="3191"/>
      <c r="L6" s="3191"/>
      <c r="M6" s="3055"/>
      <c r="N6" s="3070"/>
      <c r="O6" s="3070"/>
      <c r="P6" s="3070"/>
      <c r="Q6" s="3070"/>
      <c r="R6" s="3070"/>
      <c r="S6" s="3070"/>
      <c r="T6" s="3070"/>
      <c r="U6" s="3070"/>
      <c r="V6" s="3070"/>
      <c r="W6" s="3070"/>
      <c r="X6" s="3070"/>
      <c r="Y6" s="3070"/>
      <c r="Z6" s="3070"/>
      <c r="AA6" s="3070"/>
      <c r="AB6" s="3070"/>
      <c r="AC6" s="3070"/>
      <c r="AD6" s="3070"/>
      <c r="AE6" s="3070"/>
      <c r="AF6" s="3070"/>
      <c r="AG6" s="3070"/>
      <c r="AH6" s="3070"/>
      <c r="AI6" s="3070"/>
      <c r="AJ6" s="3070"/>
      <c r="AK6" s="3070"/>
      <c r="AL6" s="3070"/>
      <c r="AM6" s="3070"/>
      <c r="AN6" s="3070"/>
      <c r="AO6" s="3070"/>
      <c r="AP6" s="3070"/>
      <c r="AQ6" s="3070"/>
      <c r="AR6" s="3070"/>
      <c r="AS6" s="3070"/>
      <c r="AT6" s="3070"/>
      <c r="AU6" s="3070"/>
      <c r="AV6" s="3070"/>
      <c r="AW6" s="3070"/>
      <c r="AX6" s="3070"/>
      <c r="AY6" s="3070"/>
      <c r="AZ6" s="3070"/>
      <c r="BA6" s="3070"/>
      <c r="BB6" s="3070"/>
      <c r="BC6" s="3070"/>
      <c r="BD6" s="3070"/>
      <c r="BE6" s="3070"/>
      <c r="BF6" s="3070"/>
      <c r="BG6" s="3070"/>
      <c r="BH6" s="3070"/>
      <c r="BI6" s="3070"/>
      <c r="BJ6" s="3070"/>
      <c r="BK6" s="3070"/>
      <c r="BL6" s="3070"/>
      <c r="BM6" s="3070"/>
      <c r="BN6" s="3070"/>
      <c r="BO6" s="3070"/>
      <c r="BP6" s="3070"/>
      <c r="BQ6" s="3070"/>
      <c r="BR6" s="3070"/>
      <c r="BS6" s="3070"/>
      <c r="BT6" s="3070"/>
      <c r="BU6" s="3070"/>
      <c r="BV6" s="3070"/>
      <c r="BW6" s="3070"/>
      <c r="BX6" s="3070"/>
      <c r="BY6" s="3070"/>
      <c r="BZ6" s="3070"/>
      <c r="CA6" s="3070"/>
      <c r="CB6" s="3070"/>
      <c r="CC6" s="3070"/>
      <c r="CD6" s="3070"/>
      <c r="CE6" s="3070"/>
      <c r="CF6" s="3070"/>
      <c r="CG6" s="3070"/>
      <c r="CH6" s="3070"/>
      <c r="CI6" s="3070"/>
      <c r="CJ6" s="3070"/>
      <c r="CK6" s="3070"/>
      <c r="CL6" s="3070"/>
      <c r="CM6" s="3070"/>
      <c r="CN6" s="3070"/>
      <c r="CO6" s="3070"/>
      <c r="CP6" s="3070"/>
      <c r="CQ6" s="3070"/>
      <c r="CR6" s="3070"/>
      <c r="CS6" s="3070"/>
      <c r="CT6" s="3070"/>
      <c r="CU6" s="3070"/>
      <c r="CV6" s="3070"/>
      <c r="CW6" s="3070"/>
      <c r="CX6" s="3070"/>
      <c r="CY6" s="3070"/>
      <c r="CZ6" s="3070"/>
      <c r="DA6" s="3070"/>
      <c r="DB6" s="3070"/>
      <c r="DC6" s="3070"/>
      <c r="DD6" s="3070"/>
      <c r="DE6" s="3070"/>
      <c r="DF6" s="3070"/>
      <c r="DG6" s="3070"/>
      <c r="DH6" s="3070"/>
      <c r="DI6" s="3070"/>
      <c r="DJ6" s="3070"/>
      <c r="DK6" s="3070"/>
      <c r="DL6" s="3070"/>
      <c r="DM6" s="3070"/>
      <c r="DN6" s="3070"/>
      <c r="DO6" s="3070"/>
      <c r="DP6" s="3070"/>
      <c r="DQ6" s="3070"/>
      <c r="DR6" s="3070"/>
      <c r="DS6" s="3070"/>
      <c r="DT6" s="3070"/>
      <c r="DU6" s="3070"/>
      <c r="DV6" s="3066">
        <f t="shared" si="0"/>
        <v>0</v>
      </c>
      <c r="DW6" s="3061"/>
      <c r="DX6" s="3062"/>
      <c r="DY6" s="3063">
        <v>23495896.829999998</v>
      </c>
    </row>
    <row r="7" spans="1:129" s="3064" customFormat="1" ht="12">
      <c r="A7" s="3194" t="s">
        <v>3101</v>
      </c>
      <c r="B7" s="3196" t="s">
        <v>3395</v>
      </c>
      <c r="C7" s="3198"/>
      <c r="D7" s="3190" t="s">
        <v>3396</v>
      </c>
      <c r="E7" s="3190"/>
      <c r="F7" s="3190">
        <v>1655.1</v>
      </c>
      <c r="G7" s="3056"/>
      <c r="H7" s="3190">
        <v>12</v>
      </c>
      <c r="I7" s="3190">
        <f>F7*H7*365/12</f>
        <v>604111.49999999988</v>
      </c>
      <c r="J7" s="3190"/>
      <c r="K7" s="3190"/>
      <c r="L7" s="3190"/>
      <c r="M7" s="3058"/>
      <c r="N7" s="3067"/>
      <c r="O7" s="3067"/>
      <c r="P7" s="3067"/>
      <c r="Q7" s="3067">
        <v>3624669</v>
      </c>
      <c r="R7" s="3067"/>
      <c r="S7" s="3067"/>
      <c r="T7" s="3067"/>
      <c r="U7" s="3067"/>
      <c r="V7" s="3067"/>
      <c r="W7" s="3067">
        <v>3624669</v>
      </c>
      <c r="X7" s="3067"/>
      <c r="Y7" s="3067"/>
      <c r="Z7" s="3067"/>
      <c r="AA7" s="3067"/>
      <c r="AB7" s="3067">
        <v>3624669</v>
      </c>
      <c r="AC7" s="3067"/>
      <c r="AD7" s="3067"/>
      <c r="AE7" s="3067"/>
      <c r="AF7" s="3067"/>
      <c r="AG7" s="3067"/>
      <c r="AH7" s="3067">
        <v>3624669</v>
      </c>
      <c r="AI7" s="3067"/>
      <c r="AJ7" s="3067"/>
      <c r="AK7" s="3067"/>
      <c r="AL7" s="3067"/>
      <c r="AM7" s="3067"/>
      <c r="AN7" s="3067">
        <v>3624669</v>
      </c>
      <c r="AO7" s="3067"/>
      <c r="AP7" s="3067"/>
      <c r="AQ7" s="3067"/>
      <c r="AR7" s="3067"/>
      <c r="AS7" s="3067"/>
      <c r="AT7" s="3067">
        <v>3624669</v>
      </c>
      <c r="AU7" s="3067"/>
      <c r="AV7" s="3067"/>
      <c r="AW7" s="3067"/>
      <c r="AX7" s="3067"/>
      <c r="AY7" s="3067"/>
      <c r="AZ7" s="3067">
        <v>3624669</v>
      </c>
      <c r="BA7" s="3067"/>
      <c r="BB7" s="3067"/>
      <c r="BC7" s="3067"/>
      <c r="BD7" s="3067"/>
      <c r="BE7" s="3067"/>
      <c r="BF7" s="3067">
        <v>3624669</v>
      </c>
      <c r="BG7" s="3067"/>
      <c r="BH7" s="3067"/>
      <c r="BI7" s="3067"/>
      <c r="BJ7" s="3067"/>
      <c r="BK7" s="3067"/>
      <c r="BL7" s="3067">
        <v>3624669</v>
      </c>
      <c r="BM7" s="3067"/>
      <c r="BN7" s="3067"/>
      <c r="BO7" s="3067"/>
      <c r="BP7" s="3067"/>
      <c r="BQ7" s="3067"/>
      <c r="BR7" s="3067">
        <v>3624669</v>
      </c>
      <c r="BS7" s="3067"/>
      <c r="BT7" s="3067"/>
      <c r="BU7" s="3067"/>
      <c r="BV7" s="3067"/>
      <c r="BW7" s="3067"/>
      <c r="BX7" s="3067">
        <v>3624669</v>
      </c>
      <c r="BY7" s="3067"/>
      <c r="BZ7" s="3067"/>
      <c r="CA7" s="3067"/>
      <c r="CB7" s="3067"/>
      <c r="CC7" s="3067"/>
      <c r="CD7" s="3067">
        <v>3624669</v>
      </c>
      <c r="CE7" s="3067">
        <v>604111.5</v>
      </c>
      <c r="CF7" s="3067"/>
      <c r="CG7" s="3067"/>
      <c r="CH7" s="3067"/>
      <c r="CI7" s="3067"/>
      <c r="CJ7" s="3067"/>
      <c r="CK7" s="3067"/>
      <c r="CL7" s="3067"/>
      <c r="CM7" s="3067"/>
      <c r="CN7" s="3067"/>
      <c r="CO7" s="3067"/>
      <c r="CP7" s="3067"/>
      <c r="CQ7" s="3067"/>
      <c r="CR7" s="3067"/>
      <c r="CS7" s="3067"/>
      <c r="CT7" s="3067"/>
      <c r="CU7" s="3067"/>
      <c r="CV7" s="3067"/>
      <c r="CW7" s="3067"/>
      <c r="CX7" s="3067"/>
      <c r="CY7" s="3067"/>
      <c r="CZ7" s="3067"/>
      <c r="DA7" s="3067"/>
      <c r="DB7" s="3067"/>
      <c r="DC7" s="3067"/>
      <c r="DD7" s="3067"/>
      <c r="DE7" s="3067"/>
      <c r="DF7" s="3067"/>
      <c r="DG7" s="3067"/>
      <c r="DH7" s="3067"/>
      <c r="DI7" s="3067"/>
      <c r="DJ7" s="3067"/>
      <c r="DK7" s="3067"/>
      <c r="DL7" s="3067"/>
      <c r="DM7" s="3067"/>
      <c r="DN7" s="3067"/>
      <c r="DO7" s="3067"/>
      <c r="DP7" s="3067"/>
      <c r="DQ7" s="3067"/>
      <c r="DR7" s="3067"/>
      <c r="DS7" s="3067"/>
      <c r="DT7" s="3067"/>
      <c r="DU7" s="3067"/>
      <c r="DV7" s="3060">
        <f t="shared" si="0"/>
        <v>44100139.5</v>
      </c>
      <c r="DW7" s="3068"/>
      <c r="DX7" s="3062"/>
      <c r="DY7" s="3069">
        <v>70681045.5</v>
      </c>
    </row>
    <row r="8" spans="1:129" s="3064" customFormat="1" ht="12">
      <c r="A8" s="3195"/>
      <c r="B8" s="3197"/>
      <c r="C8" s="3199"/>
      <c r="D8" s="3191"/>
      <c r="E8" s="3191"/>
      <c r="F8" s="3191"/>
      <c r="G8" s="3065"/>
      <c r="H8" s="3191"/>
      <c r="I8" s="3191"/>
      <c r="J8" s="3191"/>
      <c r="K8" s="3191"/>
      <c r="L8" s="3191"/>
      <c r="M8" s="3055"/>
      <c r="N8" s="3070"/>
      <c r="O8" s="3070"/>
      <c r="P8" s="3070"/>
      <c r="Q8" s="3070"/>
      <c r="R8" s="3070"/>
      <c r="S8" s="3070"/>
      <c r="T8" s="3070"/>
      <c r="U8" s="3070"/>
      <c r="V8" s="3070"/>
      <c r="W8" s="3070"/>
      <c r="X8" s="3070"/>
      <c r="Y8" s="3070"/>
      <c r="Z8" s="3070"/>
      <c r="AA8" s="3070"/>
      <c r="AB8" s="3070"/>
      <c r="AC8" s="3070"/>
      <c r="AD8" s="3070"/>
      <c r="AE8" s="3070"/>
      <c r="AF8" s="3070"/>
      <c r="AG8" s="3070"/>
      <c r="AH8" s="3070"/>
      <c r="AI8" s="3070"/>
      <c r="AJ8" s="3070"/>
      <c r="AK8" s="3070"/>
      <c r="AL8" s="3070"/>
      <c r="AM8" s="3070"/>
      <c r="AN8" s="3070"/>
      <c r="AO8" s="3070"/>
      <c r="AP8" s="3070"/>
      <c r="AQ8" s="3070"/>
      <c r="AR8" s="3070"/>
      <c r="AS8" s="3070"/>
      <c r="AT8" s="3070"/>
      <c r="AU8" s="3070"/>
      <c r="AV8" s="3070"/>
      <c r="AW8" s="3070"/>
      <c r="AX8" s="3070"/>
      <c r="AY8" s="3070"/>
      <c r="AZ8" s="3070"/>
      <c r="BA8" s="3070"/>
      <c r="BB8" s="3070"/>
      <c r="BC8" s="3070"/>
      <c r="BD8" s="3070"/>
      <c r="BE8" s="3070"/>
      <c r="BF8" s="3070"/>
      <c r="BG8" s="3070"/>
      <c r="BH8" s="3070"/>
      <c r="BI8" s="3070"/>
      <c r="BJ8" s="3070"/>
      <c r="BK8" s="3070"/>
      <c r="BL8" s="3070"/>
      <c r="BM8" s="3070"/>
      <c r="BN8" s="3070"/>
      <c r="BO8" s="3070"/>
      <c r="BP8" s="3070"/>
      <c r="BQ8" s="3070"/>
      <c r="BR8" s="3070"/>
      <c r="BS8" s="3070"/>
      <c r="BT8" s="3070"/>
      <c r="BU8" s="3070"/>
      <c r="BV8" s="3070"/>
      <c r="BW8" s="3070"/>
      <c r="BX8" s="3070"/>
      <c r="BY8" s="3070"/>
      <c r="BZ8" s="3070"/>
      <c r="CA8" s="3070"/>
      <c r="CB8" s="3070"/>
      <c r="CC8" s="3070"/>
      <c r="CD8" s="3070"/>
      <c r="CE8" s="3070"/>
      <c r="CF8" s="3070"/>
      <c r="CG8" s="3070"/>
      <c r="CH8" s="3070"/>
      <c r="CI8" s="3070"/>
      <c r="CJ8" s="3070"/>
      <c r="CK8" s="3070"/>
      <c r="CL8" s="3070"/>
      <c r="CM8" s="3070"/>
      <c r="CN8" s="3070"/>
      <c r="CO8" s="3070"/>
      <c r="CP8" s="3070"/>
      <c r="CQ8" s="3070"/>
      <c r="CR8" s="3070"/>
      <c r="CS8" s="3070"/>
      <c r="CT8" s="3070"/>
      <c r="CU8" s="3070"/>
      <c r="CV8" s="3070"/>
      <c r="CW8" s="3070"/>
      <c r="CX8" s="3070"/>
      <c r="CY8" s="3070"/>
      <c r="CZ8" s="3070"/>
      <c r="DA8" s="3070"/>
      <c r="DB8" s="3070"/>
      <c r="DC8" s="3070"/>
      <c r="DD8" s="3070"/>
      <c r="DE8" s="3070"/>
      <c r="DF8" s="3070"/>
      <c r="DG8" s="3070"/>
      <c r="DH8" s="3070"/>
      <c r="DI8" s="3070"/>
      <c r="DJ8" s="3070"/>
      <c r="DK8" s="3070"/>
      <c r="DL8" s="3070"/>
      <c r="DM8" s="3070"/>
      <c r="DN8" s="3070"/>
      <c r="DO8" s="3070"/>
      <c r="DP8" s="3070"/>
      <c r="DQ8" s="3070"/>
      <c r="DR8" s="3070"/>
      <c r="DS8" s="3070"/>
      <c r="DT8" s="3070"/>
      <c r="DU8" s="3070"/>
      <c r="DV8" s="3066">
        <f t="shared" si="0"/>
        <v>0</v>
      </c>
      <c r="DW8" s="3061"/>
      <c r="DX8" s="3062"/>
      <c r="DY8" s="3063">
        <v>1208223</v>
      </c>
    </row>
    <row r="9" spans="1:129" s="3064" customFormat="1" ht="12" customHeight="1">
      <c r="A9" s="3194" t="s">
        <v>3103</v>
      </c>
      <c r="B9" s="3196" t="s">
        <v>3104</v>
      </c>
      <c r="C9" s="3198">
        <f>DV9*0.001</f>
        <v>25711.79292</v>
      </c>
      <c r="D9" s="3190" t="s">
        <v>3397</v>
      </c>
      <c r="E9" s="3055"/>
      <c r="F9" s="3190">
        <v>1332.85</v>
      </c>
      <c r="G9" s="3190">
        <v>2105.9</v>
      </c>
      <c r="H9" s="3190">
        <v>15</v>
      </c>
      <c r="I9" s="3190">
        <v>608112.81000000006</v>
      </c>
      <c r="J9" s="3055"/>
      <c r="K9" s="3055"/>
      <c r="L9" s="3057"/>
      <c r="M9" s="3058">
        <v>1702715.87</v>
      </c>
      <c r="N9" s="3067">
        <v>3077402.94</v>
      </c>
      <c r="O9" s="3067"/>
      <c r="P9" s="3067"/>
      <c r="Q9" s="3067"/>
      <c r="R9" s="3067"/>
      <c r="S9" s="3067"/>
      <c r="T9" s="3067">
        <v>3077402.94</v>
      </c>
      <c r="U9" s="3067"/>
      <c r="V9" s="3067"/>
      <c r="W9" s="3067"/>
      <c r="X9" s="3067"/>
      <c r="Y9" s="3067"/>
      <c r="Z9" s="3067">
        <v>3259497.84</v>
      </c>
      <c r="AA9" s="3067"/>
      <c r="AB9" s="3067"/>
      <c r="AC9" s="3067"/>
      <c r="AD9" s="3067"/>
      <c r="AE9" s="3067"/>
      <c r="AF9" s="3067">
        <v>3259497.84</v>
      </c>
      <c r="AG9" s="3067"/>
      <c r="AH9" s="3067"/>
      <c r="AI9" s="3067"/>
      <c r="AJ9" s="3067"/>
      <c r="AK9" s="3067"/>
      <c r="AL9" s="3067">
        <v>3259497.84</v>
      </c>
      <c r="AM9" s="3067"/>
      <c r="AN9" s="3067"/>
      <c r="AO9" s="3067"/>
      <c r="AP9" s="3067"/>
      <c r="AQ9" s="3067"/>
      <c r="AR9" s="3067">
        <v>3259497.84</v>
      </c>
      <c r="AS9" s="3067"/>
      <c r="AT9" s="3067"/>
      <c r="AU9" s="3067"/>
      <c r="AV9" s="3067"/>
      <c r="AW9" s="3067"/>
      <c r="AX9" s="3067">
        <v>3259497.84</v>
      </c>
      <c r="AY9" s="3067"/>
      <c r="AZ9" s="3067"/>
      <c r="BA9" s="3067"/>
      <c r="BB9" s="3067"/>
      <c r="BC9" s="3067"/>
      <c r="BD9" s="3067">
        <v>3259497.84</v>
      </c>
      <c r="BE9" s="3067"/>
      <c r="BF9" s="3067"/>
      <c r="BG9" s="3067"/>
      <c r="BH9" s="3067"/>
      <c r="BI9" s="3067"/>
      <c r="BJ9" s="3067"/>
      <c r="BK9" s="3059"/>
      <c r="BL9" s="3059"/>
      <c r="BM9" s="3059"/>
      <c r="BN9" s="3059"/>
      <c r="BO9" s="3059"/>
      <c r="BP9" s="3059"/>
      <c r="BQ9" s="3059"/>
      <c r="BR9" s="3059"/>
      <c r="BS9" s="3059"/>
      <c r="BT9" s="3059"/>
      <c r="BU9" s="3059"/>
      <c r="BV9" s="3059"/>
      <c r="BW9" s="3059"/>
      <c r="BX9" s="3059"/>
      <c r="BY9" s="3059"/>
      <c r="BZ9" s="3059"/>
      <c r="CA9" s="3059"/>
      <c r="CB9" s="3059"/>
      <c r="CC9" s="3059"/>
      <c r="CD9" s="3059"/>
      <c r="CE9" s="3059"/>
      <c r="CF9" s="3059"/>
      <c r="CG9" s="3059"/>
      <c r="CH9" s="3059"/>
      <c r="CI9" s="3059"/>
      <c r="CJ9" s="3059"/>
      <c r="CK9" s="3059"/>
      <c r="CL9" s="3059"/>
      <c r="CM9" s="3059"/>
      <c r="CN9" s="3059"/>
      <c r="CO9" s="3059"/>
      <c r="CP9" s="3059"/>
      <c r="CQ9" s="3059"/>
      <c r="CR9" s="3059"/>
      <c r="CS9" s="3059"/>
      <c r="CT9" s="3059"/>
      <c r="CU9" s="3059"/>
      <c r="CV9" s="3059"/>
      <c r="CW9" s="3059"/>
      <c r="CX9" s="3059"/>
      <c r="CY9" s="3059"/>
      <c r="CZ9" s="3059"/>
      <c r="DA9" s="3059"/>
      <c r="DB9" s="3059"/>
      <c r="DC9" s="3059"/>
      <c r="DD9" s="3059"/>
      <c r="DE9" s="3059"/>
      <c r="DF9" s="3059"/>
      <c r="DG9" s="3059"/>
      <c r="DH9" s="3059"/>
      <c r="DI9" s="3059"/>
      <c r="DJ9" s="3059"/>
      <c r="DK9" s="3059"/>
      <c r="DL9" s="3059"/>
      <c r="DM9" s="3059"/>
      <c r="DN9" s="3059"/>
      <c r="DO9" s="3059"/>
      <c r="DP9" s="3059"/>
      <c r="DQ9" s="3059"/>
      <c r="DR9" s="3059"/>
      <c r="DS9" s="3059"/>
      <c r="DT9" s="3059"/>
      <c r="DU9" s="3059"/>
      <c r="DV9" s="3060">
        <f t="shared" si="0"/>
        <v>25711792.919999998</v>
      </c>
      <c r="DW9" s="3061"/>
      <c r="DX9" s="3062"/>
      <c r="DY9" s="3063">
        <v>35513788.159999996</v>
      </c>
    </row>
    <row r="10" spans="1:129" s="3064" customFormat="1" ht="12">
      <c r="A10" s="3195"/>
      <c r="B10" s="3197"/>
      <c r="C10" s="3199"/>
      <c r="D10" s="3191"/>
      <c r="E10" s="3055"/>
      <c r="F10" s="3191"/>
      <c r="G10" s="3191"/>
      <c r="H10" s="3191"/>
      <c r="I10" s="3191"/>
      <c r="J10" s="3055"/>
      <c r="K10" s="3055"/>
      <c r="L10" s="3057"/>
      <c r="M10" s="3055">
        <v>1702715.87</v>
      </c>
      <c r="N10" s="3059"/>
      <c r="O10" s="3059"/>
      <c r="P10" s="3059"/>
      <c r="Q10" s="3059"/>
      <c r="R10" s="3059"/>
      <c r="S10" s="3059"/>
      <c r="T10" s="3059"/>
      <c r="U10" s="3059"/>
      <c r="V10" s="3059"/>
      <c r="W10" s="3059"/>
      <c r="X10" s="3059"/>
      <c r="Y10" s="3059"/>
      <c r="Z10" s="3059"/>
      <c r="AA10" s="3059"/>
      <c r="AB10" s="3059"/>
      <c r="AC10" s="3059"/>
      <c r="AD10" s="3059"/>
      <c r="AE10" s="3059"/>
      <c r="AF10" s="3059"/>
      <c r="AG10" s="3059"/>
      <c r="AH10" s="3059"/>
      <c r="AI10" s="3059"/>
      <c r="AJ10" s="3059"/>
      <c r="AK10" s="3059"/>
      <c r="AL10" s="3059"/>
      <c r="AM10" s="3059"/>
      <c r="AN10" s="3059"/>
      <c r="AO10" s="3059"/>
      <c r="AP10" s="3059"/>
      <c r="AQ10" s="3059"/>
      <c r="AR10" s="3059"/>
      <c r="AS10" s="3059"/>
      <c r="AT10" s="3059"/>
      <c r="AU10" s="3059"/>
      <c r="AV10" s="3059"/>
      <c r="AW10" s="3059"/>
      <c r="AX10" s="3059"/>
      <c r="AY10" s="3059"/>
      <c r="AZ10" s="3059"/>
      <c r="BA10" s="3059"/>
      <c r="BB10" s="3059"/>
      <c r="BC10" s="3059"/>
      <c r="BD10" s="3059"/>
      <c r="BE10" s="3059"/>
      <c r="BF10" s="3059"/>
      <c r="BG10" s="3059"/>
      <c r="BH10" s="3059"/>
      <c r="BI10" s="3059"/>
      <c r="BJ10" s="3059"/>
      <c r="BK10" s="3059"/>
      <c r="BL10" s="3059"/>
      <c r="BM10" s="3059"/>
      <c r="BN10" s="3059"/>
      <c r="BO10" s="3059"/>
      <c r="BP10" s="3059"/>
      <c r="BQ10" s="3059"/>
      <c r="BR10" s="3059"/>
      <c r="BS10" s="3059"/>
      <c r="BT10" s="3059"/>
      <c r="BU10" s="3059"/>
      <c r="BV10" s="3059"/>
      <c r="BW10" s="3059"/>
      <c r="BX10" s="3059"/>
      <c r="BY10" s="3059"/>
      <c r="BZ10" s="3059"/>
      <c r="CA10" s="3059"/>
      <c r="CB10" s="3059"/>
      <c r="CC10" s="3059"/>
      <c r="CD10" s="3059"/>
      <c r="CE10" s="3059"/>
      <c r="CF10" s="3059"/>
      <c r="CG10" s="3059"/>
      <c r="CH10" s="3059"/>
      <c r="CI10" s="3059"/>
      <c r="CJ10" s="3059"/>
      <c r="CK10" s="3059"/>
      <c r="CL10" s="3059"/>
      <c r="CM10" s="3059"/>
      <c r="CN10" s="3059"/>
      <c r="CO10" s="3059"/>
      <c r="CP10" s="3059"/>
      <c r="CQ10" s="3059"/>
      <c r="CR10" s="3059"/>
      <c r="CS10" s="3059"/>
      <c r="CT10" s="3059"/>
      <c r="CU10" s="3059"/>
      <c r="CV10" s="3059"/>
      <c r="CW10" s="3059"/>
      <c r="CX10" s="3059"/>
      <c r="CY10" s="3059"/>
      <c r="CZ10" s="3059"/>
      <c r="DA10" s="3059"/>
      <c r="DB10" s="3059"/>
      <c r="DC10" s="3059"/>
      <c r="DD10" s="3059"/>
      <c r="DE10" s="3059"/>
      <c r="DF10" s="3059"/>
      <c r="DG10" s="3059"/>
      <c r="DH10" s="3059"/>
      <c r="DI10" s="3059"/>
      <c r="DJ10" s="3059"/>
      <c r="DK10" s="3059"/>
      <c r="DL10" s="3059"/>
      <c r="DM10" s="3059"/>
      <c r="DN10" s="3059"/>
      <c r="DO10" s="3059"/>
      <c r="DP10" s="3059"/>
      <c r="DQ10" s="3059"/>
      <c r="DR10" s="3059"/>
      <c r="DS10" s="3059"/>
      <c r="DT10" s="3059"/>
      <c r="DU10" s="3059"/>
      <c r="DV10" s="3066">
        <f t="shared" si="0"/>
        <v>0</v>
      </c>
      <c r="DW10" s="3061"/>
      <c r="DX10" s="3062"/>
      <c r="DY10" s="3063">
        <v>31865111.300000001</v>
      </c>
    </row>
    <row r="11" spans="1:129" s="3064" customFormat="1" ht="12">
      <c r="A11" s="3194" t="s">
        <v>3105</v>
      </c>
      <c r="B11" s="3196" t="s">
        <v>3106</v>
      </c>
      <c r="C11" s="3198">
        <f>DV11*0.001</f>
        <v>15216.696476333354</v>
      </c>
      <c r="D11" s="3190" t="s">
        <v>3398</v>
      </c>
      <c r="E11" s="3190"/>
      <c r="F11" s="3190">
        <v>2860.34</v>
      </c>
      <c r="G11" s="3056"/>
      <c r="H11" s="3190">
        <f>I11/F11*12/365</f>
        <v>2.9904110834223077</v>
      </c>
      <c r="I11" s="3190">
        <v>260171.77</v>
      </c>
      <c r="J11" s="3190"/>
      <c r="K11" s="3190"/>
      <c r="L11" s="3190">
        <v>2.84</v>
      </c>
      <c r="M11" s="3058">
        <v>494189.8</v>
      </c>
      <c r="N11" s="3067">
        <v>264755.90000000002</v>
      </c>
      <c r="O11" s="3067">
        <v>264755.90000000002</v>
      </c>
      <c r="P11" s="3067">
        <v>264755.90000000002</v>
      </c>
      <c r="Q11" s="3067">
        <v>264755.90000000002</v>
      </c>
      <c r="R11" s="3067">
        <v>264755.90000000002</v>
      </c>
      <c r="S11" s="3067">
        <v>264755.90000000002</v>
      </c>
      <c r="T11" s="3067">
        <v>264755.90000000002</v>
      </c>
      <c r="U11" s="3067">
        <f>T11/30*9+V11/30*22</f>
        <v>280349.63866666669</v>
      </c>
      <c r="V11" s="3067">
        <v>273985.73</v>
      </c>
      <c r="W11" s="3067">
        <v>273985.73</v>
      </c>
      <c r="X11" s="3067">
        <v>273985.73</v>
      </c>
      <c r="Y11" s="3067">
        <v>273985.73</v>
      </c>
      <c r="Z11" s="3067">
        <v>273985.73</v>
      </c>
      <c r="AA11" s="3067">
        <v>273985.73</v>
      </c>
      <c r="AB11" s="3067">
        <v>273985.73</v>
      </c>
      <c r="AC11" s="3067">
        <v>273985.73</v>
      </c>
      <c r="AD11" s="3067">
        <v>273985.73</v>
      </c>
      <c r="AE11" s="3067">
        <v>273985.73</v>
      </c>
      <c r="AF11" s="3067">
        <v>273985.73</v>
      </c>
      <c r="AG11" s="3067">
        <v>273985.73</v>
      </c>
      <c r="AH11" s="3067">
        <v>273985.73</v>
      </c>
      <c r="AI11" s="3067">
        <v>273985.73</v>
      </c>
      <c r="AJ11" s="3067">
        <v>273985.73</v>
      </c>
      <c r="AK11" s="3067">
        <v>273985.73</v>
      </c>
      <c r="AL11" s="3067">
        <v>273985.73</v>
      </c>
      <c r="AM11" s="3067">
        <v>273985.73</v>
      </c>
      <c r="AN11" s="3067">
        <v>273985.73</v>
      </c>
      <c r="AO11" s="3067">
        <v>273985.73</v>
      </c>
      <c r="AP11" s="3067">
        <v>273985.73</v>
      </c>
      <c r="AQ11" s="3067">
        <v>273985.73</v>
      </c>
      <c r="AR11" s="3067">
        <v>273985.73</v>
      </c>
      <c r="AS11" s="3067">
        <v>273985.73</v>
      </c>
      <c r="AT11" s="3067">
        <v>273985.73</v>
      </c>
      <c r="AU11" s="3067">
        <v>273985.73</v>
      </c>
      <c r="AV11" s="3067">
        <v>273985.73</v>
      </c>
      <c r="AW11" s="3067">
        <v>273985.73</v>
      </c>
      <c r="AX11" s="3067">
        <v>273985.73</v>
      </c>
      <c r="AY11" s="3067">
        <v>273985.73</v>
      </c>
      <c r="AZ11" s="3067">
        <v>273985.73</v>
      </c>
      <c r="BA11" s="3067">
        <v>273985.73</v>
      </c>
      <c r="BB11" s="3067">
        <v>273985.73</v>
      </c>
      <c r="BC11" s="3067">
        <v>273985.73</v>
      </c>
      <c r="BD11" s="3067">
        <v>273985.73</v>
      </c>
      <c r="BE11" s="3067">
        <f>BD11/30*9+BF11/30*22</f>
        <v>290090.18966666667</v>
      </c>
      <c r="BF11" s="3067">
        <v>283492.46000000002</v>
      </c>
      <c r="BG11" s="3067">
        <v>283492.46000000002</v>
      </c>
      <c r="BH11" s="3067">
        <v>283492.46000000002</v>
      </c>
      <c r="BI11" s="3067">
        <v>283492.46000000002</v>
      </c>
      <c r="BJ11" s="3067">
        <v>283492.46000000002</v>
      </c>
      <c r="BK11" s="3067">
        <v>283492.46000000002</v>
      </c>
      <c r="BL11" s="3067">
        <v>283492.46000000002</v>
      </c>
      <c r="BM11" s="3067">
        <v>283492.46000000002</v>
      </c>
      <c r="BN11" s="3067">
        <v>283492.46000000002</v>
      </c>
      <c r="BO11" s="3067">
        <v>283492.46000000002</v>
      </c>
      <c r="BP11" s="3067">
        <v>283492.46000000002</v>
      </c>
      <c r="BQ11" s="3067">
        <f>BP11/30*9</f>
        <v>85047.738000000012</v>
      </c>
      <c r="BR11" s="3067"/>
      <c r="BS11" s="3067"/>
      <c r="BT11" s="3067"/>
      <c r="BU11" s="3067"/>
      <c r="BV11" s="3067"/>
      <c r="BW11" s="3067"/>
      <c r="BX11" s="3067"/>
      <c r="BY11" s="3067"/>
      <c r="BZ11" s="3067"/>
      <c r="CA11" s="3067"/>
      <c r="CB11" s="3067"/>
      <c r="CC11" s="3067"/>
      <c r="CD11" s="3067"/>
      <c r="CE11" s="3067"/>
      <c r="CF11" s="3067"/>
      <c r="CG11" s="3067"/>
      <c r="CH11" s="3067"/>
      <c r="CI11" s="3067"/>
      <c r="CJ11" s="3067"/>
      <c r="CK11" s="3067"/>
      <c r="CL11" s="3067"/>
      <c r="CM11" s="3067"/>
      <c r="CN11" s="3067"/>
      <c r="CO11" s="3067"/>
      <c r="CP11" s="3067"/>
      <c r="CQ11" s="3067"/>
      <c r="CR11" s="3067"/>
      <c r="CS11" s="3067"/>
      <c r="CT11" s="3067"/>
      <c r="CU11" s="3067"/>
      <c r="CV11" s="3067"/>
      <c r="CW11" s="3067"/>
      <c r="CX11" s="3067"/>
      <c r="CY11" s="3067"/>
      <c r="CZ11" s="3067"/>
      <c r="DA11" s="3067"/>
      <c r="DB11" s="3067"/>
      <c r="DC11" s="3067"/>
      <c r="DD11" s="3067"/>
      <c r="DE11" s="3067"/>
      <c r="DF11" s="3067"/>
      <c r="DG11" s="3067"/>
      <c r="DH11" s="3067"/>
      <c r="DI11" s="3067"/>
      <c r="DJ11" s="3067"/>
      <c r="DK11" s="3067"/>
      <c r="DL11" s="3067"/>
      <c r="DM11" s="3067"/>
      <c r="DN11" s="3067"/>
      <c r="DO11" s="3067"/>
      <c r="DP11" s="3067"/>
      <c r="DQ11" s="3067"/>
      <c r="DR11" s="3067"/>
      <c r="DS11" s="3067"/>
      <c r="DT11" s="3067"/>
      <c r="DU11" s="3067"/>
      <c r="DV11" s="3060">
        <f t="shared" si="0"/>
        <v>15216696.476333354</v>
      </c>
      <c r="DW11" s="3068"/>
      <c r="DX11" s="3062"/>
      <c r="DY11" s="3069">
        <v>45516067.4463332</v>
      </c>
    </row>
    <row r="12" spans="1:129" s="3064" customFormat="1" ht="12">
      <c r="A12" s="3195"/>
      <c r="B12" s="3197"/>
      <c r="C12" s="3199"/>
      <c r="D12" s="3191"/>
      <c r="E12" s="3191"/>
      <c r="F12" s="3191"/>
      <c r="G12" s="3065"/>
      <c r="H12" s="3191"/>
      <c r="I12" s="3191"/>
      <c r="J12" s="3191"/>
      <c r="K12" s="3191"/>
      <c r="L12" s="3191"/>
      <c r="M12" s="3055">
        <v>494189.8</v>
      </c>
      <c r="N12" s="3070"/>
      <c r="O12" s="3070"/>
      <c r="P12" s="3070"/>
      <c r="Q12" s="3070"/>
      <c r="R12" s="3070"/>
      <c r="S12" s="3070"/>
      <c r="T12" s="3070"/>
      <c r="U12" s="3070"/>
      <c r="V12" s="3070"/>
      <c r="W12" s="3070"/>
      <c r="X12" s="3070"/>
      <c r="Y12" s="3070"/>
      <c r="Z12" s="3070"/>
      <c r="AA12" s="3070"/>
      <c r="AB12" s="3070"/>
      <c r="AC12" s="3070"/>
      <c r="AD12" s="3070"/>
      <c r="AE12" s="3070"/>
      <c r="AF12" s="3070"/>
      <c r="AG12" s="3070"/>
      <c r="AH12" s="3070"/>
      <c r="AI12" s="3070"/>
      <c r="AJ12" s="3070"/>
      <c r="AK12" s="3070"/>
      <c r="AL12" s="3070"/>
      <c r="AM12" s="3070"/>
      <c r="AN12" s="3070"/>
      <c r="AO12" s="3070"/>
      <c r="AP12" s="3070"/>
      <c r="AQ12" s="3070"/>
      <c r="AR12" s="3070"/>
      <c r="AS12" s="3070"/>
      <c r="AT12" s="3070"/>
      <c r="AU12" s="3070"/>
      <c r="AV12" s="3070"/>
      <c r="AW12" s="3070"/>
      <c r="AX12" s="3070"/>
      <c r="AY12" s="3070"/>
      <c r="AZ12" s="3070"/>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c r="CF12" s="3070"/>
      <c r="CG12" s="3070"/>
      <c r="CH12" s="3070"/>
      <c r="CI12" s="3070"/>
      <c r="CJ12" s="3070"/>
      <c r="CK12" s="3070"/>
      <c r="CL12" s="3070"/>
      <c r="CM12" s="3070"/>
      <c r="CN12" s="3070"/>
      <c r="CO12" s="3070"/>
      <c r="CP12" s="3070"/>
      <c r="CQ12" s="3070"/>
      <c r="CR12" s="3070"/>
      <c r="CS12" s="3070"/>
      <c r="CT12" s="3070"/>
      <c r="CU12" s="3070"/>
      <c r="CV12" s="3070"/>
      <c r="CW12" s="3070"/>
      <c r="CX12" s="3070"/>
      <c r="CY12" s="3070"/>
      <c r="CZ12" s="3070"/>
      <c r="DA12" s="3070"/>
      <c r="DB12" s="3070"/>
      <c r="DC12" s="3070"/>
      <c r="DD12" s="3070"/>
      <c r="DE12" s="3070"/>
      <c r="DF12" s="3070"/>
      <c r="DG12" s="3070"/>
      <c r="DH12" s="3070"/>
      <c r="DI12" s="3070"/>
      <c r="DJ12" s="3070"/>
      <c r="DK12" s="3070"/>
      <c r="DL12" s="3070"/>
      <c r="DM12" s="3070"/>
      <c r="DN12" s="3070"/>
      <c r="DO12" s="3070"/>
      <c r="DP12" s="3070"/>
      <c r="DQ12" s="3070"/>
      <c r="DR12" s="3070"/>
      <c r="DS12" s="3070"/>
      <c r="DT12" s="3070"/>
      <c r="DU12" s="3070"/>
      <c r="DV12" s="3066">
        <f t="shared" si="0"/>
        <v>0</v>
      </c>
      <c r="DW12" s="3061"/>
      <c r="DX12" s="3071"/>
      <c r="DY12" s="3063">
        <v>18011004.780000001</v>
      </c>
    </row>
    <row r="13" spans="1:129" s="3064" customFormat="1" ht="12">
      <c r="A13" s="3194" t="s">
        <v>3107</v>
      </c>
      <c r="B13" s="3196" t="s">
        <v>3108</v>
      </c>
      <c r="C13" s="3198">
        <f>DV13*0.001</f>
        <v>10144.458596333321</v>
      </c>
      <c r="D13" s="3190" t="s">
        <v>3398</v>
      </c>
      <c r="E13" s="3190"/>
      <c r="F13" s="3190">
        <v>1906.9</v>
      </c>
      <c r="G13" s="3056"/>
      <c r="H13" s="3190">
        <f>I13/F13*12/365</f>
        <v>2.9903987896873425</v>
      </c>
      <c r="I13" s="3190">
        <v>173447.74</v>
      </c>
      <c r="J13" s="3190"/>
      <c r="K13" s="3190"/>
      <c r="L13" s="3190">
        <v>2.84</v>
      </c>
      <c r="M13" s="3058">
        <v>329459.67</v>
      </c>
      <c r="N13" s="3067">
        <v>176503.83</v>
      </c>
      <c r="O13" s="3067">
        <v>176503.83</v>
      </c>
      <c r="P13" s="3067">
        <v>176503.83</v>
      </c>
      <c r="Q13" s="3067">
        <v>176503.83</v>
      </c>
      <c r="R13" s="3067">
        <v>176503.83</v>
      </c>
      <c r="S13" s="3067">
        <v>176503.83</v>
      </c>
      <c r="T13" s="3067">
        <v>176503.83</v>
      </c>
      <c r="U13" s="3067">
        <f>T13/30*9+V13/30*22</f>
        <v>186899.65233333333</v>
      </c>
      <c r="V13" s="3067">
        <v>182657.05</v>
      </c>
      <c r="W13" s="3067">
        <v>182657.05</v>
      </c>
      <c r="X13" s="3067">
        <v>182657.05</v>
      </c>
      <c r="Y13" s="3067">
        <v>182657.05</v>
      </c>
      <c r="Z13" s="3067">
        <v>182657.05</v>
      </c>
      <c r="AA13" s="3067">
        <v>182657.05</v>
      </c>
      <c r="AB13" s="3067">
        <v>182657.05</v>
      </c>
      <c r="AC13" s="3067">
        <v>182657.05</v>
      </c>
      <c r="AD13" s="3067">
        <v>182657.05</v>
      </c>
      <c r="AE13" s="3067">
        <v>182657.05</v>
      </c>
      <c r="AF13" s="3067">
        <v>182657.05</v>
      </c>
      <c r="AG13" s="3067">
        <v>182657.05</v>
      </c>
      <c r="AH13" s="3067">
        <v>182657.05</v>
      </c>
      <c r="AI13" s="3067">
        <v>182657.05</v>
      </c>
      <c r="AJ13" s="3067">
        <v>182657.05</v>
      </c>
      <c r="AK13" s="3067">
        <v>182657.05</v>
      </c>
      <c r="AL13" s="3067">
        <v>182657.05</v>
      </c>
      <c r="AM13" s="3067">
        <v>182657.05</v>
      </c>
      <c r="AN13" s="3067">
        <v>182657.05</v>
      </c>
      <c r="AO13" s="3067">
        <v>182657.05</v>
      </c>
      <c r="AP13" s="3067">
        <v>182657.05</v>
      </c>
      <c r="AQ13" s="3067">
        <v>182657.05</v>
      </c>
      <c r="AR13" s="3067">
        <v>182657.05</v>
      </c>
      <c r="AS13" s="3067">
        <v>182657.05</v>
      </c>
      <c r="AT13" s="3067">
        <v>182657.05</v>
      </c>
      <c r="AU13" s="3067">
        <v>182657.05</v>
      </c>
      <c r="AV13" s="3067">
        <v>182657.05</v>
      </c>
      <c r="AW13" s="3067">
        <v>182657.05</v>
      </c>
      <c r="AX13" s="3067">
        <v>182657.05</v>
      </c>
      <c r="AY13" s="3067">
        <v>182657.05</v>
      </c>
      <c r="AZ13" s="3067">
        <v>182657.05</v>
      </c>
      <c r="BA13" s="3067">
        <v>182657.05</v>
      </c>
      <c r="BB13" s="3067">
        <v>182657.05</v>
      </c>
      <c r="BC13" s="3067">
        <v>182657.05</v>
      </c>
      <c r="BD13" s="3067">
        <v>182657.05</v>
      </c>
      <c r="BE13" s="3067">
        <f>BD13/30*9+BF13/30*22</f>
        <v>193393.35299999997</v>
      </c>
      <c r="BF13" s="3067">
        <v>188994.87</v>
      </c>
      <c r="BG13" s="3067">
        <v>188994.87</v>
      </c>
      <c r="BH13" s="3067">
        <v>188994.87</v>
      </c>
      <c r="BI13" s="3067">
        <v>188994.87</v>
      </c>
      <c r="BJ13" s="3067">
        <v>188994.87</v>
      </c>
      <c r="BK13" s="3067">
        <v>188994.87</v>
      </c>
      <c r="BL13" s="3067">
        <v>188994.87</v>
      </c>
      <c r="BM13" s="3067">
        <v>188994.87</v>
      </c>
      <c r="BN13" s="3067">
        <v>188994.87</v>
      </c>
      <c r="BO13" s="3067">
        <v>188994.87</v>
      </c>
      <c r="BP13" s="3067">
        <v>188994.87</v>
      </c>
      <c r="BQ13" s="3067">
        <f>BP13/30*9</f>
        <v>56698.460999999996</v>
      </c>
      <c r="BR13" s="3067"/>
      <c r="BS13" s="3067"/>
      <c r="BT13" s="3067"/>
      <c r="BU13" s="3067"/>
      <c r="BV13" s="3067"/>
      <c r="BW13" s="3067"/>
      <c r="BX13" s="3067"/>
      <c r="BY13" s="3067"/>
      <c r="BZ13" s="3067"/>
      <c r="CA13" s="3067"/>
      <c r="CB13" s="3067"/>
      <c r="CC13" s="3067"/>
      <c r="CD13" s="3067"/>
      <c r="CE13" s="3067"/>
      <c r="CF13" s="3067"/>
      <c r="CG13" s="3067"/>
      <c r="CH13" s="3067"/>
      <c r="CI13" s="3067"/>
      <c r="CJ13" s="3067"/>
      <c r="CK13" s="3067"/>
      <c r="CL13" s="3067"/>
      <c r="CM13" s="3067"/>
      <c r="CN13" s="3067"/>
      <c r="CO13" s="3067"/>
      <c r="CP13" s="3067"/>
      <c r="CQ13" s="3067"/>
      <c r="CR13" s="3067"/>
      <c r="CS13" s="3067"/>
      <c r="CT13" s="3067"/>
      <c r="CU13" s="3067"/>
      <c r="CV13" s="3067"/>
      <c r="CW13" s="3067"/>
      <c r="CX13" s="3067"/>
      <c r="CY13" s="3067"/>
      <c r="CZ13" s="3067"/>
      <c r="DA13" s="3067"/>
      <c r="DB13" s="3067"/>
      <c r="DC13" s="3067"/>
      <c r="DD13" s="3067"/>
      <c r="DE13" s="3067"/>
      <c r="DF13" s="3067"/>
      <c r="DG13" s="3067"/>
      <c r="DH13" s="3067"/>
      <c r="DI13" s="3067"/>
      <c r="DJ13" s="3067"/>
      <c r="DK13" s="3067"/>
      <c r="DL13" s="3067"/>
      <c r="DM13" s="3067"/>
      <c r="DN13" s="3067"/>
      <c r="DO13" s="3067"/>
      <c r="DP13" s="3067"/>
      <c r="DQ13" s="3067"/>
      <c r="DR13" s="3067"/>
      <c r="DS13" s="3067"/>
      <c r="DT13" s="3067"/>
      <c r="DU13" s="3067"/>
      <c r="DV13" s="3060">
        <f t="shared" si="0"/>
        <v>10144458.596333321</v>
      </c>
      <c r="DW13" s="3068"/>
      <c r="DX13" s="3062"/>
      <c r="DY13" s="3069">
        <v>30344026.915333301</v>
      </c>
    </row>
    <row r="14" spans="1:129" s="3064" customFormat="1" ht="12">
      <c r="A14" s="3195"/>
      <c r="B14" s="3197"/>
      <c r="C14" s="3199"/>
      <c r="D14" s="3191"/>
      <c r="E14" s="3191"/>
      <c r="F14" s="3191"/>
      <c r="G14" s="3065"/>
      <c r="H14" s="3191"/>
      <c r="I14" s="3191"/>
      <c r="J14" s="3191"/>
      <c r="K14" s="3191"/>
      <c r="L14" s="3191"/>
      <c r="M14" s="3055">
        <v>329459.67</v>
      </c>
      <c r="N14" s="3070"/>
      <c r="O14" s="3070"/>
      <c r="P14" s="3070"/>
      <c r="Q14" s="3070"/>
      <c r="R14" s="3070"/>
      <c r="S14" s="3070"/>
      <c r="T14" s="3070"/>
      <c r="U14" s="3070"/>
      <c r="V14" s="3070"/>
      <c r="W14" s="3070"/>
      <c r="X14" s="3070"/>
      <c r="Y14" s="3070"/>
      <c r="Z14" s="3070"/>
      <c r="AA14" s="3070"/>
      <c r="AB14" s="3070"/>
      <c r="AC14" s="3070"/>
      <c r="AD14" s="3070"/>
      <c r="AE14" s="3070"/>
      <c r="AF14" s="3070"/>
      <c r="AG14" s="3070"/>
      <c r="AH14" s="3070"/>
      <c r="AI14" s="3070"/>
      <c r="AJ14" s="3070"/>
      <c r="AK14" s="3070"/>
      <c r="AL14" s="3070"/>
      <c r="AM14" s="3070"/>
      <c r="AN14" s="3070"/>
      <c r="AO14" s="3070"/>
      <c r="AP14" s="3070"/>
      <c r="AQ14" s="3070"/>
      <c r="AR14" s="3070"/>
      <c r="AS14" s="3070"/>
      <c r="AT14" s="3070"/>
      <c r="AU14" s="3070"/>
      <c r="AV14" s="3070"/>
      <c r="AW14" s="3070"/>
      <c r="AX14" s="3070"/>
      <c r="AY14" s="3070"/>
      <c r="AZ14" s="3070"/>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c r="CF14" s="3070"/>
      <c r="CG14" s="3070"/>
      <c r="CH14" s="3070"/>
      <c r="CI14" s="3070"/>
      <c r="CJ14" s="3070"/>
      <c r="CK14" s="3070"/>
      <c r="CL14" s="3070"/>
      <c r="CM14" s="3070"/>
      <c r="CN14" s="3070"/>
      <c r="CO14" s="3070"/>
      <c r="CP14" s="3070"/>
      <c r="CQ14" s="3070"/>
      <c r="CR14" s="3070"/>
      <c r="CS14" s="3070"/>
      <c r="CT14" s="3070"/>
      <c r="CU14" s="3070"/>
      <c r="CV14" s="3070"/>
      <c r="CW14" s="3070"/>
      <c r="CX14" s="3070"/>
      <c r="CY14" s="3070"/>
      <c r="CZ14" s="3070"/>
      <c r="DA14" s="3070"/>
      <c r="DB14" s="3070"/>
      <c r="DC14" s="3070"/>
      <c r="DD14" s="3070"/>
      <c r="DE14" s="3070"/>
      <c r="DF14" s="3070"/>
      <c r="DG14" s="3070"/>
      <c r="DH14" s="3070"/>
      <c r="DI14" s="3070"/>
      <c r="DJ14" s="3070"/>
      <c r="DK14" s="3070"/>
      <c r="DL14" s="3070"/>
      <c r="DM14" s="3070"/>
      <c r="DN14" s="3070"/>
      <c r="DO14" s="3070"/>
      <c r="DP14" s="3070"/>
      <c r="DQ14" s="3070"/>
      <c r="DR14" s="3070"/>
      <c r="DS14" s="3070"/>
      <c r="DT14" s="3070"/>
      <c r="DU14" s="3070"/>
      <c r="DV14" s="3066">
        <f t="shared" si="0"/>
        <v>0</v>
      </c>
      <c r="DW14" s="3061"/>
      <c r="DX14" s="3071"/>
      <c r="DY14" s="3063">
        <v>12007329.050000001</v>
      </c>
    </row>
    <row r="16" spans="1:129">
      <c r="E16" s="3003"/>
      <c r="BA16" s="3072">
        <f>BA5/AU5</f>
        <v>1.027777778972462</v>
      </c>
    </row>
    <row r="17" spans="5:5">
      <c r="E17" s="3003"/>
    </row>
    <row r="18" spans="5:5">
      <c r="E18" s="3003"/>
    </row>
    <row r="19" spans="5:5">
      <c r="E19" s="3003"/>
    </row>
    <row r="20" spans="5:5">
      <c r="E20" s="3003"/>
    </row>
    <row r="21" spans="5:5">
      <c r="E21" s="3003"/>
    </row>
  </sheetData>
  <mergeCells count="182">
    <mergeCell ref="A7:A8"/>
    <mergeCell ref="B7:B8"/>
    <mergeCell ref="C7:C8"/>
    <mergeCell ref="D7:D8"/>
    <mergeCell ref="E7:E8"/>
    <mergeCell ref="F7:F8"/>
    <mergeCell ref="H7:H8"/>
    <mergeCell ref="I3:I4"/>
    <mergeCell ref="A5:A6"/>
    <mergeCell ref="B5:B6"/>
    <mergeCell ref="C5:C6"/>
    <mergeCell ref="D5:D6"/>
    <mergeCell ref="E5:E6"/>
    <mergeCell ref="F5:F6"/>
    <mergeCell ref="H5:H6"/>
    <mergeCell ref="I5:I6"/>
    <mergeCell ref="A3:A4"/>
    <mergeCell ref="B3:B4"/>
    <mergeCell ref="C3:C4"/>
    <mergeCell ref="D3:D4"/>
    <mergeCell ref="F3:F4"/>
    <mergeCell ref="H3:H4"/>
    <mergeCell ref="A13:A14"/>
    <mergeCell ref="B13:B14"/>
    <mergeCell ref="C13:C14"/>
    <mergeCell ref="D13:D14"/>
    <mergeCell ref="E13:E14"/>
    <mergeCell ref="F13:F14"/>
    <mergeCell ref="H13:H14"/>
    <mergeCell ref="H9:H10"/>
    <mergeCell ref="I9:I10"/>
    <mergeCell ref="A11:A12"/>
    <mergeCell ref="B11:B12"/>
    <mergeCell ref="C11:C12"/>
    <mergeCell ref="D11:D12"/>
    <mergeCell ref="E11:E12"/>
    <mergeCell ref="F11:F12"/>
    <mergeCell ref="H11:H12"/>
    <mergeCell ref="I11:I12"/>
    <mergeCell ref="A9:A10"/>
    <mergeCell ref="B9:B10"/>
    <mergeCell ref="C9:C10"/>
    <mergeCell ref="D9:D10"/>
    <mergeCell ref="F9:F10"/>
    <mergeCell ref="G9:G10"/>
    <mergeCell ref="N1:N2"/>
    <mergeCell ref="O1:O2"/>
    <mergeCell ref="M1:M2"/>
    <mergeCell ref="I13:I14"/>
    <mergeCell ref="J13:J14"/>
    <mergeCell ref="K13:K14"/>
    <mergeCell ref="L13:L14"/>
    <mergeCell ref="J11:J12"/>
    <mergeCell ref="K11:K12"/>
    <mergeCell ref="L11:L12"/>
    <mergeCell ref="I7:I8"/>
    <mergeCell ref="J7:J8"/>
    <mergeCell ref="K7:K8"/>
    <mergeCell ref="L7:L8"/>
    <mergeCell ref="J5:J6"/>
    <mergeCell ref="K5:K6"/>
    <mergeCell ref="L5:L6"/>
    <mergeCell ref="J1:J2"/>
    <mergeCell ref="K1:K2"/>
    <mergeCell ref="V1:V2"/>
    <mergeCell ref="W1:W2"/>
    <mergeCell ref="X1:X2"/>
    <mergeCell ref="Y1:Y2"/>
    <mergeCell ref="Z1:Z2"/>
    <mergeCell ref="AA1:AA2"/>
    <mergeCell ref="P1:P2"/>
    <mergeCell ref="Q1:Q2"/>
    <mergeCell ref="R1:R2"/>
    <mergeCell ref="S1:S2"/>
    <mergeCell ref="T1:T2"/>
    <mergeCell ref="U1:U2"/>
    <mergeCell ref="AH1:AH2"/>
    <mergeCell ref="AI1:AI2"/>
    <mergeCell ref="AJ1:AJ2"/>
    <mergeCell ref="AK1:AK2"/>
    <mergeCell ref="AL1:AL2"/>
    <mergeCell ref="AM1:AM2"/>
    <mergeCell ref="AB1:AB2"/>
    <mergeCell ref="AC1:AC2"/>
    <mergeCell ref="AD1:AD2"/>
    <mergeCell ref="AE1:AE2"/>
    <mergeCell ref="AF1:AF2"/>
    <mergeCell ref="AG1:AG2"/>
    <mergeCell ref="AT1:AT2"/>
    <mergeCell ref="AU1:AU2"/>
    <mergeCell ref="AV1:AV2"/>
    <mergeCell ref="AW1:AW2"/>
    <mergeCell ref="AX1:AX2"/>
    <mergeCell ref="AY1:AY2"/>
    <mergeCell ref="AN1:AN2"/>
    <mergeCell ref="AO1:AO2"/>
    <mergeCell ref="AP1:AP2"/>
    <mergeCell ref="AQ1:AQ2"/>
    <mergeCell ref="AR1:AR2"/>
    <mergeCell ref="AS1:AS2"/>
    <mergeCell ref="BF1:BF2"/>
    <mergeCell ref="BG1:BG2"/>
    <mergeCell ref="BH1:BH2"/>
    <mergeCell ref="BI1:BI2"/>
    <mergeCell ref="BJ1:BJ2"/>
    <mergeCell ref="BK1:BK2"/>
    <mergeCell ref="AZ1:AZ2"/>
    <mergeCell ref="BA1:BA2"/>
    <mergeCell ref="BB1:BB2"/>
    <mergeCell ref="BC1:BC2"/>
    <mergeCell ref="BD1:BD2"/>
    <mergeCell ref="BE1:BE2"/>
    <mergeCell ref="BR1:BR2"/>
    <mergeCell ref="BS1:BS2"/>
    <mergeCell ref="BT1:BT2"/>
    <mergeCell ref="BU1:BU2"/>
    <mergeCell ref="BV1:BV2"/>
    <mergeCell ref="BW1:BW2"/>
    <mergeCell ref="BL1:BL2"/>
    <mergeCell ref="BM1:BM2"/>
    <mergeCell ref="BN1:BN2"/>
    <mergeCell ref="BO1:BO2"/>
    <mergeCell ref="BP1:BP2"/>
    <mergeCell ref="BQ1:BQ2"/>
    <mergeCell ref="CD1:CD2"/>
    <mergeCell ref="CE1:CE2"/>
    <mergeCell ref="CF1:CF2"/>
    <mergeCell ref="CG1:CG2"/>
    <mergeCell ref="CH1:CH2"/>
    <mergeCell ref="CI1:CI2"/>
    <mergeCell ref="BX1:BX2"/>
    <mergeCell ref="BY1:BY2"/>
    <mergeCell ref="BZ1:BZ2"/>
    <mergeCell ref="CA1:CA2"/>
    <mergeCell ref="CB1:CB2"/>
    <mergeCell ref="CC1:CC2"/>
    <mergeCell ref="CP1:CP2"/>
    <mergeCell ref="CQ1:CQ2"/>
    <mergeCell ref="CR1:CR2"/>
    <mergeCell ref="CS1:CS2"/>
    <mergeCell ref="CT1:CT2"/>
    <mergeCell ref="CU1:CU2"/>
    <mergeCell ref="CJ1:CJ2"/>
    <mergeCell ref="CK1:CK2"/>
    <mergeCell ref="CL1:CL2"/>
    <mergeCell ref="CM1:CM2"/>
    <mergeCell ref="CN1:CN2"/>
    <mergeCell ref="CO1:CO2"/>
    <mergeCell ref="DD1:DD2"/>
    <mergeCell ref="DE1:DE2"/>
    <mergeCell ref="DF1:DF2"/>
    <mergeCell ref="DG1:DG2"/>
    <mergeCell ref="CV1:CV2"/>
    <mergeCell ref="CW1:CW2"/>
    <mergeCell ref="CX1:CX2"/>
    <mergeCell ref="CY1:CY2"/>
    <mergeCell ref="CZ1:CZ2"/>
    <mergeCell ref="DA1:DA2"/>
    <mergeCell ref="DT1:DT2"/>
    <mergeCell ref="DU1:DU2"/>
    <mergeCell ref="DV1:DV2"/>
    <mergeCell ref="DW1:DW2"/>
    <mergeCell ref="A1:A2"/>
    <mergeCell ref="B1:B2"/>
    <mergeCell ref="C1:C2"/>
    <mergeCell ref="D1:D2"/>
    <mergeCell ref="E1:E2"/>
    <mergeCell ref="I1:I2"/>
    <mergeCell ref="DN1:DN2"/>
    <mergeCell ref="DO1:DO2"/>
    <mergeCell ref="DP1:DP2"/>
    <mergeCell ref="DQ1:DQ2"/>
    <mergeCell ref="DR1:DR2"/>
    <mergeCell ref="DS1:DS2"/>
    <mergeCell ref="DH1:DH2"/>
    <mergeCell ref="DI1:DI2"/>
    <mergeCell ref="DJ1:DJ2"/>
    <mergeCell ref="DK1:DK2"/>
    <mergeCell ref="DL1:DL2"/>
    <mergeCell ref="DM1:DM2"/>
    <mergeCell ref="DB1:DB2"/>
    <mergeCell ref="DC1:DC2"/>
  </mergeCells>
  <phoneticPr fontId="14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0" t="s">
        <v>0</v>
      </c>
      <c r="B1" s="3200" t="s">
        <v>4</v>
      </c>
      <c r="C1" s="3200" t="s">
        <v>5</v>
      </c>
      <c r="D1" s="3201" t="s">
        <v>53</v>
      </c>
      <c r="E1" s="3201" t="s">
        <v>54</v>
      </c>
      <c r="F1" s="3201"/>
      <c r="G1" s="3201"/>
      <c r="H1" s="3201"/>
      <c r="I1" s="3201"/>
      <c r="J1" s="3201"/>
      <c r="K1" s="3201"/>
      <c r="L1" s="3201"/>
      <c r="M1" s="3201"/>
    </row>
    <row r="2" spans="1:13" ht="27" customHeight="1">
      <c r="A2" s="3200"/>
      <c r="B2" s="3200"/>
      <c r="C2" s="3200"/>
      <c r="D2" s="3201"/>
      <c r="E2" s="3201" t="s">
        <v>37</v>
      </c>
      <c r="F2" s="3201" t="s">
        <v>38</v>
      </c>
      <c r="G2" s="3201"/>
      <c r="H2" s="3201"/>
      <c r="I2" s="3201"/>
      <c r="J2" s="3201" t="s">
        <v>39</v>
      </c>
      <c r="K2" s="3201"/>
      <c r="L2" s="3201"/>
      <c r="M2" s="3201"/>
    </row>
    <row r="3" spans="1:13" ht="28.5">
      <c r="A3" s="3200"/>
      <c r="B3" s="3200"/>
      <c r="C3" s="3200"/>
      <c r="D3" s="3201"/>
      <c r="E3" s="32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1" t="s">
        <v>55</v>
      </c>
      <c r="B9" s="3201"/>
      <c r="C9" s="32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1959</v>
      </c>
      <c r="B2" s="1267">
        <f>项目基本情况!D3</f>
        <v>43581</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9" t="s">
        <v>1964</v>
      </c>
      <c r="AA4" s="2239"/>
      <c r="AB4" s="2239"/>
      <c r="AC4" s="2239"/>
      <c r="AD4" s="2239"/>
      <c r="AE4" s="2237" t="s">
        <v>1965</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1966</v>
      </c>
      <c r="B5" s="2284" t="s">
        <v>1967</v>
      </c>
      <c r="C5" s="2285" t="s">
        <v>1968</v>
      </c>
      <c r="D5" s="2286" t="s">
        <v>1969</v>
      </c>
      <c r="E5" s="1269" t="s">
        <v>1970</v>
      </c>
      <c r="F5" s="2287" t="s">
        <v>1971</v>
      </c>
      <c r="G5" s="1269" t="s">
        <v>1972</v>
      </c>
      <c r="H5" s="1269" t="s">
        <v>1973</v>
      </c>
      <c r="I5" s="1269" t="s">
        <v>1974</v>
      </c>
      <c r="J5" s="2288" t="s">
        <v>1975</v>
      </c>
      <c r="K5" s="2289" t="s">
        <v>1976</v>
      </c>
      <c r="L5" s="2290" t="s">
        <v>1977</v>
      </c>
      <c r="M5" s="2291" t="s">
        <v>1978</v>
      </c>
      <c r="N5" s="2292" t="s">
        <v>3080</v>
      </c>
      <c r="O5" s="2290" t="s">
        <v>1979</v>
      </c>
      <c r="P5" s="2293" t="s">
        <v>1980</v>
      </c>
      <c r="Q5" s="69" t="s">
        <v>1981</v>
      </c>
      <c r="R5" s="2294" t="s">
        <v>1982</v>
      </c>
      <c r="S5" s="2295" t="s">
        <v>1983</v>
      </c>
      <c r="T5" s="2296" t="s">
        <v>1984</v>
      </c>
      <c r="U5" s="1268" t="s">
        <v>1985</v>
      </c>
      <c r="V5" s="1269" t="s">
        <v>1986</v>
      </c>
      <c r="W5" s="1269" t="s">
        <v>1987</v>
      </c>
      <c r="X5" s="71"/>
      <c r="Y5" s="70" t="s">
        <v>1988</v>
      </c>
      <c r="Z5" s="2297" t="s">
        <v>1985</v>
      </c>
      <c r="AA5" s="1269" t="s">
        <v>1986</v>
      </c>
      <c r="AB5" s="1269" t="s">
        <v>1987</v>
      </c>
      <c r="AC5" s="71"/>
      <c r="AD5" s="71" t="s">
        <v>1988</v>
      </c>
      <c r="AE5" s="1268" t="s">
        <v>1989</v>
      </c>
      <c r="AF5" s="1269" t="s">
        <v>1990</v>
      </c>
      <c r="AG5" s="70" t="s">
        <v>1991</v>
      </c>
      <c r="AH5" s="1268" t="s">
        <v>1992</v>
      </c>
      <c r="AI5" s="2297" t="s">
        <v>1993</v>
      </c>
      <c r="AJ5" s="2297" t="s">
        <v>1994</v>
      </c>
      <c r="AK5" s="1269" t="s">
        <v>1995</v>
      </c>
      <c r="AL5" s="1269" t="s">
        <v>1996</v>
      </c>
      <c r="AM5" s="70" t="s">
        <v>1997</v>
      </c>
      <c r="AN5" s="2298" t="s">
        <v>1998</v>
      </c>
      <c r="AO5" s="2069" t="s">
        <v>1999</v>
      </c>
      <c r="AP5" s="1250" t="s">
        <v>2000</v>
      </c>
      <c r="AQ5" s="2299" t="s">
        <v>2001</v>
      </c>
      <c r="AR5" s="2299" t="s">
        <v>2002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0" t="str">
        <f>'数据-汇总表'!C19</f>
        <v>商业</v>
      </c>
      <c r="B6" s="2301" t="str">
        <f>IF(A6=0,"","经营性")</f>
        <v>经营性</v>
      </c>
      <c r="C6" s="2302" t="s">
        <v>1371</v>
      </c>
      <c r="D6" s="1052">
        <f>SUMIF(项目基本情况!D$12:I$12,C6,项目基本情况!D$14:I$14)</f>
        <v>40</v>
      </c>
      <c r="E6" s="1049">
        <f>IF(B6="","",SUMIF(项目基本情况!D$12:I$12,C6,项目基本情况!D$13:I$13))</f>
        <v>51980</v>
      </c>
      <c r="F6" s="72">
        <f>SUMIF(项目基本情况!D$12:I$12,C6,项目基本情况!D$15:I$15)</f>
        <v>23.01</v>
      </c>
      <c r="G6" s="73">
        <f>IF(ISERROR(ROUND(POWER(1+H6,D6-F6)*(POWER(1+H6,F6)-1)/(POWER(1+H6,D6)-1),3)),0,ROUND(POWER(1+H6,D6-F6)*(POWER(1+H6,F6)-1)/(POWER(1+H6,D6)-1),3))</f>
        <v>0.83199999999999996</v>
      </c>
      <c r="H6" s="802">
        <v>6.5000000000000002E-2</v>
      </c>
      <c r="I6" s="802">
        <v>7.0000000000000007E-2</v>
      </c>
      <c r="J6" s="74">
        <v>8.5000000000000006E-2</v>
      </c>
      <c r="K6" s="1252">
        <f>SUMIF('数据-汇总表'!C$19:C$33,A6,'数据-汇总表'!E$19:E$33)</f>
        <v>10941.939999999999</v>
      </c>
      <c r="L6" s="803">
        <v>4000</v>
      </c>
      <c r="M6" s="75">
        <f t="shared" ref="M6:M14" si="0">ROUND(K6*L6/10000,0)</f>
        <v>4377</v>
      </c>
      <c r="N6" s="801">
        <v>0.82</v>
      </c>
      <c r="O6" s="75" t="str">
        <f>IF($N$5="成新度","——",ROUND(M6*N6,0))</f>
        <v>——</v>
      </c>
      <c r="P6" s="76" t="str">
        <f>IF($N$5="成新度","——",M6-O6)</f>
        <v>——</v>
      </c>
      <c r="Q6" s="804">
        <v>0.2</v>
      </c>
      <c r="R6" s="77">
        <f ca="1">SUMIF('数据-汇总表'!C$19:C$33,A6,'数据-汇总表'!R$19:R$27)</f>
        <v>1234.48</v>
      </c>
      <c r="S6" s="54">
        <f>IF('数据-汇总表'!$I$17="按面积比例",SUMIF('数据-汇总表'!C$19:C$33,A6,'数据-汇总表'!K$19:K$33),SUMIF('数据-汇总表'!C$19:C$33,A6,'数据-汇总表'!N$19:N$33))</f>
        <v>0</v>
      </c>
      <c r="T6" s="1443">
        <f>ROUND($L$14*S6/10000,0)</f>
        <v>0</v>
      </c>
      <c r="U6" s="3081">
        <f>租金!I52</f>
        <v>7.92</v>
      </c>
      <c r="V6" s="3073">
        <v>0</v>
      </c>
      <c r="W6" s="79">
        <v>0</v>
      </c>
      <c r="X6" s="1262"/>
      <c r="Y6" s="80">
        <f>N6</f>
        <v>0.82</v>
      </c>
      <c r="Z6" s="81">
        <f>ROUND(租金!E14*(1+'收益法-商业'!F70)^'数据-取费表'!AF6,2)</f>
        <v>9.2100000000000009</v>
      </c>
      <c r="AA6" s="74">
        <v>0.03</v>
      </c>
      <c r="AB6" s="74">
        <f>W7</f>
        <v>0.15</v>
      </c>
      <c r="AC6" s="1262"/>
      <c r="AD6" s="82">
        <v>0.73</v>
      </c>
      <c r="AE6" s="1263">
        <f ca="1">IF(AN6="",0,SUMIF(INDIRECT("'"&amp;AN6&amp;"'"&amp;"!E:E"),$AE$5,INDIRECT("'"&amp;AN6&amp;"'"&amp;"!F:F")))</f>
        <v>23.01</v>
      </c>
      <c r="AF6" s="1802">
        <f>租金!H16</f>
        <v>5.26</v>
      </c>
      <c r="AG6" s="147">
        <f ca="1">IF(AF6="",0,AE6-AF6)</f>
        <v>17.75</v>
      </c>
      <c r="AH6" s="83"/>
      <c r="AI6" s="85">
        <v>365</v>
      </c>
      <c r="AJ6" s="86"/>
      <c r="AK6" s="87">
        <v>1.4999999999999999E-2</v>
      </c>
      <c r="AL6" s="88">
        <v>1.5E-3</v>
      </c>
      <c r="AM6" s="89">
        <v>0.02</v>
      </c>
      <c r="AN6" s="2303" t="s">
        <v>3154</v>
      </c>
      <c r="AO6" s="55">
        <f ca="1">SUMIF(INDIRECT("'"&amp;AN6&amp;"'"&amp;"!A:A"),"总价",INDIRECT("'"&amp;AN6&amp;"'"&amp;"!B:B"))</f>
        <v>31174</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办公</v>
      </c>
      <c r="B7" s="2301" t="str">
        <f t="shared" ref="B7:B13" si="1">IF(A7=0,"","经营性")</f>
        <v>经营性</v>
      </c>
      <c r="C7" s="2302" t="s">
        <v>27</v>
      </c>
      <c r="D7" s="1052">
        <f>SUMIF(项目基本情况!D$12:I$12,C7,项目基本情况!D$14:I$14)</f>
        <v>50</v>
      </c>
      <c r="E7" s="1049">
        <f>IF(B7="","",SUMIF(项目基本情况!D$12:I$12,C7,项目基本情况!D$13:I$13))</f>
        <v>55633</v>
      </c>
      <c r="F7" s="72">
        <f>SUMIF(项目基本情况!D$12:I$12,C7,项目基本情况!D$15:I$15)</f>
        <v>33.01</v>
      </c>
      <c r="G7" s="73">
        <f t="shared" ref="G7:G11" si="2">IF(ISERROR(ROUND(POWER(1+H7,D7-F7)*(POWER(1+H7,F7)-1)/(POWER(1+H7,D7)-1),3)),0,ROUND(POWER(1+H7,D7-F7)*(POWER(1+H7,F7)-1)/(POWER(1+H7,D7)-1),3))</f>
        <v>0.89</v>
      </c>
      <c r="H7" s="802">
        <v>5.5E-2</v>
      </c>
      <c r="I7" s="802">
        <v>7.0000000000000007E-2</v>
      </c>
      <c r="J7" s="74">
        <f>J6</f>
        <v>8.5000000000000006E-2</v>
      </c>
      <c r="K7" s="1252">
        <f>SUMIF('数据-汇总表'!C$19:C$33,A7,'数据-汇总表'!E$19:E$33)</f>
        <v>3358.16</v>
      </c>
      <c r="L7" s="803">
        <f>L6</f>
        <v>4000</v>
      </c>
      <c r="M7" s="75">
        <f t="shared" si="0"/>
        <v>1343</v>
      </c>
      <c r="N7" s="801">
        <f>N6</f>
        <v>0.82</v>
      </c>
      <c r="O7" s="75" t="str">
        <f t="shared" ref="O7:O14" si="3">IF($N$5="成新度","——",ROUND(M7*N7,0))</f>
        <v>——</v>
      </c>
      <c r="P7" s="76" t="str">
        <f t="shared" ref="P7:P14" si="4">IF($N$5="成新度","——",M7-O7)</f>
        <v>——</v>
      </c>
      <c r="Q7" s="804">
        <v>0.2</v>
      </c>
      <c r="R7" s="77">
        <f ca="1">SUMIF('数据-汇总表'!C$19:C$33,A7,'数据-汇总表'!R$19:R$27)</f>
        <v>378.87</v>
      </c>
      <c r="S7" s="54">
        <f>IF('数据-汇总表'!$I$17="按面积比例",SUMIF('数据-汇总表'!C$19:C$33,A7,'数据-汇总表'!K$19:K$33),SUMIF('数据-汇总表'!C$19:C$33,A7,'数据-汇总表'!N$19:N$33))</f>
        <v>0</v>
      </c>
      <c r="T7" s="1443">
        <f t="shared" ref="T7:T13" si="5">ROUND($L$14*S7/10000,0)</f>
        <v>0</v>
      </c>
      <c r="U7" s="78">
        <v>8</v>
      </c>
      <c r="V7" s="79">
        <v>0.03</v>
      </c>
      <c r="W7" s="79">
        <v>0.15</v>
      </c>
      <c r="X7" s="1262"/>
      <c r="Y7" s="80">
        <f>Y6</f>
        <v>0.82</v>
      </c>
      <c r="Z7" s="81"/>
      <c r="AA7" s="74"/>
      <c r="AB7" s="74"/>
      <c r="AC7" s="1262"/>
      <c r="AD7" s="82"/>
      <c r="AE7" s="1263">
        <f t="shared" ref="AE7:AE13" ca="1" si="6">IF(AN7="",0,SUMIF(INDIRECT("'"&amp;AN7&amp;"'"&amp;"!E:E"),$AE$5,INDIRECT("'"&amp;AN7&amp;"'"&amp;"!F:F")))</f>
        <v>33.01</v>
      </c>
      <c r="AF7" s="1802"/>
      <c r="AG7" s="147">
        <f t="shared" ref="AG7:AG13" si="7">IF(AF7="",0,AE7-AF7)</f>
        <v>0</v>
      </c>
      <c r="AH7" s="83"/>
      <c r="AI7" s="85">
        <v>365</v>
      </c>
      <c r="AJ7" s="86"/>
      <c r="AK7" s="87">
        <v>1.4999999999999999E-2</v>
      </c>
      <c r="AL7" s="88">
        <v>1.5E-3</v>
      </c>
      <c r="AM7" s="89">
        <v>0.02</v>
      </c>
      <c r="AN7" s="2303" t="s">
        <v>3155</v>
      </c>
      <c r="AO7" s="55">
        <f t="shared" ref="AO7:AO13" ca="1" si="8">SUMIF(INDIRECT("'"&amp;AN7&amp;"'"&amp;"!A:A"),"总价",INDIRECT("'"&amp;AN7&amp;"'"&amp;"!B:B"))</f>
        <v>11379</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酒店</v>
      </c>
      <c r="B8" s="2301" t="str">
        <f t="shared" si="1"/>
        <v>经营性</v>
      </c>
      <c r="C8" s="2302" t="s">
        <v>1371</v>
      </c>
      <c r="D8" s="1052">
        <f>SUMIF(项目基本情况!D$12:I$12,C8,项目基本情况!D$14:I$14)</f>
        <v>40</v>
      </c>
      <c r="E8" s="1049">
        <f>IF(B8="","",SUMIF(项目基本情况!D$12:I$12,C8,项目基本情况!D$13:I$13))</f>
        <v>51980</v>
      </c>
      <c r="F8" s="72">
        <f>SUMIF(项目基本情况!D$12:I$12,C8,项目基本情况!D$15:I$15)</f>
        <v>23.01</v>
      </c>
      <c r="G8" s="73">
        <f t="shared" si="2"/>
        <v>0.80300000000000005</v>
      </c>
      <c r="H8" s="802">
        <v>5.5E-2</v>
      </c>
      <c r="I8" s="802">
        <v>7.0000000000000007E-2</v>
      </c>
      <c r="J8" s="74">
        <f t="shared" ref="J8:J10" si="12">J7</f>
        <v>8.5000000000000006E-2</v>
      </c>
      <c r="K8" s="1252">
        <f>SUMIF('数据-汇总表'!C$19:C$33,A8,'数据-汇总表'!E$19:E$33)</f>
        <v>61608.09</v>
      </c>
      <c r="L8" s="803">
        <v>10000</v>
      </c>
      <c r="M8" s="75">
        <f>ROUND(K8*L8/10000,0)</f>
        <v>61608</v>
      </c>
      <c r="N8" s="801">
        <f t="shared" ref="N8:N10" si="13">N7</f>
        <v>0.82</v>
      </c>
      <c r="O8" s="75" t="str">
        <f t="shared" si="3"/>
        <v>——</v>
      </c>
      <c r="P8" s="76" t="str">
        <f t="shared" si="4"/>
        <v>——</v>
      </c>
      <c r="Q8" s="804">
        <v>0.25</v>
      </c>
      <c r="R8" s="77">
        <f ca="1">SUMIF('数据-汇总表'!C$19:C$33,A8,'数据-汇总表'!R$19:R$27)</f>
        <v>6950.68</v>
      </c>
      <c r="S8" s="54">
        <f>IF('数据-汇总表'!$I$17="按面积比例",SUMIF('数据-汇总表'!C$19:C$33,A8,'数据-汇总表'!K$19:K$33),SUMIF('数据-汇总表'!C$19:C$33,A8,'数据-汇总表'!N$19:N$33))</f>
        <v>0</v>
      </c>
      <c r="T8" s="1443">
        <f t="shared" si="5"/>
        <v>0</v>
      </c>
      <c r="U8" s="805">
        <f>酒店收入计算!E26/K8*10000</f>
        <v>3386.081276014238</v>
      </c>
      <c r="V8" s="806">
        <v>0.03</v>
      </c>
      <c r="W8" s="806">
        <v>0</v>
      </c>
      <c r="X8" s="1262"/>
      <c r="Y8" s="807">
        <f>Y6</f>
        <v>0.82</v>
      </c>
      <c r="Z8" s="81"/>
      <c r="AA8" s="74"/>
      <c r="AB8" s="74"/>
      <c r="AC8" s="1262"/>
      <c r="AD8" s="82"/>
      <c r="AE8" s="1263">
        <f t="shared" ca="1" si="6"/>
        <v>23.01</v>
      </c>
      <c r="AF8" s="1802"/>
      <c r="AG8" s="147">
        <f t="shared" si="7"/>
        <v>0</v>
      </c>
      <c r="AH8" s="808"/>
      <c r="AI8" s="85">
        <v>1</v>
      </c>
      <c r="AJ8" s="86"/>
      <c r="AK8" s="809">
        <v>1.4999999999999999E-2</v>
      </c>
      <c r="AL8" s="88">
        <v>1.5E-3</v>
      </c>
      <c r="AM8" s="89">
        <v>0.05</v>
      </c>
      <c r="AN8" s="2303" t="s">
        <v>3156</v>
      </c>
      <c r="AO8" s="55">
        <f t="shared" ca="1" si="8"/>
        <v>236644</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车库</v>
      </c>
      <c r="B9" s="2301" t="str">
        <f t="shared" si="1"/>
        <v>经营性</v>
      </c>
      <c r="C9" s="2302" t="s">
        <v>3069</v>
      </c>
      <c r="D9" s="1052">
        <f>SUMIF(项目基本情况!D$12:I$12,C9,项目基本情况!D$14:I$14)</f>
        <v>50</v>
      </c>
      <c r="E9" s="1049">
        <f>IF(B9="","",SUMIF(项目基本情况!D$12:I$12,C9,项目基本情况!D$13:I$13))</f>
        <v>55633</v>
      </c>
      <c r="F9" s="72">
        <f>SUMIF(项目基本情况!D$12:I$12,C9,项目基本情况!D$15:I$15)</f>
        <v>33.01</v>
      </c>
      <c r="G9" s="73">
        <f t="shared" si="2"/>
        <v>0.877</v>
      </c>
      <c r="H9" s="74">
        <v>0.05</v>
      </c>
      <c r="I9" s="74">
        <v>7.0000000000000007E-2</v>
      </c>
      <c r="J9" s="74">
        <f t="shared" si="12"/>
        <v>8.5000000000000006E-2</v>
      </c>
      <c r="K9" s="1252">
        <f>SUMIF('数据-汇总表'!C$19:C$33,A9,'数据-汇总表'!E$19:E$33)</f>
        <v>15987.419999999998</v>
      </c>
      <c r="L9" s="803">
        <v>3000</v>
      </c>
      <c r="M9" s="75">
        <f t="shared" si="0"/>
        <v>4796</v>
      </c>
      <c r="N9" s="801">
        <f t="shared" si="13"/>
        <v>0.82</v>
      </c>
      <c r="O9" s="75" t="str">
        <f t="shared" si="3"/>
        <v>——</v>
      </c>
      <c r="P9" s="76" t="str">
        <f t="shared" si="4"/>
        <v>——</v>
      </c>
      <c r="Q9" s="90">
        <v>0.05</v>
      </c>
      <c r="R9" s="77">
        <f ca="1">SUMIF('数据-汇总表'!C$19:C$33,A9,'数据-汇总表'!R$19:R$27)</f>
        <v>1803.72</v>
      </c>
      <c r="S9" s="54">
        <f>IF('数据-汇总表'!$I$17="按面积比例",SUMIF('数据-汇总表'!C$19:C$33,A9,'数据-汇总表'!K$19:K$33),SUMIF('数据-汇总表'!C$19:C$33,A9,'数据-汇总表'!N$19:N$33))</f>
        <v>0</v>
      </c>
      <c r="T9" s="1443">
        <f t="shared" si="5"/>
        <v>0</v>
      </c>
      <c r="U9" s="78">
        <v>1.5</v>
      </c>
      <c r="V9" s="79">
        <v>0.03</v>
      </c>
      <c r="W9" s="79">
        <f>W7</f>
        <v>0.15</v>
      </c>
      <c r="X9" s="1262"/>
      <c r="Y9" s="80">
        <f>Y6</f>
        <v>0.82</v>
      </c>
      <c r="Z9" s="81"/>
      <c r="AA9" s="74"/>
      <c r="AB9" s="74"/>
      <c r="AC9" s="1262"/>
      <c r="AD9" s="82"/>
      <c r="AE9" s="1263">
        <f t="shared" ca="1" si="6"/>
        <v>33.01</v>
      </c>
      <c r="AF9" s="1802"/>
      <c r="AG9" s="147">
        <f t="shared" si="7"/>
        <v>0</v>
      </c>
      <c r="AH9" s="83"/>
      <c r="AI9" s="85">
        <v>365</v>
      </c>
      <c r="AJ9" s="86"/>
      <c r="AK9" s="87">
        <v>1.4999999999999999E-2</v>
      </c>
      <c r="AL9" s="88">
        <v>1.5E-3</v>
      </c>
      <c r="AM9" s="89">
        <v>0.01</v>
      </c>
      <c r="AN9" s="2303" t="s">
        <v>3158</v>
      </c>
      <c r="AO9" s="55">
        <f t="shared" ca="1" si="8"/>
        <v>8785</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t="str">
        <f>'数据-汇总表'!C23</f>
        <v>库房</v>
      </c>
      <c r="B10" s="2301" t="str">
        <f t="shared" si="1"/>
        <v>经营性</v>
      </c>
      <c r="C10" s="2302" t="s">
        <v>3072</v>
      </c>
      <c r="D10" s="1052">
        <f>SUMIF(项目基本情况!D$12:I$12,C10,项目基本情况!D$14:I$14)</f>
        <v>50</v>
      </c>
      <c r="E10" s="1049">
        <f>IF(B10="","",SUMIF(项目基本情况!D$12:I$12,C10,项目基本情况!D$13:I$13))</f>
        <v>55633</v>
      </c>
      <c r="F10" s="72">
        <f>SUMIF(项目基本情况!D$12:I$12,C10,项目基本情况!D$15:I$15)</f>
        <v>33.01</v>
      </c>
      <c r="G10" s="73">
        <f t="shared" si="2"/>
        <v>0.877</v>
      </c>
      <c r="H10" s="74">
        <v>0.05</v>
      </c>
      <c r="I10" s="74">
        <v>7.0000000000000007E-2</v>
      </c>
      <c r="J10" s="74">
        <f t="shared" si="12"/>
        <v>8.5000000000000006E-2</v>
      </c>
      <c r="K10" s="1252">
        <f>SUMIF('数据-汇总表'!C$19:C$33,A10,'数据-汇总表'!E$19:E$33)</f>
        <v>6914.72</v>
      </c>
      <c r="L10" s="803">
        <v>3000</v>
      </c>
      <c r="M10" s="75">
        <f t="shared" si="0"/>
        <v>2074</v>
      </c>
      <c r="N10" s="801">
        <f t="shared" si="13"/>
        <v>0.82</v>
      </c>
      <c r="O10" s="75" t="str">
        <f t="shared" si="3"/>
        <v>——</v>
      </c>
      <c r="P10" s="76" t="str">
        <f t="shared" si="4"/>
        <v>——</v>
      </c>
      <c r="Q10" s="90">
        <v>0.05</v>
      </c>
      <c r="R10" s="77">
        <f ca="1">SUMIF('数据-汇总表'!C$19:C$33,A10,'数据-汇总表'!R$19:R$27)</f>
        <v>780.12</v>
      </c>
      <c r="S10" s="54">
        <f>IF('数据-汇总表'!$I$17="按面积比例",SUMIF('数据-汇总表'!C$19:C$33,A10,'数据-汇总表'!K$19:K$33),SUMIF('数据-汇总表'!C$19:C$33,A10,'数据-汇总表'!N$19:N$33))</f>
        <v>0</v>
      </c>
      <c r="T10" s="1443">
        <f t="shared" si="5"/>
        <v>0</v>
      </c>
      <c r="U10" s="78">
        <v>2</v>
      </c>
      <c r="V10" s="79">
        <v>0.03</v>
      </c>
      <c r="W10" s="79">
        <f>W7</f>
        <v>0.15</v>
      </c>
      <c r="X10" s="1262"/>
      <c r="Y10" s="80">
        <f>Y6</f>
        <v>0.82</v>
      </c>
      <c r="Z10" s="81"/>
      <c r="AA10" s="74"/>
      <c r="AB10" s="74"/>
      <c r="AC10" s="1262"/>
      <c r="AD10" s="82"/>
      <c r="AE10" s="1263">
        <f t="shared" ca="1" si="6"/>
        <v>33.01</v>
      </c>
      <c r="AF10" s="1802"/>
      <c r="AG10" s="147">
        <f t="shared" si="7"/>
        <v>0</v>
      </c>
      <c r="AH10" s="83"/>
      <c r="AI10" s="85">
        <v>365</v>
      </c>
      <c r="AJ10" s="86"/>
      <c r="AK10" s="87">
        <v>1.4999999999999999E-2</v>
      </c>
      <c r="AL10" s="88">
        <v>1.5E-3</v>
      </c>
      <c r="AM10" s="89">
        <v>0.01</v>
      </c>
      <c r="AN10" s="2303" t="s">
        <v>3159</v>
      </c>
      <c r="AO10" s="55">
        <f t="shared" ca="1" si="8"/>
        <v>5368</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2003</v>
      </c>
      <c r="B14" s="2301" t="s">
        <v>2004</v>
      </c>
      <c r="C14" s="2306" t="s">
        <v>2003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3"/>
      <c r="U14" s="723"/>
      <c r="V14" s="1257"/>
      <c r="W14" s="1257"/>
      <c r="X14" s="1258"/>
      <c r="Y14" s="1259"/>
      <c r="Z14" s="1260"/>
      <c r="AA14" s="1261"/>
      <c r="AB14" s="1261"/>
      <c r="AC14" s="1262"/>
      <c r="AD14" s="1258"/>
      <c r="AE14" s="1263"/>
      <c r="AF14" s="55"/>
      <c r="AG14" s="147"/>
      <c r="AH14" s="1263"/>
      <c r="AI14" s="1813"/>
      <c r="AJ14" s="773"/>
      <c r="AK14" s="1264"/>
      <c r="AL14" s="1265"/>
      <c r="AM14" s="1266"/>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2005</v>
      </c>
      <c r="B15" s="2301" t="s">
        <v>2004</v>
      </c>
      <c r="C15" s="2306" t="s">
        <v>2006</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3"/>
      <c r="V15" s="1257"/>
      <c r="W15" s="1257"/>
      <c r="X15" s="1258"/>
      <c r="Y15" s="1259"/>
      <c r="Z15" s="1260"/>
      <c r="AA15" s="1261"/>
      <c r="AB15" s="1261"/>
      <c r="AC15" s="1262"/>
      <c r="AD15" s="1258"/>
      <c r="AE15" s="1263"/>
      <c r="AF15" s="55"/>
      <c r="AG15" s="147"/>
      <c r="AH15" s="1263"/>
      <c r="AI15" s="1813"/>
      <c r="AJ15" s="773"/>
      <c r="AK15" s="1264"/>
      <c r="AL15" s="1265"/>
      <c r="AM15" s="1266"/>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2007</v>
      </c>
      <c r="B16" s="97"/>
      <c r="C16" s="1006"/>
      <c r="D16" s="2308"/>
      <c r="E16" s="97"/>
      <c r="F16" s="97"/>
      <c r="G16" s="98">
        <f>ROUND(SUMPRODUCT(G6:G13,K6:K13)/SUMPRODUCT((G6:G13&gt;0)*(K6:K13)),3)</f>
        <v>0.82599999999999996</v>
      </c>
      <c r="H16" s="99">
        <f>ROUND(SUMPRODUCT(H6:H13,K6:K13)/SUMPRODUCT((H6:H13&gt;0)*(K6:K13)),3)</f>
        <v>5.5E-2</v>
      </c>
      <c r="I16" s="100"/>
      <c r="J16" s="100"/>
      <c r="K16" s="101">
        <f>SUM(K6:K15)</f>
        <v>98810.33</v>
      </c>
      <c r="L16" s="102">
        <f>ROUND(M16*10000/SUM(K6:K14),0)</f>
        <v>7509</v>
      </c>
      <c r="M16" s="102">
        <f>SUM(M6:M14)</f>
        <v>74198</v>
      </c>
      <c r="N16" s="103">
        <f>ROUND(SUMPRODUCT(M6:M14,N6:N14)/M16,3)</f>
        <v>0.82</v>
      </c>
      <c r="O16" s="102">
        <f>SUM(O6:O14)</f>
        <v>0</v>
      </c>
      <c r="P16" s="102">
        <f>SUM(P6:P14)</f>
        <v>0</v>
      </c>
      <c r="Q16" s="104">
        <f>ROUND(SUMPRODUCT(Q6:Q13,K6:K13)/SUMPRODUCT((Q6:Q13&gt;0)*(K6:K13)),2)</f>
        <v>0.2</v>
      </c>
      <c r="R16" s="1256">
        <f ca="1">SUM(R6:R13)</f>
        <v>11147.87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2009</v>
      </c>
      <c r="B19" s="112">
        <v>0</v>
      </c>
      <c r="C19" s="2271" t="s">
        <v>2010</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2011</v>
      </c>
      <c r="B20" s="113">
        <v>3</v>
      </c>
      <c r="C20" s="2271" t="s">
        <v>2012</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2013</v>
      </c>
      <c r="B21" s="113">
        <f>B20</f>
        <v>3</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2014</v>
      </c>
      <c r="B22" s="114">
        <f>B19+B20</f>
        <v>3</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2015</v>
      </c>
      <c r="B23" s="114">
        <f>B19+B21</f>
        <v>3</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2016</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2017</v>
      </c>
      <c r="B26" s="2314" t="s">
        <v>2018</v>
      </c>
      <c r="C26" s="2315" t="s">
        <v>2019</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2020</v>
      </c>
      <c r="B27" s="116">
        <v>160</v>
      </c>
      <c r="C27" s="1763" t="s">
        <v>2021</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2022</v>
      </c>
      <c r="B28" s="119">
        <v>200</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2023</v>
      </c>
      <c r="B29" s="121">
        <f ca="1">成本法!C10</f>
        <v>1976</v>
      </c>
      <c r="C29" s="1763" t="s">
        <v>2024</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2025</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2026</v>
      </c>
      <c r="B31" s="120">
        <f>B30-B32</f>
        <v>200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2027</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2028</v>
      </c>
      <c r="B33" s="726">
        <v>0.05</v>
      </c>
      <c r="C33" s="1762" t="s">
        <v>2029</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2030</v>
      </c>
      <c r="B34" s="122">
        <v>0</v>
      </c>
      <c r="C34" s="1762" t="s">
        <v>2031</v>
      </c>
      <c r="D34" s="2272" t="s">
        <v>2032</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2033</v>
      </c>
      <c r="B35" s="119">
        <v>200</v>
      </c>
      <c r="C35" s="1762" t="s">
        <v>2034</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2035</v>
      </c>
      <c r="B36" s="123">
        <v>1.4999999999999999E-2</v>
      </c>
      <c r="C36" s="1762" t="s">
        <v>2036</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2037</v>
      </c>
      <c r="B37" s="124">
        <v>0.03</v>
      </c>
      <c r="C37" s="1762" t="s">
        <v>2038</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2039</v>
      </c>
      <c r="B38" s="122">
        <v>0.03</v>
      </c>
      <c r="C38" s="1762" t="s">
        <v>2038</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2040</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2041</v>
      </c>
      <c r="B40" s="1301">
        <f ca="1">存贷款利率!G1</f>
        <v>4.7500000000000001E-2</v>
      </c>
      <c r="C40" s="1762" t="s">
        <v>2042</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2043</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2044</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2045</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2046</v>
      </c>
      <c r="B44" s="128">
        <v>7.0000000000000007E-2</v>
      </c>
      <c r="C44" s="1762" t="s">
        <v>2047</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2048</v>
      </c>
      <c r="B45" s="126">
        <v>0.03</v>
      </c>
      <c r="C45" s="1763" t="s">
        <v>2049</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2050</v>
      </c>
      <c r="B46" s="126">
        <v>0.02</v>
      </c>
      <c r="C46" s="1763" t="s">
        <v>2051</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2052</v>
      </c>
      <c r="B47" s="129"/>
      <c r="C47" s="1763" t="s">
        <v>2053</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2054</v>
      </c>
      <c r="B48" s="130">
        <v>0.03</v>
      </c>
      <c r="C48" s="1769" t="s">
        <v>2055</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2056</v>
      </c>
      <c r="B49" s="126">
        <v>5.0000000000000001E-4</v>
      </c>
      <c r="C49" s="1769" t="s">
        <v>2057</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2058</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2059</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2060</v>
      </c>
      <c r="B52" s="133">
        <f>SUMIF(A54:A63,B53,B54:B63)</f>
        <v>30</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2061</v>
      </c>
      <c r="B53" s="2330" t="s">
        <v>212</v>
      </c>
      <c r="C53" s="1427" t="s">
        <v>2062</v>
      </c>
      <c r="D53" s="2331" t="s">
        <v>2063</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2064</v>
      </c>
      <c r="B54" s="84">
        <v>30</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2065</v>
      </c>
      <c r="B55" s="84">
        <v>24</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2066</v>
      </c>
      <c r="B56" s="84">
        <v>18</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2067</v>
      </c>
      <c r="B57" s="84">
        <v>12</v>
      </c>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2068</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2069</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2070</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2071</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2072</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2073</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8"/>
      <c r="L64" s="798"/>
    </row>
    <row r="65" spans="1:12" s="965" customFormat="1">
      <c r="A65" s="2335"/>
      <c r="D65" s="2336"/>
      <c r="K65" s="798"/>
      <c r="L65" s="798"/>
    </row>
    <row r="66" spans="1:12" s="965" customFormat="1">
      <c r="A66" s="2335"/>
      <c r="D66" s="2336"/>
      <c r="K66" s="798"/>
      <c r="L66" s="798"/>
    </row>
    <row r="67" spans="1:12" s="965" customFormat="1">
      <c r="A67" s="2335"/>
      <c r="D67" s="2336"/>
      <c r="K67" s="798"/>
      <c r="L67" s="798"/>
    </row>
    <row r="68" spans="1:12" s="965" customFormat="1">
      <c r="A68" s="2335"/>
      <c r="D68" s="2336"/>
      <c r="K68" s="798"/>
      <c r="L68" s="798"/>
    </row>
    <row r="69" spans="1:12" s="965" customFormat="1">
      <c r="A69" s="2335"/>
      <c r="D69" s="2336"/>
      <c r="K69" s="798"/>
      <c r="L69" s="798"/>
    </row>
    <row r="70" spans="1:12" s="965" customFormat="1">
      <c r="A70" s="2335"/>
      <c r="D70" s="2336"/>
      <c r="K70" s="798"/>
      <c r="L70" s="798"/>
    </row>
    <row r="71" spans="1:12" s="965" customFormat="1">
      <c r="A71" s="2335"/>
      <c r="D71" s="2336"/>
      <c r="K71" s="798"/>
      <c r="L71" s="798"/>
    </row>
    <row r="72" spans="1:12" s="965" customFormat="1">
      <c r="A72" s="2335"/>
      <c r="D72" s="2336"/>
      <c r="K72" s="798"/>
      <c r="L72" s="798"/>
    </row>
    <row r="73" spans="1:12" s="965" customFormat="1">
      <c r="A73" s="2335"/>
      <c r="D73" s="2336"/>
      <c r="K73" s="798"/>
      <c r="L73" s="798"/>
    </row>
    <row r="74" spans="1:12" s="965" customFormat="1">
      <c r="A74" s="2335"/>
      <c r="D74" s="2336"/>
      <c r="K74" s="798"/>
      <c r="L74" s="798"/>
    </row>
    <row r="75" spans="1:12" s="965" customFormat="1">
      <c r="A75" s="2335"/>
      <c r="D75" s="2336"/>
      <c r="K75" s="798"/>
      <c r="L75" s="798"/>
    </row>
    <row r="76" spans="1:12" s="965" customFormat="1">
      <c r="A76" s="2335"/>
      <c r="D76" s="2336"/>
      <c r="K76" s="798"/>
      <c r="L76" s="798"/>
    </row>
    <row r="77" spans="1:12" s="965" customFormat="1">
      <c r="A77" s="2335"/>
      <c r="D77" s="2336"/>
      <c r="K77" s="798"/>
      <c r="L77" s="798"/>
    </row>
    <row r="78" spans="1:12" s="965" customFormat="1">
      <c r="A78" s="2335"/>
      <c r="D78" s="2336"/>
      <c r="K78" s="798"/>
      <c r="L78" s="798"/>
    </row>
    <row r="79" spans="1:12" s="965" customFormat="1">
      <c r="A79" s="2335"/>
      <c r="D79" s="2336"/>
      <c r="K79" s="798"/>
      <c r="L79" s="798"/>
    </row>
    <row r="80" spans="1:12" s="965" customFormat="1">
      <c r="A80" s="2335"/>
      <c r="D80" s="2336"/>
      <c r="K80" s="798"/>
      <c r="L80" s="798"/>
    </row>
    <row r="81" spans="1:12" s="965" customFormat="1">
      <c r="A81" s="2335"/>
      <c r="D81" s="2336"/>
      <c r="K81" s="798"/>
      <c r="L81" s="798"/>
    </row>
    <row r="82" spans="1:12" s="965" customFormat="1">
      <c r="A82" s="2335"/>
      <c r="D82" s="2336"/>
      <c r="K82" s="798"/>
      <c r="L82" s="798"/>
    </row>
    <row r="83" spans="1:12" s="965" customFormat="1">
      <c r="A83" s="2335"/>
      <c r="D83" s="2336"/>
      <c r="K83" s="798"/>
      <c r="L83" s="798"/>
    </row>
    <row r="84" spans="1:12" s="965" customFormat="1">
      <c r="A84" s="2335"/>
      <c r="D84" s="2336"/>
      <c r="K84" s="798"/>
      <c r="L84" s="798"/>
    </row>
    <row r="85" spans="1:12" s="965" customFormat="1">
      <c r="A85" s="2335"/>
      <c r="D85" s="2336"/>
      <c r="K85" s="798"/>
      <c r="L85" s="798"/>
    </row>
    <row r="86" spans="1:12" s="965" customFormat="1">
      <c r="A86" s="2335"/>
      <c r="D86" s="2336"/>
      <c r="K86" s="798"/>
      <c r="L86" s="798"/>
    </row>
    <row r="87" spans="1:12" s="965" customFormat="1">
      <c r="A87" s="2335"/>
      <c r="D87" s="2336"/>
      <c r="K87" s="798"/>
      <c r="L87" s="798"/>
    </row>
    <row r="88" spans="1:12" s="965" customFormat="1">
      <c r="A88" s="2335"/>
      <c r="D88" s="2336"/>
      <c r="K88" s="798"/>
      <c r="L88" s="798"/>
    </row>
    <row r="89" spans="1:12" s="965" customFormat="1">
      <c r="A89" s="2335"/>
      <c r="D89" s="2336"/>
      <c r="K89" s="798"/>
      <c r="L89" s="798"/>
    </row>
    <row r="90" spans="1:12" s="965" customFormat="1">
      <c r="A90" s="2335"/>
      <c r="D90" s="2336"/>
      <c r="K90" s="798"/>
      <c r="L90" s="798"/>
    </row>
    <row r="91" spans="1:12" s="965" customFormat="1">
      <c r="A91" s="2335"/>
      <c r="D91" s="2336"/>
      <c r="K91" s="798"/>
      <c r="L91" s="798"/>
    </row>
    <row r="92" spans="1:12" s="965" customFormat="1">
      <c r="A92" s="2335"/>
      <c r="D92" s="2336"/>
      <c r="K92" s="798"/>
      <c r="L92" s="798"/>
    </row>
    <row r="93" spans="1:12" s="965" customFormat="1">
      <c r="A93" s="2335"/>
      <c r="D93" s="2336"/>
      <c r="K93" s="798"/>
      <c r="L93" s="798"/>
    </row>
    <row r="94" spans="1:12" s="965" customFormat="1">
      <c r="A94" s="2335"/>
      <c r="D94" s="2336"/>
      <c r="K94" s="798"/>
      <c r="L94" s="798"/>
    </row>
    <row r="95" spans="1:12" s="965" customFormat="1">
      <c r="A95" s="2335"/>
      <c r="D95" s="2336"/>
      <c r="K95" s="798"/>
      <c r="L95" s="798"/>
    </row>
    <row r="96" spans="1:12" s="965" customFormat="1">
      <c r="A96" s="2335"/>
      <c r="D96" s="2336"/>
      <c r="K96" s="798"/>
      <c r="L96" s="798"/>
    </row>
    <row r="97" spans="1:12" s="965" customFormat="1">
      <c r="A97" s="2335"/>
      <c r="D97" s="2336"/>
      <c r="K97" s="798"/>
      <c r="L97" s="798"/>
    </row>
    <row r="98" spans="1:12" s="965" customFormat="1">
      <c r="A98" s="2335"/>
      <c r="D98" s="2336"/>
      <c r="K98" s="798"/>
      <c r="L98" s="798"/>
    </row>
    <row r="99" spans="1:12" s="965" customFormat="1">
      <c r="A99" s="2335"/>
      <c r="D99" s="2336"/>
      <c r="K99" s="798"/>
      <c r="L99" s="798"/>
    </row>
    <row r="100" spans="1:12" s="965" customFormat="1">
      <c r="A100" s="2335"/>
      <c r="D100" s="2336"/>
      <c r="K100" s="798"/>
      <c r="L100" s="798"/>
    </row>
    <row r="101" spans="1:12" s="965" customFormat="1">
      <c r="A101" s="2335"/>
      <c r="D101" s="2336"/>
      <c r="K101" s="798"/>
      <c r="L101" s="798"/>
    </row>
    <row r="102" spans="1:12" s="965" customFormat="1">
      <c r="A102" s="2335"/>
      <c r="D102" s="2336"/>
      <c r="K102" s="798"/>
      <c r="L102" s="798"/>
    </row>
    <row r="103" spans="1:12" s="965" customFormat="1">
      <c r="A103" s="2335"/>
      <c r="D103" s="2336"/>
      <c r="K103" s="798"/>
      <c r="L103" s="798"/>
    </row>
    <row r="104" spans="1:12" s="965" customFormat="1">
      <c r="A104" s="2335"/>
      <c r="D104" s="2336"/>
      <c r="K104" s="798"/>
      <c r="L104" s="798"/>
    </row>
    <row r="105" spans="1:12" s="965" customFormat="1">
      <c r="A105" s="2335"/>
      <c r="D105" s="2336"/>
      <c r="K105" s="798"/>
      <c r="L105" s="798"/>
    </row>
    <row r="106" spans="1:12" s="965" customFormat="1">
      <c r="A106" s="2335"/>
      <c r="D106" s="2336"/>
      <c r="K106" s="798"/>
      <c r="L106" s="798"/>
    </row>
    <row r="107" spans="1:12" s="965" customFormat="1">
      <c r="A107" s="2335"/>
      <c r="D107" s="2336"/>
      <c r="K107" s="798"/>
      <c r="L107" s="798"/>
    </row>
    <row r="108" spans="1:12" s="965" customFormat="1">
      <c r="A108" s="2335"/>
      <c r="D108" s="2336"/>
      <c r="K108" s="798"/>
      <c r="L108" s="798"/>
    </row>
    <row r="109" spans="1:12" s="965" customFormat="1">
      <c r="A109" s="2335"/>
      <c r="D109" s="2336"/>
      <c r="K109" s="798"/>
      <c r="L109" s="798"/>
    </row>
    <row r="110" spans="1:12" s="965" customFormat="1">
      <c r="A110" s="2335"/>
      <c r="D110" s="2336"/>
      <c r="K110" s="798"/>
      <c r="L110" s="798"/>
    </row>
    <row r="111" spans="1:12" s="965" customFormat="1">
      <c r="A111" s="2335"/>
      <c r="D111" s="2336"/>
      <c r="K111" s="798"/>
      <c r="L111" s="798"/>
    </row>
    <row r="112" spans="1:12" s="965" customFormat="1">
      <c r="A112" s="2335"/>
      <c r="D112" s="2336"/>
      <c r="K112" s="798"/>
      <c r="L112" s="798"/>
    </row>
    <row r="113" spans="1:12" s="965" customFormat="1">
      <c r="A113" s="2335"/>
      <c r="D113" s="2336"/>
      <c r="K113" s="798"/>
      <c r="L113" s="798"/>
    </row>
    <row r="114" spans="1:12" s="965" customFormat="1">
      <c r="A114" s="2335"/>
      <c r="D114" s="2336"/>
      <c r="K114" s="798"/>
      <c r="L114" s="798"/>
    </row>
    <row r="115" spans="1:12" s="965" customFormat="1">
      <c r="A115" s="2335"/>
      <c r="D115" s="2336"/>
      <c r="K115" s="798"/>
      <c r="L115" s="798"/>
    </row>
    <row r="116" spans="1:12" s="965" customFormat="1">
      <c r="A116" s="2335"/>
      <c r="D116" s="2336"/>
      <c r="K116" s="798"/>
      <c r="L116" s="798"/>
    </row>
    <row r="117" spans="1:12" s="965" customFormat="1">
      <c r="A117" s="2335"/>
      <c r="D117" s="2336"/>
      <c r="K117" s="798"/>
      <c r="L117" s="798"/>
    </row>
    <row r="118" spans="1:12" s="965" customFormat="1">
      <c r="A118" s="2335"/>
      <c r="D118" s="2336"/>
      <c r="K118" s="798"/>
      <c r="L118" s="798"/>
    </row>
    <row r="119" spans="1:12" s="965" customFormat="1">
      <c r="A119" s="2335"/>
      <c r="D119" s="2336"/>
      <c r="K119" s="798"/>
      <c r="L119" s="798"/>
    </row>
    <row r="120" spans="1:12" s="965" customFormat="1">
      <c r="A120" s="2335"/>
      <c r="D120" s="2336"/>
      <c r="K120" s="798"/>
      <c r="L120" s="798"/>
    </row>
    <row r="121" spans="1:12" s="965" customFormat="1">
      <c r="A121" s="2335"/>
      <c r="D121" s="2336"/>
      <c r="K121" s="798"/>
      <c r="L121" s="798"/>
    </row>
    <row r="122" spans="1:12" s="965" customFormat="1">
      <c r="A122" s="2335"/>
      <c r="D122" s="2336"/>
      <c r="K122" s="798"/>
      <c r="L122" s="798"/>
    </row>
    <row r="123" spans="1:12" s="965" customFormat="1">
      <c r="A123" s="2335"/>
      <c r="D123" s="2336"/>
      <c r="K123" s="798"/>
      <c r="L123" s="798"/>
    </row>
    <row r="124" spans="1:12" s="965" customFormat="1">
      <c r="A124" s="2335"/>
      <c r="D124" s="2336"/>
      <c r="K124" s="798"/>
      <c r="L124" s="798"/>
    </row>
    <row r="125" spans="1:12" s="965" customFormat="1">
      <c r="A125" s="2335"/>
      <c r="D125" s="2336"/>
      <c r="K125" s="798"/>
      <c r="L125" s="798"/>
    </row>
    <row r="126" spans="1:12" s="965" customFormat="1">
      <c r="A126" s="2335"/>
      <c r="D126" s="2336"/>
      <c r="K126" s="798"/>
      <c r="L126" s="798"/>
    </row>
    <row r="127" spans="1:12" s="965" customFormat="1">
      <c r="A127" s="2335"/>
      <c r="D127" s="2336"/>
      <c r="K127" s="798"/>
      <c r="L127" s="798"/>
    </row>
    <row r="128" spans="1:12" s="965" customFormat="1">
      <c r="A128" s="2335"/>
      <c r="D128" s="2336"/>
      <c r="K128" s="798"/>
      <c r="L128" s="798"/>
    </row>
    <row r="129" spans="1:12" s="965" customFormat="1">
      <c r="A129" s="2335"/>
      <c r="D129" s="2336"/>
      <c r="K129" s="798"/>
      <c r="L129" s="798"/>
    </row>
    <row r="130" spans="1:12" s="965" customFormat="1">
      <c r="A130" s="2335"/>
      <c r="D130" s="2336"/>
      <c r="K130" s="798"/>
      <c r="L130" s="798"/>
    </row>
    <row r="131" spans="1:12" s="965" customFormat="1">
      <c r="A131" s="2335"/>
      <c r="D131" s="2336"/>
      <c r="K131" s="798"/>
      <c r="L131" s="798"/>
    </row>
    <row r="132" spans="1:12" s="965" customFormat="1">
      <c r="A132" s="2335"/>
      <c r="D132" s="2336"/>
      <c r="K132" s="798"/>
      <c r="L132" s="798"/>
    </row>
    <row r="133" spans="1:12" s="965"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2" sqref="E32"/>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202" t="s">
        <v>2074</v>
      </c>
      <c r="B1" s="3203"/>
      <c r="C1" s="3203"/>
      <c r="D1" s="3203"/>
      <c r="E1" s="3203"/>
      <c r="F1" s="3203"/>
      <c r="G1" s="320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27">
      <c r="A3" s="415" t="s">
        <v>2077</v>
      </c>
      <c r="B3" s="1269" t="s">
        <v>2078</v>
      </c>
      <c r="C3" s="2364"/>
      <c r="D3" s="2365"/>
      <c r="E3" s="431" t="s">
        <v>2077</v>
      </c>
      <c r="F3" s="2366" t="s">
        <v>2079</v>
      </c>
      <c r="G3" s="2367"/>
      <c r="H3" s="2362"/>
      <c r="I3" s="2362"/>
      <c r="J3" s="2362"/>
      <c r="K3" s="2362"/>
      <c r="L3" s="2362"/>
      <c r="M3" s="2362"/>
      <c r="N3" s="2362"/>
      <c r="O3" s="2362"/>
      <c r="P3" s="2362"/>
      <c r="Q3" s="2362"/>
      <c r="R3" s="2362"/>
    </row>
    <row r="4" spans="1:29" ht="15">
      <c r="A4" s="431"/>
      <c r="B4" s="1793" t="s">
        <v>2080</v>
      </c>
      <c r="C4" s="3019" t="s">
        <v>3244</v>
      </c>
      <c r="D4" s="2365"/>
      <c r="E4" s="2368"/>
      <c r="F4" s="42" t="s">
        <v>2081</v>
      </c>
      <c r="G4" s="2369"/>
      <c r="H4" s="2362"/>
      <c r="I4" s="2362"/>
      <c r="J4" s="2362"/>
      <c r="K4" s="2362"/>
      <c r="L4" s="2362"/>
      <c r="M4" s="2362"/>
      <c r="N4" s="2362"/>
      <c r="O4" s="2362"/>
      <c r="P4" s="2362"/>
      <c r="Q4" s="2362"/>
      <c r="R4" s="2362"/>
    </row>
    <row r="5" spans="1:29" ht="15">
      <c r="A5" s="431"/>
      <c r="B5" s="1793" t="s">
        <v>2082</v>
      </c>
      <c r="C5" s="3019" t="s">
        <v>3245</v>
      </c>
      <c r="D5" s="2365"/>
      <c r="E5" s="2368"/>
      <c r="F5" s="1793" t="s">
        <v>2083</v>
      </c>
      <c r="G5" s="2369"/>
      <c r="H5" s="2362"/>
      <c r="I5" s="2362"/>
      <c r="J5" s="2362"/>
      <c r="K5" s="2362"/>
      <c r="L5" s="2362"/>
      <c r="M5" s="2362"/>
      <c r="N5" s="2362"/>
      <c r="O5" s="2362"/>
      <c r="P5" s="2362"/>
      <c r="Q5" s="2362"/>
      <c r="R5" s="2362"/>
    </row>
    <row r="6" spans="1:29" ht="15">
      <c r="A6" s="431"/>
      <c r="B6" s="1793" t="s">
        <v>2084</v>
      </c>
      <c r="C6" s="3020" t="s">
        <v>3246</v>
      </c>
      <c r="D6" s="2365"/>
      <c r="E6" s="2368"/>
      <c r="F6" s="1793" t="s">
        <v>2085</v>
      </c>
      <c r="G6" s="2369"/>
      <c r="H6" s="2362"/>
      <c r="I6" s="2362"/>
      <c r="J6" s="2362"/>
      <c r="K6" s="2362"/>
      <c r="L6" s="2362"/>
      <c r="M6" s="2362"/>
      <c r="N6" s="2362"/>
      <c r="O6" s="2362"/>
      <c r="P6" s="2362"/>
      <c r="Q6" s="2362"/>
      <c r="R6" s="2362"/>
    </row>
    <row r="7" spans="1:29" ht="15.75" thickBot="1">
      <c r="A7" s="431"/>
      <c r="B7" s="1793" t="s">
        <v>2083</v>
      </c>
      <c r="C7" s="3020" t="s">
        <v>3247</v>
      </c>
      <c r="D7" s="2370"/>
      <c r="E7" s="2371"/>
      <c r="F7" s="2372" t="s">
        <v>2086</v>
      </c>
      <c r="G7" s="2373"/>
      <c r="H7" s="2362"/>
      <c r="I7" s="2362"/>
      <c r="J7" s="2362"/>
      <c r="K7" s="2362"/>
      <c r="L7" s="2362"/>
      <c r="M7" s="2362"/>
      <c r="N7" s="2362"/>
      <c r="O7" s="2362"/>
      <c r="P7" s="2362"/>
      <c r="Q7" s="2362"/>
      <c r="R7" s="2362"/>
    </row>
    <row r="8" spans="1:29" ht="15">
      <c r="A8" s="431"/>
      <c r="B8" s="1793" t="s">
        <v>2085</v>
      </c>
      <c r="C8" s="3020" t="s">
        <v>3248</v>
      </c>
      <c r="D8" s="2370"/>
      <c r="E8" s="2370"/>
      <c r="F8" s="1134"/>
      <c r="G8" s="1134"/>
      <c r="H8" s="2362"/>
      <c r="I8" s="2362"/>
      <c r="J8" s="2362"/>
      <c r="K8" s="2362"/>
      <c r="L8" s="2362"/>
      <c r="M8" s="2362"/>
      <c r="N8" s="2362"/>
      <c r="O8" s="2362"/>
      <c r="P8" s="2362"/>
      <c r="Q8" s="2362"/>
      <c r="R8" s="2362"/>
    </row>
    <row r="9" spans="1:29" ht="15">
      <c r="A9" s="431"/>
      <c r="B9" s="1793" t="s">
        <v>2087</v>
      </c>
      <c r="C9" s="3019" t="s">
        <v>3249</v>
      </c>
      <c r="D9" s="2365"/>
      <c r="E9" s="2370"/>
      <c r="F9" s="1134"/>
      <c r="G9" s="1134"/>
      <c r="H9" s="2362"/>
      <c r="I9" s="2362"/>
      <c r="J9" s="2362"/>
      <c r="K9" s="2362"/>
      <c r="L9" s="2362"/>
      <c r="M9" s="2362"/>
      <c r="N9" s="2362"/>
      <c r="O9" s="2362"/>
      <c r="P9" s="2362"/>
      <c r="Q9" s="2362"/>
      <c r="R9" s="2362"/>
    </row>
    <row r="10" spans="1:29" s="117" customFormat="1" ht="15.75" thickBot="1">
      <c r="A10" s="2374"/>
      <c r="B10" s="2375" t="s">
        <v>2088</v>
      </c>
      <c r="C10" s="3021" t="s">
        <v>3250</v>
      </c>
      <c r="D10" s="2365"/>
      <c r="E10" s="2365"/>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2089</v>
      </c>
      <c r="B13" s="2380"/>
      <c r="C13" s="2380"/>
      <c r="D13" s="2387"/>
      <c r="E13" s="2380"/>
      <c r="F13" s="2380"/>
      <c r="G13" s="2380"/>
    </row>
    <row r="14" spans="1:29" ht="15.75" thickBot="1">
      <c r="A14" s="2391"/>
      <c r="B14" s="2392"/>
      <c r="C14" s="2393" t="s">
        <v>2090</v>
      </c>
      <c r="D14" s="2365"/>
      <c r="E14" s="2394"/>
      <c r="F14" s="2394"/>
      <c r="G14" s="2359" t="s">
        <v>2091</v>
      </c>
    </row>
    <row r="15" spans="1:29" ht="27">
      <c r="A15" s="68" t="s">
        <v>2092</v>
      </c>
      <c r="B15" s="1268" t="s">
        <v>2078</v>
      </c>
      <c r="C15" s="2395">
        <f>C3</f>
        <v>0</v>
      </c>
      <c r="D15" s="2365"/>
      <c r="E15" s="2396" t="s">
        <v>2093</v>
      </c>
      <c r="F15" s="1268" t="s">
        <v>2094</v>
      </c>
      <c r="G15" s="135">
        <f>G3</f>
        <v>0</v>
      </c>
    </row>
    <row r="16" spans="1:29" ht="15">
      <c r="A16" s="645"/>
      <c r="B16" s="2397" t="s">
        <v>2080</v>
      </c>
      <c r="C16" s="2398" t="str">
        <f>C4</f>
        <v>成熟区域，成熟度好</v>
      </c>
      <c r="D16" s="2365"/>
      <c r="E16" s="2399"/>
      <c r="F16" s="2400" t="s">
        <v>2081</v>
      </c>
      <c r="G16" s="136">
        <f>G4</f>
        <v>0</v>
      </c>
    </row>
    <row r="17" spans="1:18" ht="15">
      <c r="A17" s="645"/>
      <c r="B17" s="2397" t="s">
        <v>2082</v>
      </c>
      <c r="C17" s="2398" t="str">
        <f>C5</f>
        <v>好</v>
      </c>
      <c r="D17" s="2370"/>
      <c r="E17" s="2399"/>
      <c r="F17" s="2400" t="s">
        <v>2095</v>
      </c>
      <c r="G17" s="1568"/>
    </row>
    <row r="18" spans="1:18" ht="15">
      <c r="A18" s="645"/>
      <c r="B18" s="2400" t="s">
        <v>2084</v>
      </c>
      <c r="C18" s="136" t="str">
        <f>C6</f>
        <v>好</v>
      </c>
      <c r="D18" s="2370"/>
      <c r="E18" s="2399"/>
      <c r="F18" s="2400" t="s">
        <v>2086</v>
      </c>
      <c r="G18" s="136">
        <f>G7</f>
        <v>0</v>
      </c>
    </row>
    <row r="19" spans="1:18" ht="15">
      <c r="A19" s="645"/>
      <c r="B19" s="2400" t="s">
        <v>2096</v>
      </c>
      <c r="C19" s="3022" t="s">
        <v>3251</v>
      </c>
      <c r="D19" s="2365"/>
      <c r="E19" s="2399"/>
      <c r="F19" s="1793" t="s">
        <v>2083</v>
      </c>
      <c r="G19" s="136">
        <f>G5</f>
        <v>0</v>
      </c>
    </row>
    <row r="20" spans="1:18" ht="15">
      <c r="A20" s="645"/>
      <c r="B20" s="2400" t="s">
        <v>2097</v>
      </c>
      <c r="C20" s="2398" t="str">
        <f>C9</f>
        <v>好</v>
      </c>
      <c r="D20" s="2370"/>
      <c r="E20" s="2399"/>
      <c r="F20" s="1793" t="s">
        <v>2098</v>
      </c>
      <c r="G20" s="136">
        <f>G6</f>
        <v>0</v>
      </c>
    </row>
    <row r="21" spans="1:18" ht="15">
      <c r="A21" s="645"/>
      <c r="B21" s="1793" t="s">
        <v>2083</v>
      </c>
      <c r="C21" s="136" t="str">
        <f>C7</f>
        <v>好</v>
      </c>
      <c r="D21" s="2365"/>
      <c r="E21" s="2399"/>
      <c r="F21" s="2400" t="s">
        <v>2099</v>
      </c>
      <c r="G21" s="2401"/>
    </row>
    <row r="22" spans="1:18" ht="13.5" customHeight="1">
      <c r="A22" s="645"/>
      <c r="B22" s="1793" t="s">
        <v>2085</v>
      </c>
      <c r="C22" s="136" t="str">
        <f>C8</f>
        <v>七通</v>
      </c>
      <c r="D22" s="2365"/>
      <c r="E22" s="2399"/>
      <c r="F22" s="2400" t="s">
        <v>2088</v>
      </c>
      <c r="G22" s="1568"/>
    </row>
    <row r="23" spans="1:18" s="2362" customFormat="1" ht="15.75" thickBot="1">
      <c r="A23" s="645"/>
      <c r="B23" s="2400" t="s">
        <v>2099</v>
      </c>
      <c r="C23" s="2401" t="s">
        <v>3214</v>
      </c>
      <c r="D23" s="2388"/>
      <c r="E23" s="2402"/>
      <c r="F23" s="2403" t="s">
        <v>2100</v>
      </c>
      <c r="G23" s="2404"/>
      <c r="H23" s="2388"/>
      <c r="I23" s="2389"/>
      <c r="J23" s="2388"/>
      <c r="K23" s="2388"/>
      <c r="L23" s="2389"/>
      <c r="M23" s="2388"/>
      <c r="N23" s="2388"/>
      <c r="O23" s="2389"/>
      <c r="P23" s="2388"/>
      <c r="Q23" s="2388"/>
      <c r="R23" s="2390"/>
    </row>
    <row r="24" spans="1:18" s="2362" customFormat="1" ht="15.75" thickBot="1">
      <c r="A24" s="2405"/>
      <c r="B24" s="2403" t="s">
        <v>2101</v>
      </c>
      <c r="C24" s="137" t="str">
        <f>C10</f>
        <v>快速路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82" t="str">
        <f>项目基本情况!B1</f>
        <v>北京市朝阳区东三环中路61号楼“富力万丽酒店”酒店、商业、地下车库、地下仓储用房房地产抵押价值预评估</v>
      </c>
      <c r="C37" s="3082"/>
      <c r="D37" s="3082"/>
      <c r="E37" s="3082"/>
      <c r="F37" s="3082"/>
      <c r="G37" s="3082"/>
      <c r="H37" s="3082"/>
      <c r="I37" s="3082"/>
    </row>
    <row r="38" spans="1:9">
      <c r="A38" s="1017"/>
      <c r="B38" s="1017"/>
    </row>
    <row r="39" spans="1:9">
      <c r="A39" s="1015" t="s">
        <v>818</v>
      </c>
      <c r="B39" s="1015" t="s">
        <v>820</v>
      </c>
    </row>
    <row r="40" spans="1:9">
      <c r="A40" s="1015"/>
      <c r="B40" s="1940" t="str">
        <f>项目基本情况!B5</f>
        <v>北京富力城房地产开发有限公司</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王鹏（注册号：1120050019)、郑燚（注册号：1120070131)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E14" sqref="E14"/>
    </sheetView>
  </sheetViews>
  <sheetFormatPr defaultRowHeight="13.5"/>
  <cols>
    <col min="1" max="1" width="23.375" style="1737" customWidth="1"/>
    <col min="2" max="9" width="15.75" style="1737" customWidth="1"/>
    <col min="10" max="16384" width="9" style="1737"/>
  </cols>
  <sheetData>
    <row r="1" spans="1:10" ht="16.5">
      <c r="A1" s="1742" t="s">
        <v>1359</v>
      </c>
      <c r="B1" s="1742">
        <f>SUM(B14:B23)</f>
        <v>98810.33</v>
      </c>
      <c r="C1" s="1741"/>
      <c r="D1" s="1741"/>
      <c r="E1" s="1741"/>
      <c r="F1" s="1741"/>
      <c r="G1" s="1739"/>
    </row>
    <row r="2" spans="1:10" ht="16.5">
      <c r="A2" s="1742" t="s">
        <v>1347</v>
      </c>
      <c r="B2" s="1742">
        <f>SUM(C14:C23)</f>
        <v>11147.87</v>
      </c>
      <c r="C2" s="1741"/>
      <c r="D2" s="1741"/>
      <c r="E2" s="1741"/>
      <c r="F2" s="1741"/>
      <c r="G2" s="1739"/>
    </row>
    <row r="3" spans="1:10" ht="16.5">
      <c r="A3" s="1742" t="s">
        <v>1356</v>
      </c>
      <c r="B3" s="1743">
        <f>项目基本情况!D3</f>
        <v>43581</v>
      </c>
      <c r="C3" s="1741"/>
      <c r="D3" s="1741"/>
      <c r="E3" s="1741"/>
      <c r="F3" s="1741"/>
      <c r="G3" s="1739"/>
    </row>
    <row r="4" spans="1:10" ht="33">
      <c r="A4" s="1742" t="s">
        <v>1355</v>
      </c>
      <c r="B4" s="1742" t="s">
        <v>1354</v>
      </c>
      <c r="C4" s="1742" t="s">
        <v>1353</v>
      </c>
      <c r="D4" s="1742" t="s">
        <v>1352</v>
      </c>
      <c r="E4" s="1741"/>
      <c r="F4" s="1739"/>
      <c r="G4" s="1739"/>
    </row>
    <row r="5" spans="1:10" ht="16.5">
      <c r="A5" s="1742" t="s">
        <v>1351</v>
      </c>
      <c r="B5" s="1742">
        <f ca="1">SUM(D14:D23)</f>
        <v>373911</v>
      </c>
      <c r="C5" s="1742">
        <f ca="1">ROUND(B5*10000/$B$1,0)</f>
        <v>37841</v>
      </c>
      <c r="D5" s="1742">
        <f ca="1">ROUND(B5*10000/$B$2,0)</f>
        <v>335410</v>
      </c>
      <c r="E5" s="1741"/>
      <c r="F5" s="1739"/>
      <c r="G5" s="1739"/>
    </row>
    <row r="6" spans="1:10" ht="16.5">
      <c r="A6" s="1742" t="s">
        <v>1350</v>
      </c>
      <c r="B6" s="1742">
        <f ca="1">SUM(G14:G23)</f>
        <v>373911</v>
      </c>
      <c r="C6" s="1742">
        <f ca="1">ROUND(B6*10000/$B$1,0)</f>
        <v>37841</v>
      </c>
      <c r="D6" s="1742">
        <f ca="1">ROUND(B6*10000/$B$2,0)</f>
        <v>335410</v>
      </c>
      <c r="E6" s="1741"/>
      <c r="F6" s="1739"/>
      <c r="G6" s="1739"/>
    </row>
    <row r="7" spans="1:10" ht="16.5">
      <c r="A7" s="1742" t="s">
        <v>1358</v>
      </c>
      <c r="B7" s="1742">
        <f>SUM(H14:H23)</f>
        <v>0</v>
      </c>
      <c r="C7" s="1742">
        <f>ROUND(B7*10000/$B$1,0)</f>
        <v>0</v>
      </c>
      <c r="D7" s="1742">
        <f>ROUND(B7*10000/$B$2,0)</f>
        <v>0</v>
      </c>
      <c r="E7" s="1741"/>
      <c r="F7" s="1739"/>
      <c r="G7" s="1739"/>
    </row>
    <row r="8" spans="1:10" ht="16.5">
      <c r="A8" s="1742" t="s">
        <v>1279</v>
      </c>
      <c r="B8" s="1742">
        <f>SUM(I14:I23)</f>
        <v>0</v>
      </c>
      <c r="C8" s="1742">
        <f>ROUND(B8*10000/$B$1,0)</f>
        <v>0</v>
      </c>
      <c r="D8" s="1742">
        <f>ROUND(B8*10000/$B$2,0)</f>
        <v>0</v>
      </c>
      <c r="E8" s="1741"/>
      <c r="F8" s="1739"/>
      <c r="G8" s="1739"/>
    </row>
    <row r="9" spans="1:10" ht="16.5">
      <c r="A9" s="1742" t="s">
        <v>1349</v>
      </c>
      <c r="B9" s="1744"/>
      <c r="C9" s="1741"/>
      <c r="D9" s="1741"/>
      <c r="E9" s="1741"/>
      <c r="F9" s="1739"/>
      <c r="G9" s="1739"/>
    </row>
    <row r="10" spans="1:10" ht="16.5">
      <c r="A10" s="1742" t="s">
        <v>1348</v>
      </c>
      <c r="B10" s="1744"/>
      <c r="C10" s="1741"/>
      <c r="D10" s="1741"/>
      <c r="E10" s="1741"/>
      <c r="F10" s="1739"/>
      <c r="G10" s="1739"/>
    </row>
    <row r="11" spans="1:10" ht="16.5">
      <c r="A11" s="1742" t="s">
        <v>1364</v>
      </c>
      <c r="B11" s="1744"/>
      <c r="C11" s="1741"/>
      <c r="D11" s="1741"/>
      <c r="E11" s="1741"/>
      <c r="F11" s="1739"/>
      <c r="G11" s="1739"/>
    </row>
    <row r="12" spans="1:10" ht="16.5">
      <c r="A12" s="1741"/>
      <c r="B12" s="1741"/>
      <c r="C12" s="1741"/>
      <c r="D12" s="1741"/>
      <c r="E12" s="1741"/>
      <c r="F12" s="1739"/>
      <c r="G12" s="1739"/>
    </row>
    <row r="13" spans="1:10" ht="33">
      <c r="A13" s="1747" t="s">
        <v>1363</v>
      </c>
      <c r="B13" s="1740" t="s">
        <v>1360</v>
      </c>
      <c r="C13" s="1740" t="s">
        <v>1362</v>
      </c>
      <c r="D13" s="1740" t="s">
        <v>1361</v>
      </c>
      <c r="E13" s="1742" t="s">
        <v>1353</v>
      </c>
      <c r="F13" s="1742" t="s">
        <v>1352</v>
      </c>
      <c r="G13" s="1740" t="s">
        <v>1346</v>
      </c>
      <c r="H13" s="1740" t="s">
        <v>1357</v>
      </c>
      <c r="I13" s="1740" t="s">
        <v>1345</v>
      </c>
      <c r="J13" s="1739"/>
    </row>
    <row r="14" spans="1:10" ht="16.5">
      <c r="A14" s="1738" t="s">
        <v>1344</v>
      </c>
      <c r="B14" s="1740">
        <f>'结果表（酒店）'!B118</f>
        <v>98810.33</v>
      </c>
      <c r="C14" s="1740">
        <f>'结果表（酒店）'!C118</f>
        <v>11147.87</v>
      </c>
      <c r="D14" s="1740">
        <f ca="1">'结果表（酒店）'!H118</f>
        <v>373911</v>
      </c>
      <c r="E14" s="1740">
        <f ca="1">ROUND(D14*10000/B14,0)</f>
        <v>37841</v>
      </c>
      <c r="F14" s="1740">
        <f ca="1">ROUND(D14*10000/C14,0)</f>
        <v>335410</v>
      </c>
      <c r="G14" s="1740">
        <f ca="1">'结果表（酒店）'!D122</f>
        <v>373911</v>
      </c>
      <c r="H14" s="1740" t="str">
        <f>'结果表（酒店）'!D124</f>
        <v>——</v>
      </c>
      <c r="I14" s="1740" t="str">
        <f>'结果表（酒店）'!D126</f>
        <v>——</v>
      </c>
      <c r="J14" s="1739"/>
    </row>
    <row r="15" spans="1:10" ht="16.5">
      <c r="A15" s="1738" t="s">
        <v>1343</v>
      </c>
      <c r="B15" s="1745"/>
      <c r="C15" s="1745"/>
      <c r="D15" s="1745"/>
      <c r="E15" s="1740" t="e">
        <f t="shared" ref="E15:E23" si="0">ROUND(D15*10000/B15,0)</f>
        <v>#DIV/0!</v>
      </c>
      <c r="F15" s="1740" t="e">
        <f t="shared" ref="F15:F23" si="1">ROUND(D15*10000/C15,0)</f>
        <v>#DIV/0!</v>
      </c>
      <c r="G15" s="1746"/>
      <c r="H15" s="1746"/>
      <c r="I15" s="1745"/>
      <c r="J15" s="1739"/>
    </row>
    <row r="16" spans="1:10" ht="16.5">
      <c r="A16" s="1738" t="s">
        <v>1342</v>
      </c>
      <c r="B16" s="1745"/>
      <c r="C16" s="1745"/>
      <c r="D16" s="1745"/>
      <c r="E16" s="1740" t="e">
        <f t="shared" si="0"/>
        <v>#DIV/0!</v>
      </c>
      <c r="F16" s="1740" t="e">
        <f t="shared" si="1"/>
        <v>#DIV/0!</v>
      </c>
      <c r="G16" s="1746"/>
      <c r="H16" s="1746"/>
      <c r="I16" s="1745"/>
    </row>
    <row r="17" spans="1:9" ht="16.5">
      <c r="A17" s="1738" t="s">
        <v>1341</v>
      </c>
      <c r="B17" s="1745"/>
      <c r="C17" s="1745"/>
      <c r="D17" s="1745"/>
      <c r="E17" s="1740" t="e">
        <f t="shared" si="0"/>
        <v>#DIV/0!</v>
      </c>
      <c r="F17" s="1740" t="e">
        <f t="shared" si="1"/>
        <v>#DIV/0!</v>
      </c>
      <c r="G17" s="1746"/>
      <c r="H17" s="1746"/>
      <c r="I17" s="1745"/>
    </row>
    <row r="18" spans="1:9" ht="16.5">
      <c r="A18" s="1738" t="s">
        <v>1340</v>
      </c>
      <c r="B18" s="1745"/>
      <c r="C18" s="1745"/>
      <c r="D18" s="1745"/>
      <c r="E18" s="1740" t="e">
        <f t="shared" si="0"/>
        <v>#DIV/0!</v>
      </c>
      <c r="F18" s="1740" t="e">
        <f t="shared" si="1"/>
        <v>#DIV/0!</v>
      </c>
      <c r="G18" s="1745"/>
      <c r="H18" s="1745"/>
      <c r="I18" s="1745"/>
    </row>
    <row r="19" spans="1:9" ht="16.5">
      <c r="A19" s="1738" t="s">
        <v>1339</v>
      </c>
      <c r="B19" s="1745"/>
      <c r="C19" s="1745"/>
      <c r="D19" s="1745"/>
      <c r="E19" s="1740" t="e">
        <f t="shared" si="0"/>
        <v>#DIV/0!</v>
      </c>
      <c r="F19" s="1740" t="e">
        <f t="shared" si="1"/>
        <v>#DIV/0!</v>
      </c>
      <c r="G19" s="1745"/>
      <c r="H19" s="1745"/>
      <c r="I19" s="1745"/>
    </row>
    <row r="20" spans="1:9" ht="16.5">
      <c r="A20" s="1738" t="s">
        <v>1338</v>
      </c>
      <c r="B20" s="1745"/>
      <c r="C20" s="1745"/>
      <c r="D20" s="1745"/>
      <c r="E20" s="1740" t="e">
        <f t="shared" si="0"/>
        <v>#DIV/0!</v>
      </c>
      <c r="F20" s="1740" t="e">
        <f t="shared" si="1"/>
        <v>#DIV/0!</v>
      </c>
      <c r="G20" s="1745"/>
      <c r="H20" s="1745"/>
      <c r="I20" s="1745"/>
    </row>
    <row r="21" spans="1:9" ht="16.5">
      <c r="A21" s="1738" t="s">
        <v>1337</v>
      </c>
      <c r="B21" s="1745"/>
      <c r="C21" s="1745"/>
      <c r="D21" s="1745"/>
      <c r="E21" s="1740" t="e">
        <f t="shared" si="0"/>
        <v>#DIV/0!</v>
      </c>
      <c r="F21" s="1740" t="e">
        <f t="shared" si="1"/>
        <v>#DIV/0!</v>
      </c>
      <c r="G21" s="1745"/>
      <c r="H21" s="1745"/>
      <c r="I21" s="1745"/>
    </row>
    <row r="22" spans="1:9" ht="16.5">
      <c r="A22" s="1738" t="s">
        <v>1336</v>
      </c>
      <c r="B22" s="1745"/>
      <c r="C22" s="1745"/>
      <c r="D22" s="1745"/>
      <c r="E22" s="1740" t="e">
        <f t="shared" si="0"/>
        <v>#DIV/0!</v>
      </c>
      <c r="F22" s="1740" t="e">
        <f t="shared" si="1"/>
        <v>#DIV/0!</v>
      </c>
      <c r="G22" s="1745"/>
      <c r="H22" s="1745"/>
      <c r="I22" s="1745"/>
    </row>
    <row r="23" spans="1:9" ht="16.5">
      <c r="A23" s="1738" t="s">
        <v>1335</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t="s">
        <v>70</v>
      </c>
    </row>
    <row r="2" spans="1:12" ht="21.75" customHeight="1" thickBot="1">
      <c r="A2" s="3208" t="str">
        <f>项目基本情况!S2</f>
        <v>北京市朝阳区东三环中路61号楼“富力万丽酒店”酒店、商业、地下车库、地下仓储用房房地产</v>
      </c>
      <c r="B2" s="3209"/>
      <c r="C2" s="3209"/>
      <c r="D2" s="3209"/>
      <c r="E2" s="3209"/>
      <c r="F2" s="3209"/>
      <c r="G2" s="3209"/>
      <c r="H2" s="3209"/>
      <c r="I2" s="3210"/>
    </row>
    <row r="3" spans="1:12" ht="12.75">
      <c r="A3" s="3211" t="s">
        <v>2105</v>
      </c>
      <c r="B3" s="3212"/>
      <c r="C3" s="3212"/>
      <c r="D3" s="3212"/>
      <c r="E3" s="3212"/>
      <c r="F3" s="3212"/>
      <c r="G3" s="3212"/>
      <c r="H3" s="3212"/>
      <c r="I3" s="3212"/>
    </row>
    <row r="4" spans="1:12" ht="14.25">
      <c r="A4" s="2418" t="s">
        <v>2106</v>
      </c>
      <c r="B4" s="2419" t="s">
        <v>2107</v>
      </c>
      <c r="C4" s="2420" t="s">
        <v>3161</v>
      </c>
      <c r="D4" s="2420" t="s">
        <v>3162</v>
      </c>
      <c r="E4" s="3213" t="s">
        <v>2108</v>
      </c>
      <c r="F4" s="3214"/>
      <c r="G4" s="3214"/>
      <c r="H4" s="3214"/>
      <c r="I4" s="3215"/>
      <c r="K4" s="2421" t="str">
        <f>IF(ISNUMBER(FIND("比较法",'结果表111 '!C4)),"比较法",IF(ISNUMBER(FIND("成本法",'结果表111 '!C4)),"成本法",IF(ISNUMBER(FIND("假设开发法",'结果表111 '!C4)),"假设开发法",IF(ISNUMBER(FIND("收益法",'结果表111 '!C4)),"收益法","基准地价系数修正法"))))</f>
        <v>收益法</v>
      </c>
      <c r="L4" s="2421" t="str">
        <f>IF(ISNUMBER(FIND("比较法",'结果表111 '!D4)),"比较法",IF(ISNUMBER(FIND("成本法",'结果表111 '!D4)),"成本法",IF(ISNUMBER(FIND("假设开发法",'结果表111 '!D4)),"假设开发法",IF(ISNUMBER(FIND("收益法",'结果表111 '!D4)),"收益法","基准地价系数修正法"))))</f>
        <v>成本法</v>
      </c>
    </row>
    <row r="5" spans="1:12" ht="12.75">
      <c r="A5" s="3204" t="s">
        <v>2109</v>
      </c>
      <c r="B5" s="3126">
        <v>25</v>
      </c>
      <c r="C5" s="3205"/>
      <c r="D5" s="3207"/>
      <c r="E5" s="140" t="s">
        <v>2110</v>
      </c>
      <c r="F5" s="2422"/>
      <c r="G5" s="2422"/>
      <c r="H5" s="2422"/>
      <c r="I5" s="1829"/>
    </row>
    <row r="6" spans="1:12" ht="12.75">
      <c r="A6" s="3204"/>
      <c r="B6" s="3126"/>
      <c r="C6" s="3216"/>
      <c r="D6" s="3207"/>
      <c r="E6" s="140" t="s">
        <v>2111</v>
      </c>
      <c r="F6" s="2422"/>
      <c r="G6" s="2422"/>
      <c r="H6" s="2422"/>
      <c r="I6" s="1829"/>
    </row>
    <row r="7" spans="1:12" ht="12.75">
      <c r="A7" s="3204"/>
      <c r="B7" s="3126"/>
      <c r="C7" s="3206"/>
      <c r="D7" s="3207"/>
      <c r="E7" s="140" t="s">
        <v>2112</v>
      </c>
      <c r="F7" s="2422"/>
      <c r="G7" s="2422"/>
      <c r="H7" s="2422"/>
      <c r="I7" s="1829"/>
    </row>
    <row r="8" spans="1:12" ht="12.75">
      <c r="A8" s="3204" t="s">
        <v>2113</v>
      </c>
      <c r="B8" s="3126">
        <v>15</v>
      </c>
      <c r="C8" s="3205"/>
      <c r="D8" s="3207"/>
      <c r="E8" s="140" t="s">
        <v>2114</v>
      </c>
      <c r="F8" s="2422"/>
      <c r="G8" s="2422"/>
      <c r="H8" s="2422"/>
      <c r="I8" s="1829"/>
    </row>
    <row r="9" spans="1:12" ht="12.75">
      <c r="A9" s="3204"/>
      <c r="B9" s="3126"/>
      <c r="C9" s="3206"/>
      <c r="D9" s="3207"/>
      <c r="E9" s="140" t="s">
        <v>2115</v>
      </c>
      <c r="F9" s="2422"/>
      <c r="G9" s="2422"/>
      <c r="H9" s="2422"/>
      <c r="I9" s="1829"/>
    </row>
    <row r="10" spans="1:12" ht="12.75">
      <c r="A10" s="3204" t="s">
        <v>2116</v>
      </c>
      <c r="B10" s="3126">
        <v>15</v>
      </c>
      <c r="C10" s="3205"/>
      <c r="D10" s="3207"/>
      <c r="E10" s="140" t="s">
        <v>2117</v>
      </c>
      <c r="F10" s="2422"/>
      <c r="G10" s="2422"/>
      <c r="H10" s="2422"/>
      <c r="I10" s="1829"/>
    </row>
    <row r="11" spans="1:12" ht="12.75">
      <c r="A11" s="3204"/>
      <c r="B11" s="3126"/>
      <c r="C11" s="3206"/>
      <c r="D11" s="3207"/>
      <c r="E11" s="140" t="s">
        <v>2118</v>
      </c>
      <c r="F11" s="2422"/>
      <c r="G11" s="2422"/>
      <c r="H11" s="2422"/>
      <c r="I11" s="1829"/>
    </row>
    <row r="12" spans="1:12" ht="12.75">
      <c r="A12" s="3204" t="s">
        <v>2119</v>
      </c>
      <c r="B12" s="3126">
        <v>15</v>
      </c>
      <c r="C12" s="3205"/>
      <c r="D12" s="3207"/>
      <c r="E12" s="140" t="s">
        <v>2120</v>
      </c>
      <c r="F12" s="2422"/>
      <c r="G12" s="2422"/>
      <c r="H12" s="2422"/>
      <c r="I12" s="1829"/>
    </row>
    <row r="13" spans="1:12" ht="12.75">
      <c r="A13" s="3204"/>
      <c r="B13" s="3126"/>
      <c r="C13" s="3206"/>
      <c r="D13" s="3207"/>
      <c r="E13" s="140" t="s">
        <v>2121</v>
      </c>
      <c r="F13" s="2422"/>
      <c r="G13" s="2422"/>
      <c r="H13" s="2422"/>
      <c r="I13" s="1829"/>
    </row>
    <row r="14" spans="1:12" ht="12.75">
      <c r="A14" s="3204" t="s">
        <v>2122</v>
      </c>
      <c r="B14" s="3126">
        <v>30</v>
      </c>
      <c r="C14" s="3205">
        <v>5</v>
      </c>
      <c r="D14" s="3207">
        <v>5</v>
      </c>
      <c r="E14" s="140" t="s">
        <v>2123</v>
      </c>
      <c r="F14" s="2422"/>
      <c r="G14" s="2422"/>
      <c r="H14" s="2422"/>
      <c r="I14" s="1829"/>
    </row>
    <row r="15" spans="1:12" ht="12.75">
      <c r="A15" s="3204"/>
      <c r="B15" s="3126"/>
      <c r="C15" s="3216"/>
      <c r="D15" s="3207"/>
      <c r="E15" s="140" t="s">
        <v>2124</v>
      </c>
      <c r="F15" s="2422"/>
      <c r="G15" s="2422"/>
      <c r="H15" s="2422"/>
      <c r="I15" s="1829"/>
    </row>
    <row r="16" spans="1:12" ht="12.75">
      <c r="A16" s="3204"/>
      <c r="B16" s="3126"/>
      <c r="C16" s="3206"/>
      <c r="D16" s="3207"/>
      <c r="E16" s="140" t="s">
        <v>2125</v>
      </c>
      <c r="F16" s="2422"/>
      <c r="G16" s="2422"/>
      <c r="H16" s="2422"/>
      <c r="I16" s="1829"/>
    </row>
    <row r="17" spans="1:35" ht="15">
      <c r="A17" s="2423" t="s">
        <v>2126</v>
      </c>
      <c r="B17" s="64"/>
      <c r="C17" s="141">
        <f>SUM(C5:C16)</f>
        <v>5</v>
      </c>
      <c r="D17" s="141">
        <f>SUM(D5:D16)</f>
        <v>5</v>
      </c>
      <c r="E17" s="138"/>
      <c r="F17" s="138"/>
      <c r="G17" s="138"/>
      <c r="H17" s="138"/>
      <c r="I17" s="138"/>
      <c r="K17" s="2421"/>
      <c r="L17" s="2424" t="s">
        <v>2127</v>
      </c>
      <c r="M17" s="2424" t="s">
        <v>2128</v>
      </c>
    </row>
    <row r="18" spans="1:35" ht="15.75" thickBot="1">
      <c r="A18" s="2425" t="s">
        <v>2129</v>
      </c>
      <c r="B18" s="2426"/>
      <c r="C18" s="142">
        <f>ROUND(C17/SUM(C17:D17),2)</f>
        <v>0.5</v>
      </c>
      <c r="D18" s="142">
        <f>1-C18</f>
        <v>0.5</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SUMIF(INDIRECT("'"&amp;C4&amp;"'"&amp;"!A:A"),'结果表111 '!B19,INDIRECT("'"&amp;C4&amp;"'"&amp;"!B:B"))</f>
        <v>293350</v>
      </c>
      <c r="D19" s="144">
        <f ca="1">SUMIF(INDIRECT("'"&amp;D4&amp;"'"&amp;"!A:A"),'结果表111 '!B19,INDIRECT("'"&amp;D4&amp;"'"&amp;"!B:B"))</f>
        <v>472374</v>
      </c>
      <c r="E19" s="2427" t="s">
        <v>2133</v>
      </c>
      <c r="F19" s="2428" t="s">
        <v>2132</v>
      </c>
      <c r="G19" s="145">
        <f ca="1">ROUND(C19*$C$18+D19*$D$18,0)</f>
        <v>382862</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SUMIF(INDIRECT("'"&amp;C4&amp;"'"&amp;"!A:A"),'结果表111 '!B20,INDIRECT("'"&amp;C4&amp;"'"&amp;"!B:B"))</f>
        <v>29688</v>
      </c>
      <c r="D20" s="147">
        <f ca="1">SUMIF(INDIRECT("'"&amp;D4&amp;"'"&amp;"!A:A"),'结果表111 '!B20,INDIRECT("'"&amp;D4&amp;"'"&amp;"!B:B"))</f>
        <v>47806</v>
      </c>
      <c r="E20" s="2430"/>
      <c r="F20" s="1248" t="s">
        <v>2136</v>
      </c>
      <c r="G20" s="148">
        <f ca="1">ROUND(C20*$C$18+D20*$D$18,0)</f>
        <v>38747</v>
      </c>
      <c r="H20" s="981" t="s">
        <v>2137</v>
      </c>
      <c r="I20" s="138"/>
    </row>
    <row r="21" spans="1:35" ht="15" customHeight="1" thickBot="1">
      <c r="A21" s="1001"/>
      <c r="B21" s="2431" t="s">
        <v>2138</v>
      </c>
      <c r="C21" s="789">
        <f ca="1">ROUND(C19*10000/L19,0)</f>
        <v>263144</v>
      </c>
      <c r="D21" s="790">
        <f ca="1">ROUND(D19*10000/L19,0)</f>
        <v>423735</v>
      </c>
      <c r="E21" s="1001"/>
      <c r="F21" s="2431" t="s">
        <v>2138</v>
      </c>
      <c r="G21" s="149">
        <f ca="1">ROUND(G19*10000/L19,0)</f>
        <v>343440</v>
      </c>
      <c r="H21" s="2432" t="s">
        <v>2137</v>
      </c>
      <c r="I21" s="138"/>
    </row>
    <row r="22" spans="1:35" ht="15" thickBot="1">
      <c r="A22" s="2275" t="s">
        <v>2139</v>
      </c>
      <c r="B22" s="2433"/>
      <c r="C22" s="2434"/>
      <c r="D22" s="791">
        <f ca="1">IF(C19&lt;D19,D19/C19-1,C19/D19-1)</f>
        <v>0.6102744162263507</v>
      </c>
      <c r="E22" s="138"/>
      <c r="F22" s="138"/>
      <c r="G22" s="138"/>
      <c r="H22" s="138"/>
      <c r="I22" s="138"/>
    </row>
    <row r="23" spans="1:35" ht="13.5" thickBot="1">
      <c r="A23" s="2411"/>
      <c r="B23" s="2411"/>
      <c r="C23" s="2411"/>
      <c r="D23" s="2411"/>
      <c r="E23" s="138"/>
      <c r="F23" s="138"/>
      <c r="G23" s="138"/>
      <c r="H23" s="138"/>
      <c r="I23" s="138"/>
    </row>
    <row r="24" spans="1:35" ht="14.25">
      <c r="A24" s="3217" t="s">
        <v>2140</v>
      </c>
      <c r="B24" s="2428" t="s">
        <v>2132</v>
      </c>
      <c r="C24" s="145">
        <f>IF(B30=0,0,D30)</f>
        <v>0</v>
      </c>
      <c r="D24" s="2435"/>
      <c r="E24" s="138"/>
      <c r="F24" s="138"/>
      <c r="G24" s="138"/>
      <c r="H24" s="138"/>
      <c r="I24" s="138"/>
    </row>
    <row r="25" spans="1:35" ht="14.25">
      <c r="A25" s="3218"/>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382862</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19" t="s">
        <v>2154</v>
      </c>
      <c r="B36" s="2454" t="s">
        <v>2155</v>
      </c>
      <c r="C36" s="154"/>
      <c r="D36" s="2455"/>
      <c r="E36" s="2456"/>
      <c r="F36" s="2457"/>
      <c r="G36" s="138"/>
      <c r="H36" s="138"/>
      <c r="I36" s="138"/>
    </row>
    <row r="37" spans="1:15" ht="15.75" thickBot="1">
      <c r="A37" s="3220"/>
      <c r="B37" s="2261" t="s">
        <v>2156</v>
      </c>
      <c r="C37" s="156"/>
      <c r="D37" s="1392"/>
      <c r="E37" s="1392"/>
      <c r="F37" s="2457"/>
      <c r="G37" s="138"/>
      <c r="H37" s="138"/>
      <c r="I37" s="138"/>
    </row>
    <row r="38" spans="1:15" ht="15.75" thickBot="1">
      <c r="A38" s="3221"/>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2" t="s">
        <v>2168</v>
      </c>
      <c r="B45" s="3223"/>
      <c r="C45" s="3224"/>
      <c r="D45" s="164">
        <f ca="1">ROUND(H101*F45,0)</f>
        <v>382862</v>
      </c>
      <c r="E45" s="165" t="s">
        <v>2169</v>
      </c>
      <c r="F45" s="166">
        <v>1</v>
      </c>
      <c r="G45" s="167" t="s">
        <v>2170</v>
      </c>
      <c r="H45" s="138"/>
      <c r="I45" s="138"/>
      <c r="J45" s="3225" t="s">
        <v>2171</v>
      </c>
      <c r="K45" s="3225"/>
      <c r="L45" s="3225"/>
      <c r="M45" s="3225"/>
      <c r="N45" s="3225"/>
      <c r="O45" s="3225"/>
    </row>
    <row r="46" spans="1:15" ht="14.25" customHeight="1">
      <c r="A46" s="3226" t="s">
        <v>2172</v>
      </c>
      <c r="B46" s="3227"/>
      <c r="C46" s="3227"/>
      <c r="D46" s="3227"/>
      <c r="E46" s="3227"/>
      <c r="F46" s="3227"/>
      <c r="G46" s="3228"/>
      <c r="H46" s="2473"/>
      <c r="I46" s="168"/>
      <c r="J46" s="2946">
        <v>1</v>
      </c>
      <c r="K46" s="3225" t="s">
        <v>2173</v>
      </c>
      <c r="L46" s="3225"/>
      <c r="M46" s="3229"/>
      <c r="N46" s="3229"/>
      <c r="O46" s="3229"/>
    </row>
    <row r="47" spans="1:15" ht="12" customHeight="1">
      <c r="A47" s="169" t="s">
        <v>2174</v>
      </c>
      <c r="B47" s="170"/>
      <c r="C47" s="171"/>
      <c r="D47" s="172" t="s">
        <v>2175</v>
      </c>
      <c r="E47" s="24" t="s">
        <v>2176</v>
      </c>
      <c r="F47" s="173" t="s">
        <v>2177</v>
      </c>
      <c r="G47" s="174" t="s">
        <v>2178</v>
      </c>
      <c r="H47" s="2473"/>
      <c r="I47" s="168"/>
      <c r="J47" s="2946">
        <v>2</v>
      </c>
      <c r="K47" s="3225" t="s">
        <v>2179</v>
      </c>
      <c r="L47" s="3225"/>
      <c r="M47" s="3230">
        <f>'数据-取费表'!B2</f>
        <v>43581</v>
      </c>
      <c r="N47" s="3230"/>
      <c r="O47" s="3230"/>
    </row>
    <row r="48" spans="1:15" ht="25.5">
      <c r="A48" s="3231" t="s">
        <v>2180</v>
      </c>
      <c r="B48" s="3232"/>
      <c r="C48" s="3232"/>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25" t="s">
        <v>2183</v>
      </c>
      <c r="L48" s="3225"/>
      <c r="M48" s="3233">
        <f ca="1">H101</f>
        <v>382862</v>
      </c>
      <c r="N48" s="3233"/>
      <c r="O48" s="3233"/>
    </row>
    <row r="49" spans="1:35" ht="25.5" customHeight="1">
      <c r="A49" s="176" t="s">
        <v>2184</v>
      </c>
      <c r="B49" s="3234" t="s">
        <v>2185</v>
      </c>
      <c r="C49" s="3234"/>
      <c r="D49" s="177">
        <v>0</v>
      </c>
      <c r="E49" s="23" t="s">
        <v>2186</v>
      </c>
      <c r="F49" s="28" t="s">
        <v>34</v>
      </c>
      <c r="G49" s="3235"/>
      <c r="H49" s="138"/>
      <c r="I49" s="2476"/>
      <c r="J49" s="2946">
        <v>4</v>
      </c>
      <c r="K49" s="3225" t="str">
        <f>IF(项目基本情况!E8="房地产抵押价值","房地产抵押价值","抵押担保权已注销时的房地产抵押价值")</f>
        <v>房地产抵押价值</v>
      </c>
      <c r="L49" s="3225"/>
      <c r="M49" s="3233">
        <f ca="1">IF(项目基本情况!E8="房地产抵押价值",H107,H109)</f>
        <v>382862</v>
      </c>
      <c r="N49" s="3233"/>
      <c r="O49" s="3233"/>
    </row>
    <row r="50" spans="1:35" ht="25.5" customHeight="1">
      <c r="A50" s="178"/>
      <c r="B50" s="3234" t="s">
        <v>2187</v>
      </c>
      <c r="C50" s="3234"/>
      <c r="D50" s="179"/>
      <c r="E50" s="31"/>
      <c r="F50" s="180"/>
      <c r="G50" s="3236"/>
      <c r="H50" s="138"/>
      <c r="I50" s="2476"/>
      <c r="J50" s="3225" t="s">
        <v>2188</v>
      </c>
      <c r="K50" s="3225"/>
      <c r="L50" s="3225"/>
      <c r="M50" s="3225"/>
      <c r="N50" s="3225"/>
      <c r="O50" s="3225"/>
    </row>
    <row r="51" spans="1:35" ht="12" customHeight="1">
      <c r="A51" s="181"/>
      <c r="B51" s="3234" t="s">
        <v>2189</v>
      </c>
      <c r="C51" s="3234"/>
      <c r="D51" s="182"/>
      <c r="E51" s="30"/>
      <c r="F51" s="180"/>
      <c r="G51" s="3237"/>
      <c r="H51" s="138"/>
      <c r="I51" s="2476"/>
      <c r="J51" s="2939" t="s">
        <v>2190</v>
      </c>
      <c r="K51" s="3225" t="s">
        <v>2191</v>
      </c>
      <c r="L51" s="3225"/>
      <c r="M51" s="2939" t="s">
        <v>2192</v>
      </c>
      <c r="N51" s="2939" t="s">
        <v>2193</v>
      </c>
      <c r="O51" s="2939" t="s">
        <v>2194</v>
      </c>
    </row>
    <row r="52" spans="1:35" ht="24" customHeight="1">
      <c r="A52" s="183" t="s">
        <v>2195</v>
      </c>
      <c r="B52" s="3234" t="s">
        <v>2196</v>
      </c>
      <c r="C52" s="3234"/>
      <c r="D52" s="182">
        <f ca="1">ROUND(D45*'数据-取费表'!B41/(1+'数据-取费表'!C42),0)</f>
        <v>20419</v>
      </c>
      <c r="E52" s="11" t="s">
        <v>2197</v>
      </c>
      <c r="F52" s="184">
        <f>'数据-取费表'!B41</f>
        <v>5.6000000000000001E-2</v>
      </c>
      <c r="G52" s="2478"/>
      <c r="H52" s="138"/>
      <c r="I52" s="2476"/>
      <c r="J52" s="2946">
        <v>1</v>
      </c>
      <c r="K52" s="3240" t="s">
        <v>2198</v>
      </c>
      <c r="L52" s="3240"/>
      <c r="M52" s="1750">
        <f>D48</f>
        <v>0</v>
      </c>
      <c r="N52" s="2946" t="str">
        <f>E48</f>
        <v>销售额×税（费）率</v>
      </c>
      <c r="O52" s="1751" t="str">
        <f>F48</f>
        <v>免征</v>
      </c>
    </row>
    <row r="53" spans="1:35" ht="12" customHeight="1">
      <c r="A53" s="183" t="s">
        <v>2199</v>
      </c>
      <c r="B53" s="3238" t="s">
        <v>2200</v>
      </c>
      <c r="C53" s="3239"/>
      <c r="D53" s="182">
        <f ca="1">ROUND(D45*'数据-取费表'!B41/(1+'数据-取费表'!C42),0)</f>
        <v>20419</v>
      </c>
      <c r="E53" s="11" t="s">
        <v>2197</v>
      </c>
      <c r="F53" s="184">
        <f>'数据-取费表'!B41</f>
        <v>5.6000000000000001E-2</v>
      </c>
      <c r="G53" s="2478"/>
      <c r="H53" s="138"/>
      <c r="I53" s="2476"/>
      <c r="J53" s="2946">
        <v>2</v>
      </c>
      <c r="K53" s="3240" t="s">
        <v>2201</v>
      </c>
      <c r="L53" s="3240"/>
      <c r="M53" s="1750">
        <f t="shared" ref="M53:O54" ca="1" si="0">D55</f>
        <v>191</v>
      </c>
      <c r="N53" s="2946" t="str">
        <f t="shared" si="0"/>
        <v>销售额×税（费）率</v>
      </c>
      <c r="O53" s="1751">
        <f t="shared" si="0"/>
        <v>5.0000000000000001E-4</v>
      </c>
    </row>
    <row r="54" spans="1:35" ht="12" customHeight="1">
      <c r="A54" s="183" t="s">
        <v>2202</v>
      </c>
      <c r="B54" s="3238" t="s">
        <v>2203</v>
      </c>
      <c r="C54" s="3239"/>
      <c r="D54" s="182">
        <f ca="1">C68</f>
        <v>20419</v>
      </c>
      <c r="E54" s="30" t="s">
        <v>2204</v>
      </c>
      <c r="F54" s="184">
        <f>'数据-取费表'!B41</f>
        <v>5.6000000000000001E-2</v>
      </c>
      <c r="G54" s="2478"/>
      <c r="H54" s="2479"/>
      <c r="I54" s="2476"/>
      <c r="J54" s="2946">
        <v>3</v>
      </c>
      <c r="K54" s="3240" t="s">
        <v>2205</v>
      </c>
      <c r="L54" s="3240"/>
      <c r="M54" s="1750">
        <f t="shared" ca="1" si="0"/>
        <v>216699</v>
      </c>
      <c r="N54" s="2946" t="str">
        <f t="shared" si="0"/>
        <v>增值额×税（费）率</v>
      </c>
      <c r="O54" s="1752" t="str">
        <f t="shared" si="0"/>
        <v>——</v>
      </c>
    </row>
    <row r="55" spans="1:35" ht="24" customHeight="1">
      <c r="A55" s="3241" t="s">
        <v>2206</v>
      </c>
      <c r="B55" s="3232"/>
      <c r="C55" s="3232"/>
      <c r="D55" s="185">
        <f ca="1">IF(H55="个人住宅",0,ROUND(D45*I55,0))</f>
        <v>191</v>
      </c>
      <c r="E55" s="11" t="s">
        <v>2207</v>
      </c>
      <c r="F55" s="184">
        <f>IF(H55="正常",I55,"免征")</f>
        <v>5.0000000000000001E-4</v>
      </c>
      <c r="G55" s="2478"/>
      <c r="H55" s="2475" t="s">
        <v>2208</v>
      </c>
      <c r="I55" s="186">
        <f>'数据-取费表'!B49</f>
        <v>5.0000000000000001E-4</v>
      </c>
      <c r="J55" s="2946" t="str">
        <f>IF(H59="非个人房产","",4)</f>
        <v/>
      </c>
      <c r="K55" s="3240" t="str">
        <f>IF(H59="非个人房产","——","个人所得税")</f>
        <v>——</v>
      </c>
      <c r="L55" s="3240"/>
      <c r="M55" s="1753" t="str">
        <f>D59</f>
        <v>——</v>
      </c>
      <c r="N55" s="2947" t="str">
        <f>E59</f>
        <v>——</v>
      </c>
      <c r="O55" s="1754" t="str">
        <f>F59</f>
        <v>——</v>
      </c>
    </row>
    <row r="56" spans="1:35" ht="24.75">
      <c r="A56" s="3241" t="s">
        <v>2209</v>
      </c>
      <c r="B56" s="3232"/>
      <c r="C56" s="3232"/>
      <c r="D56" s="185">
        <f ca="1">IF(H56="个人住宅",D57,D58)</f>
        <v>216699</v>
      </c>
      <c r="E56" s="11" t="s">
        <v>2210</v>
      </c>
      <c r="F56" s="184" t="str">
        <f>IF(H56="正常",F58,"免征")</f>
        <v>——</v>
      </c>
      <c r="G56" s="2480" t="s">
        <v>2211</v>
      </c>
      <c r="H56" s="2481" t="s">
        <v>2208</v>
      </c>
      <c r="I56" s="2482"/>
      <c r="J56" s="2946" t="str">
        <f>IF(项目基本情况!K6="上海银行",IF(J55="",4,J55+1),"")</f>
        <v/>
      </c>
      <c r="K56" s="3242" t="str">
        <f>IF(项目基本情况!K6="上海银行","其他处置费用","")</f>
        <v/>
      </c>
      <c r="L56" s="3243"/>
      <c r="M56" s="1750" t="str">
        <f>IF(项目基本情况!K6="上海银行",M69,"")</f>
        <v/>
      </c>
      <c r="N56" s="3250" t="str">
        <f>IF(项目基本情况!K6="上海银行","包含处置中涉及的律师、诉讼、拍卖、评估等费用","")</f>
        <v/>
      </c>
      <c r="O56" s="3251"/>
    </row>
    <row r="57" spans="1:35" ht="12.75">
      <c r="A57" s="183" t="s">
        <v>2184</v>
      </c>
      <c r="B57" s="3213" t="s">
        <v>2212</v>
      </c>
      <c r="C57" s="3215"/>
      <c r="D57" s="187">
        <v>0</v>
      </c>
      <c r="E57" s="23" t="s">
        <v>2186</v>
      </c>
      <c r="F57" s="155"/>
      <c r="G57" s="2478"/>
      <c r="H57" s="2482"/>
      <c r="I57" s="2482"/>
      <c r="J57" s="3240">
        <f>IF(AND(J55="",J56=""),4,IF(项目基本情况!K6="上海银行",'结果表111 '!J56+1,'结果表111 '!J55+1))</f>
        <v>4</v>
      </c>
      <c r="K57" s="3240" t="s">
        <v>2213</v>
      </c>
      <c r="L57" s="2483" t="s">
        <v>2214</v>
      </c>
      <c r="M57" s="1755"/>
      <c r="N57" s="1756">
        <f ca="1">SUMIF(M52:M56,"&lt;9e307")</f>
        <v>216890</v>
      </c>
      <c r="O57" s="2484"/>
      <c r="P57" s="1749">
        <f ca="1">N57/M49</f>
        <v>0.56649654444682418</v>
      </c>
    </row>
    <row r="58" spans="1:35" ht="24.75">
      <c r="A58" s="183" t="s">
        <v>2195</v>
      </c>
      <c r="B58" s="3213" t="s">
        <v>2215</v>
      </c>
      <c r="C58" s="3214"/>
      <c r="D58" s="185">
        <f ca="1">IF(H58="转让取得",C81,C97)</f>
        <v>216699</v>
      </c>
      <c r="E58" s="11" t="s">
        <v>2210</v>
      </c>
      <c r="F58" s="24" t="s">
        <v>34</v>
      </c>
      <c r="G58" s="2478"/>
      <c r="H58" s="2481" t="s">
        <v>2216</v>
      </c>
      <c r="I58" s="2482"/>
      <c r="J58" s="3240"/>
      <c r="K58" s="3240"/>
      <c r="L58" s="2483" t="s">
        <v>2217</v>
      </c>
      <c r="M58" s="1757"/>
      <c r="N58" s="2485" t="str">
        <f ca="1">NUMBERSTRING(INT(N57*10000),2)&amp;"元整"</f>
        <v>贰拾壹亿陆仟捌佰玖拾万元整</v>
      </c>
      <c r="O58" s="2486"/>
    </row>
    <row r="59" spans="1:35" ht="24.75" thickBot="1">
      <c r="A59" s="3252" t="s">
        <v>2218</v>
      </c>
      <c r="B59" s="3253"/>
      <c r="C59" s="3253"/>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4">
        <f>J57+1</f>
        <v>5</v>
      </c>
      <c r="K59" s="3240" t="s">
        <v>2220</v>
      </c>
      <c r="L59" s="2946" t="s">
        <v>2214</v>
      </c>
      <c r="M59" s="1758"/>
      <c r="N59" s="1759">
        <f ca="1">M49-N57</f>
        <v>165972</v>
      </c>
      <c r="O59" s="2488"/>
    </row>
    <row r="60" spans="1:35" ht="12" customHeight="1">
      <c r="A60" s="2489"/>
      <c r="B60" s="2411"/>
      <c r="C60" s="2411"/>
      <c r="D60" s="2411"/>
      <c r="E60" s="2161"/>
      <c r="F60" s="2482"/>
      <c r="G60" s="2482"/>
      <c r="H60" s="2490"/>
      <c r="I60" s="138"/>
      <c r="J60" s="3255"/>
      <c r="K60" s="3240"/>
      <c r="L60" s="2483" t="s">
        <v>2217</v>
      </c>
      <c r="M60" s="1757"/>
      <c r="N60" s="2485" t="str">
        <f ca="1">NUMBERSTRING(INT(N59*10000),2)&amp;"元整"</f>
        <v>壹拾陆亿伍仟玖佰柒拾贰万元整</v>
      </c>
      <c r="O60" s="2486"/>
    </row>
    <row r="61" spans="1:35" ht="13.5" thickBot="1">
      <c r="A61" s="3244" t="s">
        <v>2221</v>
      </c>
      <c r="B61" s="3244"/>
      <c r="C61" s="3244"/>
      <c r="D61" s="3244"/>
      <c r="E61" s="3244"/>
      <c r="F61" s="2482"/>
      <c r="G61" s="2482"/>
      <c r="H61" s="2490"/>
      <c r="I61" s="138"/>
      <c r="J61" s="2946">
        <f>J59+1</f>
        <v>6</v>
      </c>
      <c r="K61" s="3240" t="s">
        <v>2222</v>
      </c>
      <c r="L61" s="3240"/>
      <c r="M61" s="1760"/>
      <c r="N61" s="1761">
        <f ca="1">ROUND(N59*10000/'数据-汇总表'!E3,0)</f>
        <v>16797</v>
      </c>
      <c r="O61" s="2491"/>
    </row>
    <row r="62" spans="1:35" ht="12.75">
      <c r="A62" s="3245" t="s">
        <v>2223</v>
      </c>
      <c r="B62" s="3246"/>
      <c r="C62" s="2952"/>
      <c r="D62" s="2952" t="s">
        <v>2224</v>
      </c>
      <c r="E62" s="192" t="s">
        <v>2225</v>
      </c>
      <c r="F62" s="2482"/>
      <c r="G62" s="2482"/>
      <c r="H62" s="2490"/>
      <c r="I62" s="138"/>
    </row>
    <row r="63" spans="1:35" ht="12.75">
      <c r="A63" s="203" t="s">
        <v>775</v>
      </c>
      <c r="B63" s="193" t="s">
        <v>2226</v>
      </c>
      <c r="C63" s="194">
        <f ca="1">ROUND((C64+C65)/(1+'数据-取费表'!C42),0)</f>
        <v>364630</v>
      </c>
      <c r="D63" s="195"/>
      <c r="E63" s="196"/>
      <c r="F63" s="2482"/>
      <c r="G63" s="2482"/>
      <c r="H63" s="2490"/>
      <c r="I63" s="138"/>
      <c r="J63" s="3247" t="s">
        <v>2227</v>
      </c>
      <c r="K63" s="2942" t="s">
        <v>2228</v>
      </c>
      <c r="L63" s="1748">
        <f ca="1">IF(M49&gt;10000,M49*0.5%,IF(AND(M49&gt;1000,M49&lt;=10000),M49*1%,IF(AND(M49&gt;100,M49&lt;=1000),M49*3%,IF(AND(M49&gt;10,M49&lt;=100),M49*5%,M49*8%))))</f>
        <v>1914.31</v>
      </c>
      <c r="M63" s="24">
        <f ca="1">ROUND(L63,1)</f>
        <v>1914.3</v>
      </c>
      <c r="Z63" s="2416"/>
      <c r="AI63" s="2417"/>
    </row>
    <row r="64" spans="1:35" ht="14.25" customHeight="1">
      <c r="A64" s="197" t="s">
        <v>770</v>
      </c>
      <c r="B64" s="198" t="s">
        <v>2229</v>
      </c>
      <c r="C64" s="199">
        <f ca="1">D45</f>
        <v>382862</v>
      </c>
      <c r="D64" s="200" t="s">
        <v>32</v>
      </c>
      <c r="E64" s="201"/>
      <c r="F64" s="2482"/>
      <c r="G64" s="2482"/>
      <c r="H64" s="2490"/>
      <c r="I64" s="138"/>
      <c r="J64" s="3247"/>
      <c r="K64" s="2942" t="s">
        <v>2230</v>
      </c>
      <c r="L64" s="1748">
        <f ca="1">IF(M49&gt;2000,M49*0.5%,IF(AND(M49&gt;1000,M49&lt;=2000),M49*0.6%,IF(AND(M49&gt;500,M49&lt;=1000),M49*0.7%,IF(AND(M49&gt;200,M49&lt;=500),M49*0.8%,IF(AND(M49&gt;100,M49&lt;=200),M49*0.9%,IF(AND(M49&gt;50,M49&lt;=100),M49*1%,IF(AND(M49&gt;20,M49&lt;=50),M49*1.5%,IF(AND(M49&gt;10,M49&lt;=20),M49*2%,IF(AND(M49&gt;1,M49&lt;=10),M49*2.5%)))))))))</f>
        <v>1914.31</v>
      </c>
      <c r="M64" s="24">
        <f t="shared" ref="M64:M65" ca="1" si="1">ROUND(L64,1)</f>
        <v>1914.3</v>
      </c>
      <c r="N64" s="138" t="s">
        <v>2231</v>
      </c>
      <c r="Z64" s="2416"/>
      <c r="AI64" s="2417"/>
    </row>
    <row r="65" spans="1:35" ht="14.25" customHeight="1">
      <c r="A65" s="197" t="s">
        <v>771</v>
      </c>
      <c r="B65" s="198" t="s">
        <v>2232</v>
      </c>
      <c r="C65" s="202"/>
      <c r="D65" s="200"/>
      <c r="E65" s="201"/>
      <c r="F65" s="2482"/>
      <c r="G65" s="2482"/>
      <c r="H65" s="2490"/>
      <c r="I65" s="138"/>
      <c r="J65" s="3247"/>
      <c r="K65" s="2942" t="s">
        <v>2233</v>
      </c>
      <c r="L65" s="1748">
        <f ca="1">IF(M49&gt;1000,M49*0.1%,IF(AND(M49&gt;500,M49&lt;=1000),M49*0.5%,IF(AND(M49&gt;50,M49&lt;=500),M49*1%,IF(AND(M49&gt;1,M49&lt;=50),M49*1.5%))))</f>
        <v>382.86200000000002</v>
      </c>
      <c r="M65" s="24">
        <f t="shared" ca="1" si="1"/>
        <v>382.9</v>
      </c>
      <c r="N65" s="138" t="s">
        <v>2231</v>
      </c>
      <c r="Z65" s="2416"/>
      <c r="AI65" s="2417"/>
    </row>
    <row r="66" spans="1:35" ht="14.25" customHeight="1">
      <c r="A66" s="203" t="s">
        <v>772</v>
      </c>
      <c r="B66" s="204" t="s">
        <v>2234</v>
      </c>
      <c r="C66" s="205"/>
      <c r="D66" s="206" t="s">
        <v>32</v>
      </c>
      <c r="E66" s="1771" t="s">
        <v>1365</v>
      </c>
      <c r="F66" s="2482"/>
      <c r="G66" s="2482"/>
      <c r="H66" s="2490"/>
      <c r="I66" s="138"/>
      <c r="J66" s="3247"/>
      <c r="K66" s="2942" t="s">
        <v>2235</v>
      </c>
      <c r="L66" s="1748">
        <f ca="1">M49*0.5%</f>
        <v>1914.31</v>
      </c>
      <c r="M66" s="24">
        <f ca="1">IF(L66&gt;0.5,0.5,ROUND(L66,0))</f>
        <v>0.5</v>
      </c>
      <c r="N66" s="138" t="s">
        <v>2236</v>
      </c>
      <c r="Z66" s="2416"/>
      <c r="AI66" s="2417"/>
    </row>
    <row r="67" spans="1:35" ht="14.25" customHeight="1">
      <c r="A67" s="203" t="s">
        <v>773</v>
      </c>
      <c r="B67" s="204" t="s">
        <v>2237</v>
      </c>
      <c r="C67" s="207">
        <f ca="1">C63-C66</f>
        <v>364630</v>
      </c>
      <c r="D67" s="200" t="s">
        <v>32</v>
      </c>
      <c r="E67" s="201"/>
      <c r="F67" s="2482"/>
      <c r="G67" s="2482"/>
      <c r="H67" s="2490"/>
      <c r="I67" s="138"/>
      <c r="J67" s="3247"/>
      <c r="K67" s="2942" t="s">
        <v>2238</v>
      </c>
      <c r="L67" s="1748">
        <f ca="1">IF(M49&gt;=10000,(8.25+(M49-10000)*0.01%),IF(AND(M49&gt;=8000,M49&lt;10000),(7.85+(M49-8000)*0.02%),IF(AND(M49&gt;=5000,M49&lt;8000),(6.65+(M49-5000)*0.04%),IF(AND(M49&gt;=2000,M49&lt;5000),(4.25+(PM49-2000)*0.08%),IF(AND(M49&gt;=1000,M49&lt;2000),(2.75+(M49-1000)*0.15%),IF(AND(M49&gt;=100,M49&lt;1000),(0.5+(M49-100)*0.25%),IF(AND(M49&gt;0,M49&lt;100),M49*0.5%)))))))</f>
        <v>45.536200000000001</v>
      </c>
      <c r="M67" s="24">
        <f ca="1">ROUND(L67*0.9,1)</f>
        <v>41</v>
      </c>
      <c r="Z67" s="2416"/>
      <c r="AI67" s="2417"/>
    </row>
    <row r="68" spans="1:35" ht="14.25" customHeight="1" thickBot="1">
      <c r="A68" s="208" t="s">
        <v>774</v>
      </c>
      <c r="B68" s="209" t="s">
        <v>2239</v>
      </c>
      <c r="C68" s="210">
        <f ca="1">IF(C67&lt;=0,0,ROUND(C67*D68,0))</f>
        <v>20419</v>
      </c>
      <c r="D68" s="211">
        <f>'数据-取费表'!B41</f>
        <v>5.6000000000000001E-2</v>
      </c>
      <c r="E68" s="212"/>
      <c r="F68" s="2482"/>
      <c r="G68" s="2482"/>
      <c r="H68" s="2490"/>
      <c r="I68" s="138"/>
      <c r="J68" s="3247"/>
      <c r="K68" s="2942" t="s">
        <v>2240</v>
      </c>
      <c r="L68" s="1748">
        <f ca="1">IF(M49&gt;10000,M49*0.5%,IF(AND(M49&gt;5000,M49&lt;=10000),M49*1%,IF(AND(M49&gt;1000,M49&lt;=5000),M49*2%,IF(AND(M49&gt;200,M49&lt;=1000),M49*3%,M49*5%))))</f>
        <v>1914.31</v>
      </c>
      <c r="M68" s="24">
        <f ca="1">ROUND(L68,1)</f>
        <v>1914.3</v>
      </c>
      <c r="Z68" s="2416"/>
      <c r="AI68" s="2417"/>
    </row>
    <row r="69" spans="1:35" s="2439" customFormat="1" ht="16.5" customHeight="1">
      <c r="A69" s="2493"/>
      <c r="B69" s="2494"/>
      <c r="C69" s="2495"/>
      <c r="D69" s="2496"/>
      <c r="E69" s="2497"/>
      <c r="F69" s="2161"/>
      <c r="G69" s="2161"/>
      <c r="H69" s="2160"/>
      <c r="I69" s="2411"/>
      <c r="J69" s="3247"/>
      <c r="K69" s="2942" t="s">
        <v>2241</v>
      </c>
      <c r="L69" s="2498"/>
      <c r="M69" s="24">
        <f ca="1">ROUND(SUM(M63:M68),0)</f>
        <v>6167</v>
      </c>
      <c r="N69" s="1749">
        <f ca="1">M69/M49</f>
        <v>1.6107631470347019E-2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8" t="s">
        <v>2242</v>
      </c>
      <c r="B70" s="3249"/>
      <c r="C70" s="3249"/>
      <c r="D70" s="3249"/>
      <c r="E70" s="3249"/>
      <c r="F70" s="3249"/>
      <c r="G70" s="3249"/>
      <c r="H70" s="324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5" t="s">
        <v>2223</v>
      </c>
      <c r="B71" s="3246"/>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364630</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2188</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8" t="s">
        <v>2251</v>
      </c>
      <c r="F76" s="3234"/>
      <c r="G76" s="3234"/>
      <c r="H76" s="32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2188</v>
      </c>
      <c r="D78" s="226">
        <f>'数据-取费表'!B43</f>
        <v>6.000000000000001E-3</v>
      </c>
      <c r="E78" s="3256" t="s">
        <v>2256</v>
      </c>
      <c r="F78" s="3257"/>
      <c r="G78" s="3257"/>
      <c r="H78" s="325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f ca="1">C72-C73</f>
        <v>362442</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165.64990859232176</v>
      </c>
      <c r="D80" s="200" t="s">
        <v>32</v>
      </c>
      <c r="E80" s="2943"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216699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8" t="s">
        <v>2260</v>
      </c>
      <c r="B83" s="3249"/>
      <c r="C83" s="3249"/>
      <c r="D83" s="3249"/>
      <c r="E83" s="3249"/>
      <c r="F83" s="3249"/>
      <c r="G83" s="3249"/>
      <c r="H83" s="324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5" t="s">
        <v>2223</v>
      </c>
      <c r="B84" s="3246"/>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364630</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2188</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6" t="s">
        <v>2269</v>
      </c>
      <c r="F91" s="3257"/>
      <c r="G91" s="3257"/>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6" t="s">
        <v>2273</v>
      </c>
      <c r="F92" s="3257"/>
      <c r="G92" s="3257"/>
      <c r="H92" s="325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2188</v>
      </c>
      <c r="D93" s="226">
        <f>'数据-取费表'!B43</f>
        <v>6.000000000000001E-3</v>
      </c>
      <c r="E93" s="3256" t="s">
        <v>2256</v>
      </c>
      <c r="F93" s="3257"/>
      <c r="G93" s="3257"/>
      <c r="H93" s="325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9" t="s">
        <v>2277</v>
      </c>
      <c r="F94" s="3260"/>
      <c r="G94" s="3260"/>
      <c r="H94" s="326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f ca="1">ROUND(C85-C86,0)</f>
        <v>362442</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165.64990859232176</v>
      </c>
      <c r="D96" s="200" t="s">
        <v>32</v>
      </c>
      <c r="E96" s="2943"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216699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62"/>
      <c r="E100" s="3168" t="s">
        <v>2280</v>
      </c>
      <c r="F100" s="3168"/>
      <c r="G100" s="3168"/>
      <c r="H100" s="3262"/>
      <c r="I100" s="138"/>
    </row>
    <row r="101" spans="1:35" ht="18.75" customHeight="1">
      <c r="A101" s="3263" t="s">
        <v>2281</v>
      </c>
      <c r="B101" s="3264"/>
      <c r="C101" s="736" t="str">
        <f>C4</f>
        <v>收益法（汇总）</v>
      </c>
      <c r="D101" s="737" t="str">
        <f>D4</f>
        <v>成本法</v>
      </c>
      <c r="E101" s="3265" t="s">
        <v>2282</v>
      </c>
      <c r="F101" s="3266"/>
      <c r="G101" s="2513" t="s">
        <v>2283</v>
      </c>
      <c r="H101" s="1046">
        <f ca="1">H118</f>
        <v>382862</v>
      </c>
      <c r="I101" s="138"/>
    </row>
    <row r="102" spans="1:35" ht="18.75" customHeight="1">
      <c r="A102" s="3267" t="s">
        <v>2284</v>
      </c>
      <c r="B102" s="2513" t="s">
        <v>2283</v>
      </c>
      <c r="C102" s="736">
        <f ca="1">C19</f>
        <v>293350</v>
      </c>
      <c r="D102" s="737">
        <f ca="1">D19</f>
        <v>472374</v>
      </c>
      <c r="E102" s="3265"/>
      <c r="F102" s="3266"/>
      <c r="G102" s="2513" t="s">
        <v>2285</v>
      </c>
      <c r="H102" s="371">
        <f ca="1">I118</f>
        <v>38747</v>
      </c>
      <c r="I102" s="138"/>
    </row>
    <row r="103" spans="1:35" ht="42.75" customHeight="1">
      <c r="A103" s="3267"/>
      <c r="B103" s="2513" t="s">
        <v>2285</v>
      </c>
      <c r="C103" s="738">
        <f ca="1">C20</f>
        <v>29688</v>
      </c>
      <c r="D103" s="739">
        <f ca="1">D20</f>
        <v>47806</v>
      </c>
      <c r="E103" s="3268" t="s">
        <v>2286</v>
      </c>
      <c r="F103" s="3269"/>
      <c r="G103" s="2514" t="s">
        <v>2287</v>
      </c>
      <c r="H103" s="1046">
        <f>IF(D36="正常操作",H104+H105+H106,H105+H106)</f>
        <v>0</v>
      </c>
      <c r="I103" s="138"/>
    </row>
    <row r="104" spans="1:35" ht="18.75" customHeight="1">
      <c r="A104" s="3267" t="s">
        <v>2288</v>
      </c>
      <c r="B104" s="2515" t="s">
        <v>2283</v>
      </c>
      <c r="C104" s="740">
        <f ca="1">H118</f>
        <v>382862</v>
      </c>
      <c r="D104" s="741"/>
      <c r="E104" s="2261" t="s">
        <v>2289</v>
      </c>
      <c r="F104" s="2253"/>
      <c r="G104" s="2514" t="s">
        <v>2287</v>
      </c>
      <c r="H104" s="1047">
        <f>IF(D36="同一抵押权人同一抵押物续贷",C36&amp;"（未扣减，详见特别提示）",C36)</f>
        <v>0</v>
      </c>
      <c r="I104" s="138"/>
    </row>
    <row r="105" spans="1:35" ht="18.75" customHeight="1" thickBot="1">
      <c r="A105" s="3276"/>
      <c r="B105" s="2516" t="s">
        <v>2285</v>
      </c>
      <c r="C105" s="742">
        <f ca="1">I118</f>
        <v>38747</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7" t="str">
        <f>IF(项目基本情况!E8="已注销","——","3.房地产抵押价值")</f>
        <v>3.房地产抵押价值</v>
      </c>
      <c r="F107" s="3266"/>
      <c r="G107" s="2513" t="s">
        <v>2283</v>
      </c>
      <c r="H107" s="1046">
        <f ca="1">IF(E107="——","——",H101-H103)</f>
        <v>382862</v>
      </c>
      <c r="I107" s="138"/>
    </row>
    <row r="108" spans="1:35" ht="18.75" customHeight="1">
      <c r="A108" s="138"/>
      <c r="B108" s="138"/>
      <c r="C108" s="138"/>
      <c r="D108" s="138"/>
      <c r="E108" s="3277"/>
      <c r="F108" s="3266"/>
      <c r="G108" s="2513" t="s">
        <v>2285</v>
      </c>
      <c r="H108" s="371">
        <f ca="1">ROUND(H107*10000/'数据-汇总表'!E3,0)</f>
        <v>38747</v>
      </c>
      <c r="I108" s="138"/>
    </row>
    <row r="109" spans="1:35" ht="18.75" customHeight="1">
      <c r="A109" s="138"/>
      <c r="B109" s="138"/>
      <c r="C109" s="138"/>
      <c r="D109" s="138"/>
      <c r="E109" s="3277" t="str">
        <f>IF(项目基本情况!E8="已注销及未注销","4.抵押担保权已注销时的房地产抵押价值",IF(项目基本情况!E8="已注销","3.抵押担保权已注销时的房地产抵押价值","——"))</f>
        <v>——</v>
      </c>
      <c r="F109" s="3266"/>
      <c r="G109" s="2513" t="s">
        <v>2283</v>
      </c>
      <c r="H109" s="348" t="str">
        <f>IF(E109="——","——",H101-H105-H106)</f>
        <v>——</v>
      </c>
      <c r="I109" s="138"/>
    </row>
    <row r="110" spans="1:35" ht="18.75" customHeight="1">
      <c r="A110" s="138"/>
      <c r="B110" s="138"/>
      <c r="C110" s="138"/>
      <c r="D110" s="138"/>
      <c r="E110" s="3277"/>
      <c r="F110" s="3266"/>
      <c r="G110" s="2513" t="s">
        <v>2285</v>
      </c>
      <c r="H110" s="371" t="str">
        <f>IF(H109="——","——",ROUND(H109*10000/'数据-汇总表'!E3,0))</f>
        <v>——</v>
      </c>
      <c r="I110" s="138"/>
    </row>
    <row r="111" spans="1:35" ht="18.75" customHeight="1">
      <c r="A111" s="138"/>
      <c r="B111" s="138"/>
      <c r="C111" s="138"/>
      <c r="D111" s="138"/>
      <c r="E111" s="3278" t="str">
        <f>IF(项目基本情况!E9="抵押净值",IF(OR(项目基本情况!E8="已注销",项目基本情况!E8="房地产抵押价值"),"4.抵押净值","5.抵押净值"),"——")</f>
        <v>——</v>
      </c>
      <c r="F111" s="3279"/>
      <c r="G111" s="2513" t="s">
        <v>2283</v>
      </c>
      <c r="H111" s="1046" t="str">
        <f>IF(E111="——","——",N59)</f>
        <v>——</v>
      </c>
      <c r="I111" s="138"/>
    </row>
    <row r="112" spans="1:35" ht="18.75" customHeight="1" thickBot="1">
      <c r="A112" s="138"/>
      <c r="B112" s="138"/>
      <c r="C112" s="138"/>
      <c r="D112" s="138"/>
      <c r="E112" s="3280"/>
      <c r="F112" s="3281"/>
      <c r="G112" s="2518" t="s">
        <v>2285</v>
      </c>
      <c r="H112" s="790" t="str">
        <f>IF(E111="——","——",N61)</f>
        <v>——</v>
      </c>
      <c r="I112" s="138"/>
    </row>
    <row r="113" spans="1:11" ht="18.75" customHeight="1">
      <c r="A113" s="138"/>
      <c r="B113" s="138"/>
      <c r="C113" s="138"/>
      <c r="D113" s="138"/>
      <c r="E113" s="3282" t="s">
        <v>2291</v>
      </c>
      <c r="F113" s="3282"/>
      <c r="G113" s="3282"/>
      <c r="H113" s="3282"/>
      <c r="I113" s="138"/>
    </row>
    <row r="114" spans="1:11" ht="3.75" customHeight="1">
      <c r="A114" s="2411"/>
      <c r="B114" s="2411"/>
      <c r="C114" s="2411"/>
      <c r="D114" s="2411"/>
      <c r="E114" s="2489"/>
      <c r="F114" s="2489"/>
      <c r="G114" s="2489"/>
      <c r="H114" s="2489"/>
      <c r="I114" s="2411"/>
    </row>
    <row r="115" spans="1:11" ht="18.75" customHeight="1">
      <c r="A115" s="3283" t="s">
        <v>2293</v>
      </c>
      <c r="B115" s="3284"/>
      <c r="C115" s="3284"/>
      <c r="D115" s="3284"/>
      <c r="E115" s="3284"/>
      <c r="F115" s="3284"/>
      <c r="G115" s="3284"/>
      <c r="H115" s="3284"/>
      <c r="I115" s="3285"/>
    </row>
    <row r="116" spans="1:11" ht="27" customHeight="1">
      <c r="A116" s="3126" t="s">
        <v>2294</v>
      </c>
      <c r="B116" s="3271" t="s">
        <v>2295</v>
      </c>
      <c r="C116" s="3271" t="s">
        <v>2296</v>
      </c>
      <c r="D116" s="3273" t="s">
        <v>2297</v>
      </c>
      <c r="E116" s="3274"/>
      <c r="F116" s="3275" t="s">
        <v>2298</v>
      </c>
      <c r="G116" s="3275"/>
      <c r="H116" s="3126" t="s">
        <v>2299</v>
      </c>
      <c r="I116" s="3126"/>
    </row>
    <row r="117" spans="1:11" ht="18.75" customHeight="1">
      <c r="A117" s="3126"/>
      <c r="B117" s="3272"/>
      <c r="C117" s="3272"/>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382862</v>
      </c>
      <c r="I118" s="2938">
        <f ca="1">ROUND(IF(D32="楼面单价",C32,H118*10000/B118),0)</f>
        <v>38747</v>
      </c>
    </row>
    <row r="119" spans="1:11" ht="18.75" customHeight="1">
      <c r="A119" s="3126" t="s">
        <v>2303</v>
      </c>
      <c r="B119" s="3126"/>
      <c r="C119" s="3126"/>
      <c r="D119" s="3289" t="e">
        <f ca="1">NUMBERSTRING(INT(D118*10000),2)&amp;"元整"</f>
        <v>#REF!</v>
      </c>
      <c r="E119" s="3291"/>
      <c r="F119" s="3289" t="e">
        <f ca="1">NUMBERSTRING(INT(F118*10000),2)&amp;"元整"</f>
        <v>#REF!</v>
      </c>
      <c r="G119" s="3291"/>
      <c r="H119" s="3289" t="str">
        <f ca="1">NUMBERSTRING(INT(H118*10000),2)&amp;"元整"</f>
        <v>叁拾捌亿贰仟捌佰陆拾贰万元整</v>
      </c>
      <c r="I119" s="3291"/>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16" t="str">
        <f>IF(D120=0,"故，本次评估不存在"&amp;A120,"故，本次评估"&amp;A120&amp;"为人民币"&amp;D120&amp;"万元整。")</f>
        <v>故，本次评估不存在估价师知悉的法定优先受偿款</v>
      </c>
    </row>
    <row r="121" spans="1:11" ht="18.75" customHeight="1">
      <c r="A121" s="3286" t="s">
        <v>2303</v>
      </c>
      <c r="B121" s="3287"/>
      <c r="C121" s="3288"/>
      <c r="D121" s="3289" t="str">
        <f>IF(D120=0,"零元整",NUMBERSTRING(INT(D120*10000),2)&amp;"元整")</f>
        <v>零元整</v>
      </c>
      <c r="E121" s="3290"/>
      <c r="F121" s="3290"/>
      <c r="G121" s="3290"/>
      <c r="H121" s="3290"/>
      <c r="I121" s="3291"/>
    </row>
    <row r="122" spans="1:11" ht="18.75" customHeight="1">
      <c r="A122" s="3292" t="str">
        <f>IF(项目基本情况!B9="房地产市场价值","",MID(E107,3,LEN(E107)-2))</f>
        <v>房地产抵押价值</v>
      </c>
      <c r="B122" s="3292"/>
      <c r="C122" s="3292"/>
      <c r="D122" s="3293">
        <f ca="1">H107</f>
        <v>382862</v>
      </c>
      <c r="E122" s="3294"/>
      <c r="F122" s="3294"/>
      <c r="G122" s="3294"/>
      <c r="H122" s="3294"/>
      <c r="I122" s="3295"/>
    </row>
    <row r="123" spans="1:11" ht="18.75" customHeight="1">
      <c r="A123" s="3126" t="s">
        <v>2303</v>
      </c>
      <c r="B123" s="3126"/>
      <c r="C123" s="3126"/>
      <c r="D123" s="3289" t="str">
        <f ca="1">NUMBERSTRING(INT(D122*10000),2)&amp;"元整"</f>
        <v>叁拾捌亿贰仟捌佰陆拾贰万元整</v>
      </c>
      <c r="E123" s="3290"/>
      <c r="F123" s="3290"/>
      <c r="G123" s="3290"/>
      <c r="H123" s="3290"/>
      <c r="I123" s="3291"/>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126" t="s">
        <v>2303</v>
      </c>
      <c r="B125" s="3126"/>
      <c r="C125" s="3126"/>
      <c r="D125" s="3289" t="e">
        <f>NUMBERSTRING(INT(D124*10000),2)&amp;"元整"</f>
        <v>#VALUE!</v>
      </c>
      <c r="E125" s="3290"/>
      <c r="F125" s="3290"/>
      <c r="G125" s="3290"/>
      <c r="H125" s="3290"/>
      <c r="I125" s="3291"/>
    </row>
    <row r="126" spans="1:11" ht="18.75" customHeight="1">
      <c r="A126" s="3292" t="str">
        <f>IF(项目基本情况!B9="房地产市场价值","",MID(E111,3,LEN(E111)-2))</f>
        <v/>
      </c>
      <c r="B126" s="3292"/>
      <c r="C126" s="3292"/>
      <c r="D126" s="3293" t="str">
        <f>H111</f>
        <v>——</v>
      </c>
      <c r="E126" s="3294"/>
      <c r="F126" s="3294"/>
      <c r="G126" s="3294"/>
      <c r="H126" s="3294"/>
      <c r="I126" s="3295"/>
    </row>
    <row r="127" spans="1:11" ht="18.75" customHeight="1">
      <c r="A127" s="3126" t="s">
        <v>2303</v>
      </c>
      <c r="B127" s="3126"/>
      <c r="C127" s="3126"/>
      <c r="D127" s="3289" t="e">
        <f>NUMBERSTRING(INT(D126*10000),2)&amp;"元整"</f>
        <v>#VALUE!</v>
      </c>
      <c r="E127" s="3290"/>
      <c r="F127" s="3290"/>
      <c r="G127" s="3290"/>
      <c r="H127" s="3290"/>
      <c r="I127" s="3291"/>
    </row>
    <row r="128" spans="1:11" ht="21.75" customHeight="1">
      <c r="A128" s="3296" t="s">
        <v>2304</v>
      </c>
      <c r="B128" s="3296"/>
      <c r="C128" s="3296"/>
      <c r="D128" s="3296"/>
      <c r="E128" s="3296"/>
      <c r="F128" s="3296"/>
      <c r="G128" s="3296"/>
      <c r="H128" s="3296"/>
      <c r="I128" s="329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209" priority="10" stopIfTrue="1" operator="equal">
      <formula>25</formula>
    </cfRule>
  </conditionalFormatting>
  <conditionalFormatting sqref="C8:C9">
    <cfRule type="cellIs" dxfId="208" priority="9" stopIfTrue="1" operator="equal">
      <formula>15</formula>
    </cfRule>
  </conditionalFormatting>
  <conditionalFormatting sqref="C14:C16">
    <cfRule type="cellIs" dxfId="207" priority="8" stopIfTrue="1" operator="equal">
      <formula>30</formula>
    </cfRule>
  </conditionalFormatting>
  <conditionalFormatting sqref="D5:D7">
    <cfRule type="cellIs" dxfId="206" priority="7" stopIfTrue="1" operator="equal">
      <formula>25</formula>
    </cfRule>
  </conditionalFormatting>
  <conditionalFormatting sqref="D8:D9">
    <cfRule type="cellIs" dxfId="205" priority="6" stopIfTrue="1" operator="equal">
      <formula>15</formula>
    </cfRule>
  </conditionalFormatting>
  <conditionalFormatting sqref="C10:D13">
    <cfRule type="cellIs" dxfId="204" priority="5" stopIfTrue="1" operator="equal">
      <formula>15</formula>
    </cfRule>
  </conditionalFormatting>
  <conditionalFormatting sqref="D14:D16">
    <cfRule type="cellIs" dxfId="203" priority="4" stopIfTrue="1" operator="equal">
      <formula>30</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E36">
    <cfRule type="expression" dxfId="20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K117" sqref="K117"/>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row>
    <row r="2" spans="1:12" ht="21.75" customHeight="1" thickBot="1">
      <c r="A2" s="3208" t="str">
        <f>项目基本情况!S2</f>
        <v>北京市朝阳区东三环中路61号楼“富力万丽酒店”酒店、商业、地下车库、地下仓储用房房地产</v>
      </c>
      <c r="B2" s="3209"/>
      <c r="C2" s="3209"/>
      <c r="D2" s="3209"/>
      <c r="E2" s="3209"/>
      <c r="F2" s="3209"/>
      <c r="G2" s="3209"/>
      <c r="H2" s="3209"/>
      <c r="I2" s="3210"/>
    </row>
    <row r="3" spans="1:12" ht="12.75">
      <c r="A3" s="3211" t="s">
        <v>2105</v>
      </c>
      <c r="B3" s="3212"/>
      <c r="C3" s="3212"/>
      <c r="D3" s="3212"/>
      <c r="E3" s="3212"/>
      <c r="F3" s="3212"/>
      <c r="G3" s="3212"/>
      <c r="H3" s="3212"/>
      <c r="I3" s="3212"/>
    </row>
    <row r="4" spans="1:12" ht="14.25">
      <c r="A4" s="2418" t="s">
        <v>2106</v>
      </c>
      <c r="B4" s="2419" t="s">
        <v>2107</v>
      </c>
      <c r="C4" s="2420" t="s">
        <v>3162</v>
      </c>
      <c r="D4" s="2420" t="s">
        <v>3161</v>
      </c>
      <c r="E4" s="3213" t="s">
        <v>2108</v>
      </c>
      <c r="F4" s="3214"/>
      <c r="G4" s="3214"/>
      <c r="H4" s="3214"/>
      <c r="I4" s="3215"/>
      <c r="K4" s="2421" t="str">
        <f>IF(ISNUMBER(FIND("比较法",'结果表（酒店）'!C4)),"比较法",IF(ISNUMBER(FIND("成本法",'结果表（酒店）'!C4)),"成本法",IF(ISNUMBER(FIND("假设开发法",'结果表（酒店）'!C4)),"假设开发法",IF(ISNUMBER(FIND("收益法",'结果表（酒店）'!C4)),"收益法","基准地价系数修正法"))))</f>
        <v>成本法</v>
      </c>
      <c r="L4" s="2421"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04" t="s">
        <v>2109</v>
      </c>
      <c r="B5" s="3126">
        <v>25</v>
      </c>
      <c r="C5" s="3205"/>
      <c r="D5" s="3207"/>
      <c r="E5" s="140" t="s">
        <v>2110</v>
      </c>
      <c r="F5" s="2422"/>
      <c r="G5" s="2422"/>
      <c r="H5" s="2422"/>
      <c r="I5" s="1829"/>
    </row>
    <row r="6" spans="1:12" ht="12.75">
      <c r="A6" s="3204"/>
      <c r="B6" s="3126"/>
      <c r="C6" s="3216"/>
      <c r="D6" s="3207"/>
      <c r="E6" s="140" t="s">
        <v>2111</v>
      </c>
      <c r="F6" s="2422"/>
      <c r="G6" s="2422"/>
      <c r="H6" s="2422"/>
      <c r="I6" s="1829"/>
    </row>
    <row r="7" spans="1:12" ht="12.75">
      <c r="A7" s="3204"/>
      <c r="B7" s="3126"/>
      <c r="C7" s="3206"/>
      <c r="D7" s="3207"/>
      <c r="E7" s="140" t="s">
        <v>2112</v>
      </c>
      <c r="F7" s="2422"/>
      <c r="G7" s="2422"/>
      <c r="H7" s="2422"/>
      <c r="I7" s="1829"/>
    </row>
    <row r="8" spans="1:12" ht="12.75">
      <c r="A8" s="3204" t="s">
        <v>2113</v>
      </c>
      <c r="B8" s="3126">
        <v>15</v>
      </c>
      <c r="C8" s="3205"/>
      <c r="D8" s="3207"/>
      <c r="E8" s="140" t="s">
        <v>2114</v>
      </c>
      <c r="F8" s="2422"/>
      <c r="G8" s="2422"/>
      <c r="H8" s="2422"/>
      <c r="I8" s="1829"/>
    </row>
    <row r="9" spans="1:12" ht="12.75">
      <c r="A9" s="3204"/>
      <c r="B9" s="3126"/>
      <c r="C9" s="3206"/>
      <c r="D9" s="3207"/>
      <c r="E9" s="140" t="s">
        <v>2115</v>
      </c>
      <c r="F9" s="2422"/>
      <c r="G9" s="2422"/>
      <c r="H9" s="2422"/>
      <c r="I9" s="1829"/>
    </row>
    <row r="10" spans="1:12" ht="12.75">
      <c r="A10" s="3204" t="s">
        <v>2116</v>
      </c>
      <c r="B10" s="3126">
        <v>15</v>
      </c>
      <c r="C10" s="3205"/>
      <c r="D10" s="3207"/>
      <c r="E10" s="140" t="s">
        <v>2117</v>
      </c>
      <c r="F10" s="2422"/>
      <c r="G10" s="2422"/>
      <c r="H10" s="2422"/>
      <c r="I10" s="1829"/>
    </row>
    <row r="11" spans="1:12" ht="12.75">
      <c r="A11" s="3204"/>
      <c r="B11" s="3126"/>
      <c r="C11" s="3206"/>
      <c r="D11" s="3207"/>
      <c r="E11" s="140" t="s">
        <v>2118</v>
      </c>
      <c r="F11" s="2422"/>
      <c r="G11" s="2422"/>
      <c r="H11" s="2422"/>
      <c r="I11" s="1829"/>
    </row>
    <row r="12" spans="1:12" ht="12.75">
      <c r="A12" s="3204" t="s">
        <v>2119</v>
      </c>
      <c r="B12" s="3126">
        <v>15</v>
      </c>
      <c r="C12" s="3205"/>
      <c r="D12" s="3207"/>
      <c r="E12" s="140" t="s">
        <v>2120</v>
      </c>
      <c r="F12" s="2422"/>
      <c r="G12" s="2422"/>
      <c r="H12" s="2422"/>
      <c r="I12" s="1829"/>
    </row>
    <row r="13" spans="1:12" ht="12.75">
      <c r="A13" s="3204"/>
      <c r="B13" s="3126"/>
      <c r="C13" s="3206"/>
      <c r="D13" s="3207"/>
      <c r="E13" s="140" t="s">
        <v>2121</v>
      </c>
      <c r="F13" s="2422"/>
      <c r="G13" s="2422"/>
      <c r="H13" s="2422"/>
      <c r="I13" s="1829"/>
    </row>
    <row r="14" spans="1:12" ht="12.75">
      <c r="A14" s="3204" t="s">
        <v>2122</v>
      </c>
      <c r="B14" s="3126">
        <v>30</v>
      </c>
      <c r="C14" s="3205">
        <v>45</v>
      </c>
      <c r="D14" s="3207">
        <v>55</v>
      </c>
      <c r="E14" s="140" t="s">
        <v>2123</v>
      </c>
      <c r="F14" s="2422"/>
      <c r="G14" s="2422"/>
      <c r="H14" s="2422"/>
      <c r="I14" s="1829"/>
    </row>
    <row r="15" spans="1:12" ht="12.75">
      <c r="A15" s="3204"/>
      <c r="B15" s="3126"/>
      <c r="C15" s="3216"/>
      <c r="D15" s="3207"/>
      <c r="E15" s="140" t="s">
        <v>2124</v>
      </c>
      <c r="F15" s="2422"/>
      <c r="G15" s="2422"/>
      <c r="H15" s="2422"/>
      <c r="I15" s="1829"/>
    </row>
    <row r="16" spans="1:12" ht="12.75">
      <c r="A16" s="3204"/>
      <c r="B16" s="3126"/>
      <c r="C16" s="3206"/>
      <c r="D16" s="3207"/>
      <c r="E16" s="140" t="s">
        <v>2125</v>
      </c>
      <c r="F16" s="2422"/>
      <c r="G16" s="2422"/>
      <c r="H16" s="2422"/>
      <c r="I16" s="1829"/>
    </row>
    <row r="17" spans="1:35" ht="15">
      <c r="A17" s="2423" t="s">
        <v>2126</v>
      </c>
      <c r="B17" s="64"/>
      <c r="C17" s="141">
        <f>SUM(C5:C16)</f>
        <v>45</v>
      </c>
      <c r="D17" s="141">
        <f>SUM(D5:D16)</f>
        <v>55</v>
      </c>
      <c r="E17" s="138"/>
      <c r="F17" s="138"/>
      <c r="G17" s="138"/>
      <c r="H17" s="138"/>
      <c r="I17" s="138"/>
      <c r="K17" s="2421"/>
      <c r="L17" s="2424" t="s">
        <v>2127</v>
      </c>
      <c r="M17" s="2424" t="s">
        <v>2128</v>
      </c>
    </row>
    <row r="18" spans="1:35" ht="15.75" thickBot="1">
      <c r="A18" s="2425" t="s">
        <v>2129</v>
      </c>
      <c r="B18" s="2426"/>
      <c r="C18" s="142">
        <f>ROUND(C17/SUM(C17:D17),2)</f>
        <v>0.45</v>
      </c>
      <c r="D18" s="142">
        <f>1-C18</f>
        <v>0.55000000000000004</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SUMIF(INDIRECT("'"&amp;C4&amp;"'"&amp;"!A:A"),'结果表（酒店）'!B19,INDIRECT("'"&amp;C4&amp;"'"&amp;"!B:B"))</f>
        <v>472374</v>
      </c>
      <c r="D19" s="144">
        <f ca="1">SUMIF(INDIRECT("'"&amp;D4&amp;"'"&amp;"!A:A"),'结果表（酒店）'!B19,INDIRECT("'"&amp;D4&amp;"'"&amp;"!B:B"))</f>
        <v>293350</v>
      </c>
      <c r="E19" s="2427" t="s">
        <v>2133</v>
      </c>
      <c r="F19" s="2428" t="s">
        <v>2132</v>
      </c>
      <c r="G19" s="145">
        <f ca="1">ROUND(C19*$C$18+D19*$D$18,0)</f>
        <v>373911</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SUMIF(INDIRECT("'"&amp;C4&amp;"'"&amp;"!A:A"),'结果表（酒店）'!B20,INDIRECT("'"&amp;C4&amp;"'"&amp;"!B:B"))</f>
        <v>47806</v>
      </c>
      <c r="D20" s="147">
        <f ca="1">SUMIF(INDIRECT("'"&amp;D4&amp;"'"&amp;"!A:A"),'结果表（酒店）'!B20,INDIRECT("'"&amp;D4&amp;"'"&amp;"!B:B"))</f>
        <v>29688</v>
      </c>
      <c r="E20" s="2430"/>
      <c r="F20" s="1248" t="s">
        <v>2136</v>
      </c>
      <c r="G20" s="148">
        <f ca="1">ROUND(C20*$C$18+D20*$D$18,0)</f>
        <v>37841</v>
      </c>
      <c r="H20" s="981" t="s">
        <v>2137</v>
      </c>
      <c r="I20" s="138"/>
    </row>
    <row r="21" spans="1:35" ht="15" customHeight="1" thickBot="1">
      <c r="A21" s="1001"/>
      <c r="B21" s="2431" t="s">
        <v>2138</v>
      </c>
      <c r="C21" s="789">
        <f ca="1">ROUND(C19*10000/L19,0)</f>
        <v>423735</v>
      </c>
      <c r="D21" s="790">
        <f ca="1">ROUND(D19*10000/L19,0)</f>
        <v>263144</v>
      </c>
      <c r="E21" s="1001"/>
      <c r="F21" s="2431" t="s">
        <v>2138</v>
      </c>
      <c r="G21" s="149">
        <f ca="1">ROUND(G19*10000/L19,0)</f>
        <v>335410</v>
      </c>
      <c r="H21" s="2432" t="s">
        <v>2137</v>
      </c>
      <c r="I21" s="138"/>
    </row>
    <row r="22" spans="1:35" ht="15" thickBot="1">
      <c r="A22" s="2275" t="s">
        <v>2139</v>
      </c>
      <c r="B22" s="2433"/>
      <c r="C22" s="2434"/>
      <c r="D22" s="791">
        <f ca="1">IF(C19&lt;D19,D19/C19-1,C19/D19-1)</f>
        <v>0.6102744162263507</v>
      </c>
      <c r="E22" s="138"/>
      <c r="F22" s="138"/>
      <c r="G22" s="138"/>
      <c r="H22" s="138"/>
      <c r="I22" s="138"/>
    </row>
    <row r="23" spans="1:35" ht="13.5" thickBot="1">
      <c r="A23" s="2411"/>
      <c r="B23" s="2411"/>
      <c r="C23" s="2411"/>
      <c r="D23" s="2411"/>
      <c r="E23" s="138"/>
      <c r="F23" s="138"/>
      <c r="G23" s="138"/>
      <c r="H23" s="138"/>
      <c r="I23" s="138"/>
    </row>
    <row r="24" spans="1:35" ht="14.25">
      <c r="A24" s="3217" t="s">
        <v>2140</v>
      </c>
      <c r="B24" s="2428" t="s">
        <v>2132</v>
      </c>
      <c r="C24" s="145">
        <f>IF(B30=0,0,D30)</f>
        <v>0</v>
      </c>
      <c r="D24" s="2435"/>
      <c r="E24" s="138"/>
      <c r="F24" s="138"/>
      <c r="G24" s="138"/>
      <c r="H24" s="138"/>
      <c r="I24" s="138"/>
    </row>
    <row r="25" spans="1:35" ht="14.25">
      <c r="A25" s="3218"/>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9"/>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373911</v>
      </c>
      <c r="D32" s="2442" t="s">
        <v>2147</v>
      </c>
      <c r="E32" s="138"/>
      <c r="F32" s="138"/>
      <c r="G32" s="138"/>
      <c r="H32" s="138"/>
      <c r="I32" s="138"/>
    </row>
    <row r="33" spans="1:15" ht="15">
      <c r="A33" s="958" t="s">
        <v>2148</v>
      </c>
      <c r="B33" s="2443"/>
      <c r="C33" s="2444" t="s">
        <v>3425</v>
      </c>
      <c r="D33" s="2445" t="s">
        <v>3162</v>
      </c>
      <c r="E33" s="2446" t="s">
        <v>2149</v>
      </c>
      <c r="F33" s="2447" t="str">
        <f>IF(D32="楼面单价","取值（单价）","取值（总价）")</f>
        <v>取值（总价）</v>
      </c>
      <c r="G33" s="138"/>
      <c r="H33" s="138"/>
      <c r="I33" s="138"/>
    </row>
    <row r="34" spans="1:15" ht="15">
      <c r="A34" s="2448"/>
      <c r="B34" s="2449" t="s">
        <v>2150</v>
      </c>
      <c r="C34" s="157">
        <f ca="1">IF(C33="自定义",F34,C32-C35)</f>
        <v>298007</v>
      </c>
      <c r="D34" s="1056">
        <f ca="1">IF(C33="自定义",ROUND(C34/C32,3),IF(C33="收益比率",SUMIF(INDIRECT("'"&amp;D33&amp;"'"&amp;"!b:b"),"土地收益比率",INDIRECT("'"&amp;D33&amp;"'"&amp;"!c:c")),SUMIF(INDIRECT("'"&amp;D33&amp;"'"&amp;"!b:b"),"土地成本比率",INDIRECT("'"&amp;D33&amp;"'"&amp;"!c:c"))))</f>
        <v>0.79699999999999993</v>
      </c>
      <c r="E34" s="2450" t="s">
        <v>2151</v>
      </c>
      <c r="F34" s="1735"/>
      <c r="G34" s="138"/>
      <c r="H34" s="138"/>
      <c r="I34" s="138"/>
    </row>
    <row r="35" spans="1:15" ht="15.75" thickBot="1">
      <c r="A35" s="2451"/>
      <c r="B35" s="2452" t="s">
        <v>2152</v>
      </c>
      <c r="C35" s="1441">
        <f ca="1">IF(C33="自定义",F35,ROUND(C32*D35,0))</f>
        <v>75904</v>
      </c>
      <c r="D35" s="1442">
        <f ca="1">IF(C33="自定义",ROUND(C35/C32,3),IF(C33="收益比率",SUMIF(INDIRECT("'"&amp;D33&amp;"'"&amp;"!b:b"),"建筑物收益比率",INDIRECT("'"&amp;D33&amp;"'"&amp;"!c:c")),SUMIF(INDIRECT("'"&amp;D33&amp;"'"&amp;"!b:b"),"建筑物成本比率",INDIRECT("'"&amp;D33&amp;"'"&amp;"!c:c"))))</f>
        <v>0.20300000000000001</v>
      </c>
      <c r="E35" s="2453" t="s">
        <v>2153</v>
      </c>
      <c r="F35" s="163"/>
      <c r="G35" s="138"/>
      <c r="H35" s="138"/>
      <c r="I35" s="138"/>
    </row>
    <row r="36" spans="1:15" ht="15.75" thickBot="1">
      <c r="A36" s="3219" t="s">
        <v>2154</v>
      </c>
      <c r="B36" s="2454" t="s">
        <v>2155</v>
      </c>
      <c r="C36" s="154"/>
      <c r="D36" s="2455"/>
      <c r="E36" s="2456"/>
      <c r="F36" s="2457"/>
      <c r="G36" s="138"/>
      <c r="H36" s="138"/>
      <c r="I36" s="138"/>
    </row>
    <row r="37" spans="1:15" ht="15.75" thickBot="1">
      <c r="A37" s="3220"/>
      <c r="B37" s="2261" t="s">
        <v>2156</v>
      </c>
      <c r="C37" s="156"/>
      <c r="D37" s="1392"/>
      <c r="E37" s="1392"/>
      <c r="F37" s="2457"/>
      <c r="G37" s="138"/>
      <c r="H37" s="138"/>
      <c r="I37" s="138"/>
    </row>
    <row r="38" spans="1:15" ht="15.75" thickBot="1">
      <c r="A38" s="3221"/>
      <c r="B38" s="2458" t="s">
        <v>2157</v>
      </c>
      <c r="C38" s="727"/>
      <c r="D38" s="2459" t="s">
        <v>2158</v>
      </c>
      <c r="E38" s="1392"/>
      <c r="F38" s="2457"/>
      <c r="G38" s="138"/>
      <c r="H38" s="138"/>
      <c r="I38" s="138"/>
    </row>
    <row r="39" spans="1:15" ht="15">
      <c r="A39" s="2430" t="s">
        <v>2159</v>
      </c>
      <c r="B39" s="2460" t="s">
        <v>2160</v>
      </c>
      <c r="C39" s="2461" t="s">
        <v>2161</v>
      </c>
      <c r="D39" s="2461" t="s">
        <v>2162</v>
      </c>
      <c r="E39" s="2462" t="s">
        <v>2163</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2" t="s">
        <v>2168</v>
      </c>
      <c r="B45" s="3223"/>
      <c r="C45" s="3224"/>
      <c r="D45" s="164">
        <f ca="1">ROUND(H101*F45,0)</f>
        <v>373911</v>
      </c>
      <c r="E45" s="165" t="s">
        <v>2169</v>
      </c>
      <c r="F45" s="166">
        <v>1</v>
      </c>
      <c r="G45" s="167" t="s">
        <v>2170</v>
      </c>
      <c r="H45" s="138"/>
      <c r="I45" s="138"/>
      <c r="J45" s="3225" t="s">
        <v>2171</v>
      </c>
      <c r="K45" s="3225"/>
      <c r="L45" s="3225"/>
      <c r="M45" s="3225"/>
      <c r="N45" s="3225"/>
      <c r="O45" s="3225"/>
    </row>
    <row r="46" spans="1:15" ht="14.25" customHeight="1">
      <c r="A46" s="3226" t="s">
        <v>2172</v>
      </c>
      <c r="B46" s="3227"/>
      <c r="C46" s="3227"/>
      <c r="D46" s="3227"/>
      <c r="E46" s="3227"/>
      <c r="F46" s="3227"/>
      <c r="G46" s="3228"/>
      <c r="H46" s="2473"/>
      <c r="I46" s="168"/>
      <c r="J46" s="1807">
        <v>1</v>
      </c>
      <c r="K46" s="3225" t="s">
        <v>2173</v>
      </c>
      <c r="L46" s="3225"/>
      <c r="M46" s="3229"/>
      <c r="N46" s="3229"/>
      <c r="O46" s="3229"/>
    </row>
    <row r="47" spans="1:15" ht="12" customHeight="1">
      <c r="A47" s="169" t="s">
        <v>2174</v>
      </c>
      <c r="B47" s="170"/>
      <c r="C47" s="171"/>
      <c r="D47" s="172" t="s">
        <v>2175</v>
      </c>
      <c r="E47" s="24" t="s">
        <v>2176</v>
      </c>
      <c r="F47" s="173" t="s">
        <v>2177</v>
      </c>
      <c r="G47" s="174" t="s">
        <v>2178</v>
      </c>
      <c r="H47" s="2473"/>
      <c r="I47" s="168"/>
      <c r="J47" s="1807">
        <v>2</v>
      </c>
      <c r="K47" s="3225" t="s">
        <v>2179</v>
      </c>
      <c r="L47" s="3225"/>
      <c r="M47" s="3230">
        <f>'数据-取费表'!B2</f>
        <v>43581</v>
      </c>
      <c r="N47" s="3230"/>
      <c r="O47" s="3230"/>
    </row>
    <row r="48" spans="1:15" ht="25.5">
      <c r="A48" s="3231" t="s">
        <v>2180</v>
      </c>
      <c r="B48" s="3232"/>
      <c r="C48" s="3232"/>
      <c r="D48" s="140">
        <f>IF(H48="情况1",0,IF(H48="情况2",D52,IF(H48="情况3",D53,IF(H48="情况4",D54))))</f>
        <v>0</v>
      </c>
      <c r="E48" s="1796" t="str">
        <f>IF(H48="情况4","(销售额-原购置价)×税（费）率","销售额×税（费）率")</f>
        <v>销售额×税（费）率</v>
      </c>
      <c r="F48" s="175" t="str">
        <f>IF(H48="情况1","免征",'数据-取费表'!B41)</f>
        <v>免征</v>
      </c>
      <c r="G48" s="2474" t="s">
        <v>2181</v>
      </c>
      <c r="H48" s="2475" t="s">
        <v>2182</v>
      </c>
      <c r="I48" s="2473"/>
      <c r="J48" s="1807">
        <v>3</v>
      </c>
      <c r="K48" s="3225" t="s">
        <v>2183</v>
      </c>
      <c r="L48" s="3225"/>
      <c r="M48" s="3233">
        <f ca="1">H101</f>
        <v>373911</v>
      </c>
      <c r="N48" s="3233"/>
      <c r="O48" s="3233"/>
    </row>
    <row r="49" spans="1:35" ht="25.5" customHeight="1">
      <c r="A49" s="176" t="s">
        <v>2184</v>
      </c>
      <c r="B49" s="3234" t="s">
        <v>2185</v>
      </c>
      <c r="C49" s="3234"/>
      <c r="D49" s="177">
        <v>0</v>
      </c>
      <c r="E49" s="23" t="s">
        <v>2186</v>
      </c>
      <c r="F49" s="28" t="s">
        <v>34</v>
      </c>
      <c r="G49" s="3235"/>
      <c r="H49" s="138"/>
      <c r="I49" s="2476"/>
      <c r="J49" s="1807">
        <v>4</v>
      </c>
      <c r="K49" s="3225" t="str">
        <f>IF(项目基本情况!E8="房地产抵押价值","房地产抵押价值","抵押担保权已注销时的房地产抵押价值")</f>
        <v>房地产抵押价值</v>
      </c>
      <c r="L49" s="3225"/>
      <c r="M49" s="3233">
        <f ca="1">IF(项目基本情况!E8="房地产抵押价值",H107,H109)</f>
        <v>373911</v>
      </c>
      <c r="N49" s="3233"/>
      <c r="O49" s="3233"/>
    </row>
    <row r="50" spans="1:35" ht="25.5" customHeight="1">
      <c r="A50" s="178"/>
      <c r="B50" s="3234" t="s">
        <v>2187</v>
      </c>
      <c r="C50" s="3234"/>
      <c r="D50" s="179"/>
      <c r="E50" s="31"/>
      <c r="F50" s="180"/>
      <c r="G50" s="3236"/>
      <c r="H50" s="138"/>
      <c r="I50" s="2476"/>
      <c r="J50" s="3225" t="s">
        <v>2188</v>
      </c>
      <c r="K50" s="3225"/>
      <c r="L50" s="3225"/>
      <c r="M50" s="3225"/>
      <c r="N50" s="3225"/>
      <c r="O50" s="3225"/>
    </row>
    <row r="51" spans="1:35" ht="12" customHeight="1">
      <c r="A51" s="181"/>
      <c r="B51" s="3234" t="s">
        <v>2189</v>
      </c>
      <c r="C51" s="3234"/>
      <c r="D51" s="182"/>
      <c r="E51" s="30"/>
      <c r="F51" s="180"/>
      <c r="G51" s="3237"/>
      <c r="H51" s="138"/>
      <c r="I51" s="2476"/>
      <c r="J51" s="2477" t="s">
        <v>2190</v>
      </c>
      <c r="K51" s="3225" t="s">
        <v>2191</v>
      </c>
      <c r="L51" s="3225"/>
      <c r="M51" s="2477" t="s">
        <v>2192</v>
      </c>
      <c r="N51" s="2477" t="s">
        <v>2193</v>
      </c>
      <c r="O51" s="2477" t="s">
        <v>2194</v>
      </c>
    </row>
    <row r="52" spans="1:35" ht="24" customHeight="1">
      <c r="A52" s="183" t="s">
        <v>2195</v>
      </c>
      <c r="B52" s="3234" t="s">
        <v>2196</v>
      </c>
      <c r="C52" s="3234"/>
      <c r="D52" s="182">
        <f ca="1">ROUND(D45*'数据-取费表'!B41/(1+'数据-取费表'!C42),0)</f>
        <v>19942</v>
      </c>
      <c r="E52" s="11" t="s">
        <v>2197</v>
      </c>
      <c r="F52" s="184">
        <f>'数据-取费表'!B41</f>
        <v>5.6000000000000001E-2</v>
      </c>
      <c r="G52" s="2478"/>
      <c r="H52" s="138"/>
      <c r="I52" s="2476"/>
      <c r="J52" s="1807">
        <v>1</v>
      </c>
      <c r="K52" s="3240" t="s">
        <v>2198</v>
      </c>
      <c r="L52" s="3240"/>
      <c r="M52" s="1750">
        <f>D48</f>
        <v>0</v>
      </c>
      <c r="N52" s="1807" t="str">
        <f>E48</f>
        <v>销售额×税（费）率</v>
      </c>
      <c r="O52" s="1751" t="str">
        <f>F48</f>
        <v>免征</v>
      </c>
    </row>
    <row r="53" spans="1:35" ht="12" customHeight="1">
      <c r="A53" s="183" t="s">
        <v>2199</v>
      </c>
      <c r="B53" s="3238" t="s">
        <v>2200</v>
      </c>
      <c r="C53" s="3239"/>
      <c r="D53" s="182">
        <f ca="1">ROUND(D45*'数据-取费表'!B41/(1+'数据-取费表'!C42),0)</f>
        <v>19942</v>
      </c>
      <c r="E53" s="11" t="s">
        <v>2197</v>
      </c>
      <c r="F53" s="184">
        <f>'数据-取费表'!B41</f>
        <v>5.6000000000000001E-2</v>
      </c>
      <c r="G53" s="2478"/>
      <c r="H53" s="138"/>
      <c r="I53" s="2476"/>
      <c r="J53" s="1807">
        <v>2</v>
      </c>
      <c r="K53" s="3240" t="s">
        <v>2201</v>
      </c>
      <c r="L53" s="3240"/>
      <c r="M53" s="1750">
        <f t="shared" ref="M53:O54" ca="1" si="0">D55</f>
        <v>187</v>
      </c>
      <c r="N53" s="1807" t="str">
        <f t="shared" si="0"/>
        <v>销售额×税（费）率</v>
      </c>
      <c r="O53" s="1751">
        <f t="shared" si="0"/>
        <v>5.0000000000000001E-4</v>
      </c>
    </row>
    <row r="54" spans="1:35" ht="12" customHeight="1">
      <c r="A54" s="183" t="s">
        <v>2202</v>
      </c>
      <c r="B54" s="3238" t="s">
        <v>2203</v>
      </c>
      <c r="C54" s="3239"/>
      <c r="D54" s="182">
        <f ca="1">C68</f>
        <v>19942</v>
      </c>
      <c r="E54" s="30" t="s">
        <v>2204</v>
      </c>
      <c r="F54" s="184">
        <f>'数据-取费表'!B41</f>
        <v>5.6000000000000001E-2</v>
      </c>
      <c r="G54" s="2478"/>
      <c r="H54" s="2479"/>
      <c r="I54" s="2476"/>
      <c r="J54" s="1807">
        <v>3</v>
      </c>
      <c r="K54" s="3240" t="s">
        <v>2205</v>
      </c>
      <c r="L54" s="3240"/>
      <c r="M54" s="1750">
        <f t="shared" ca="1" si="0"/>
        <v>211633</v>
      </c>
      <c r="N54" s="1807" t="str">
        <f t="shared" si="0"/>
        <v>增值额×税（费）率</v>
      </c>
      <c r="O54" s="1752" t="str">
        <f t="shared" si="0"/>
        <v>——</v>
      </c>
    </row>
    <row r="55" spans="1:35" ht="24" customHeight="1">
      <c r="A55" s="3241" t="s">
        <v>2206</v>
      </c>
      <c r="B55" s="3232"/>
      <c r="C55" s="3232"/>
      <c r="D55" s="185">
        <f ca="1">IF(H55="个人住宅",0,ROUND(D45*I55,0))</f>
        <v>187</v>
      </c>
      <c r="E55" s="11" t="s">
        <v>2207</v>
      </c>
      <c r="F55" s="184">
        <f>IF(H55="正常",I55,"免征")</f>
        <v>5.0000000000000001E-4</v>
      </c>
      <c r="G55" s="2478"/>
      <c r="H55" s="2475" t="s">
        <v>2208</v>
      </c>
      <c r="I55" s="186">
        <f>'数据-取费表'!B49</f>
        <v>5.0000000000000001E-4</v>
      </c>
      <c r="J55" s="1807" t="str">
        <f>IF(H59="非个人房产","",4)</f>
        <v/>
      </c>
      <c r="K55" s="3240" t="str">
        <f>IF(H59="非个人房产","——","个人所得税")</f>
        <v>——</v>
      </c>
      <c r="L55" s="3240"/>
      <c r="M55" s="1753" t="str">
        <f>D59</f>
        <v>——</v>
      </c>
      <c r="N55" s="1805" t="str">
        <f>E59</f>
        <v>——</v>
      </c>
      <c r="O55" s="1754" t="str">
        <f>F59</f>
        <v>——</v>
      </c>
    </row>
    <row r="56" spans="1:35" ht="24.75">
      <c r="A56" s="3241" t="s">
        <v>2209</v>
      </c>
      <c r="B56" s="3232"/>
      <c r="C56" s="3232"/>
      <c r="D56" s="185">
        <f ca="1">IF(H56="个人住宅",D57,D58)</f>
        <v>211633</v>
      </c>
      <c r="E56" s="11" t="s">
        <v>2210</v>
      </c>
      <c r="F56" s="184" t="str">
        <f>IF(H56="正常",F58,"免征")</f>
        <v>——</v>
      </c>
      <c r="G56" s="2480" t="s">
        <v>2211</v>
      </c>
      <c r="H56" s="2481" t="s">
        <v>2208</v>
      </c>
      <c r="I56" s="2482"/>
      <c r="J56" s="1807" t="str">
        <f>IF(项目基本情况!K6="上海银行",IF(J55="",4,J55+1),"")</f>
        <v/>
      </c>
      <c r="K56" s="3242" t="str">
        <f>IF(项目基本情况!K6="上海银行","其他处置费用","")</f>
        <v/>
      </c>
      <c r="L56" s="3243"/>
      <c r="M56" s="1750" t="str">
        <f>IF(项目基本情况!K6="上海银行",M69,"")</f>
        <v/>
      </c>
      <c r="N56" s="3250" t="str">
        <f>IF(项目基本情况!K6="上海银行","包含处置中涉及的律师、诉讼、拍卖、评估等费用","")</f>
        <v/>
      </c>
      <c r="O56" s="3251"/>
    </row>
    <row r="57" spans="1:35" ht="12.75">
      <c r="A57" s="183" t="s">
        <v>2184</v>
      </c>
      <c r="B57" s="3213" t="s">
        <v>2212</v>
      </c>
      <c r="C57" s="3215"/>
      <c r="D57" s="187">
        <v>0</v>
      </c>
      <c r="E57" s="23" t="s">
        <v>2186</v>
      </c>
      <c r="F57" s="155"/>
      <c r="G57" s="2478"/>
      <c r="H57" s="2482"/>
      <c r="I57" s="2482"/>
      <c r="J57" s="3240">
        <f>IF(AND(J55="",J56=""),4,IF(项目基本情况!K6="上海银行",'结果表（酒店）'!J56+1,'结果表（酒店）'!J55+1))</f>
        <v>4</v>
      </c>
      <c r="K57" s="3240" t="s">
        <v>2213</v>
      </c>
      <c r="L57" s="2483" t="s">
        <v>2214</v>
      </c>
      <c r="M57" s="1755"/>
      <c r="N57" s="1756">
        <f ca="1">SUMIF(M52:M56,"&lt;9e307")</f>
        <v>211820</v>
      </c>
      <c r="O57" s="2484"/>
      <c r="P57" s="1749">
        <f ca="1">N57/M49</f>
        <v>0.56649844481708211</v>
      </c>
    </row>
    <row r="58" spans="1:35" ht="24.75">
      <c r="A58" s="183" t="s">
        <v>2195</v>
      </c>
      <c r="B58" s="3213" t="s">
        <v>2215</v>
      </c>
      <c r="C58" s="3214"/>
      <c r="D58" s="185">
        <f ca="1">IF(H58="转让取得",C81,C97)</f>
        <v>211633</v>
      </c>
      <c r="E58" s="11" t="s">
        <v>2210</v>
      </c>
      <c r="F58" s="24" t="s">
        <v>34</v>
      </c>
      <c r="G58" s="2478"/>
      <c r="H58" s="2481" t="s">
        <v>2216</v>
      </c>
      <c r="I58" s="2482"/>
      <c r="J58" s="3240"/>
      <c r="K58" s="3240"/>
      <c r="L58" s="2483" t="s">
        <v>2217</v>
      </c>
      <c r="M58" s="1757"/>
      <c r="N58" s="2485" t="str">
        <f ca="1">NUMBERSTRING(INT(N57*10000),2)&amp;"元整"</f>
        <v>贰拾壹亿壹仟捌佰贰拾万元整</v>
      </c>
      <c r="O58" s="2486"/>
    </row>
    <row r="59" spans="1:35" ht="24.75" thickBot="1">
      <c r="A59" s="3252" t="s">
        <v>2218</v>
      </c>
      <c r="B59" s="3253"/>
      <c r="C59" s="3253"/>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4">
        <f>J57+1</f>
        <v>5</v>
      </c>
      <c r="K59" s="3240" t="s">
        <v>2220</v>
      </c>
      <c r="L59" s="1807" t="s">
        <v>2214</v>
      </c>
      <c r="M59" s="1758"/>
      <c r="N59" s="1759">
        <f ca="1">M49-N57</f>
        <v>162091</v>
      </c>
      <c r="O59" s="2488"/>
    </row>
    <row r="60" spans="1:35" ht="12" customHeight="1">
      <c r="A60" s="2489"/>
      <c r="B60" s="2411"/>
      <c r="C60" s="2411"/>
      <c r="D60" s="2411"/>
      <c r="E60" s="2161"/>
      <c r="F60" s="2482"/>
      <c r="G60" s="2482"/>
      <c r="H60" s="2490"/>
      <c r="I60" s="138"/>
      <c r="J60" s="3255"/>
      <c r="K60" s="3240"/>
      <c r="L60" s="2483" t="s">
        <v>2217</v>
      </c>
      <c r="M60" s="1757"/>
      <c r="N60" s="2485" t="str">
        <f ca="1">NUMBERSTRING(INT(N59*10000),2)&amp;"元整"</f>
        <v>壹拾陆亿贰仟零玖拾壹万元整</v>
      </c>
      <c r="O60" s="2486"/>
    </row>
    <row r="61" spans="1:35" ht="13.5" thickBot="1">
      <c r="A61" s="3244" t="s">
        <v>2221</v>
      </c>
      <c r="B61" s="3244"/>
      <c r="C61" s="3244"/>
      <c r="D61" s="3244"/>
      <c r="E61" s="3244"/>
      <c r="F61" s="2482"/>
      <c r="G61" s="2482"/>
      <c r="H61" s="2490"/>
      <c r="I61" s="138"/>
      <c r="J61" s="1807">
        <f>J59+1</f>
        <v>6</v>
      </c>
      <c r="K61" s="3240" t="s">
        <v>2222</v>
      </c>
      <c r="L61" s="3240"/>
      <c r="M61" s="1760"/>
      <c r="N61" s="1761">
        <f ca="1">ROUND(N59*10000/'数据-汇总表'!E3,0)</f>
        <v>16404</v>
      </c>
      <c r="O61" s="2491"/>
    </row>
    <row r="62" spans="1:35" ht="12.75">
      <c r="A62" s="3245" t="s">
        <v>2223</v>
      </c>
      <c r="B62" s="3246"/>
      <c r="C62" s="1799"/>
      <c r="D62" s="1799" t="s">
        <v>2224</v>
      </c>
      <c r="E62" s="192" t="s">
        <v>2225</v>
      </c>
      <c r="F62" s="2482"/>
      <c r="G62" s="2482"/>
      <c r="H62" s="2490"/>
      <c r="I62" s="138"/>
    </row>
    <row r="63" spans="1:35" ht="12.75">
      <c r="A63" s="203" t="s">
        <v>775</v>
      </c>
      <c r="B63" s="193" t="s">
        <v>2226</v>
      </c>
      <c r="C63" s="194">
        <f ca="1">ROUND((C64+C65)/(1+'数据-取费表'!C42),0)</f>
        <v>356106</v>
      </c>
      <c r="D63" s="195"/>
      <c r="E63" s="196"/>
      <c r="F63" s="2482"/>
      <c r="G63" s="2482"/>
      <c r="H63" s="2490"/>
      <c r="I63" s="138"/>
      <c r="J63" s="3247" t="s">
        <v>2227</v>
      </c>
      <c r="K63" s="2492" t="s">
        <v>2228</v>
      </c>
      <c r="L63" s="1748">
        <f ca="1">IF(M49&gt;10000,M49*0.5%,IF(AND(M49&gt;1000,M49&lt;=10000),M49*1%,IF(AND(M49&gt;100,M49&lt;=1000),M49*3%,IF(AND(M49&gt;10,M49&lt;=100),M49*5%,M49*8%))))</f>
        <v>1869.5550000000001</v>
      </c>
      <c r="M63" s="24">
        <f ca="1">ROUND(L63,1)</f>
        <v>1869.6</v>
      </c>
      <c r="Z63" s="2416"/>
      <c r="AI63" s="2417"/>
    </row>
    <row r="64" spans="1:35" ht="14.25" customHeight="1">
      <c r="A64" s="197" t="s">
        <v>770</v>
      </c>
      <c r="B64" s="198" t="s">
        <v>2229</v>
      </c>
      <c r="C64" s="199">
        <f ca="1">D45</f>
        <v>373911</v>
      </c>
      <c r="D64" s="200" t="s">
        <v>32</v>
      </c>
      <c r="E64" s="201"/>
      <c r="F64" s="2482"/>
      <c r="G64" s="2482"/>
      <c r="H64" s="2490"/>
      <c r="I64" s="138"/>
      <c r="J64" s="3247"/>
      <c r="K64" s="2492" t="s">
        <v>2230</v>
      </c>
      <c r="L64" s="1748">
        <f ca="1">IF(M49&gt;2000,M49*0.5%,IF(AND(M49&gt;1000,M49&lt;=2000),M49*0.6%,IF(AND(M49&gt;500,M49&lt;=1000),M49*0.7%,IF(AND(M49&gt;200,M49&lt;=500),M49*0.8%,IF(AND(M49&gt;100,M49&lt;=200),M49*0.9%,IF(AND(M49&gt;50,M49&lt;=100),M49*1%,IF(AND(M49&gt;20,M49&lt;=50),M49*1.5%,IF(AND(M49&gt;10,M49&lt;=20),M49*2%,IF(AND(M49&gt;1,M49&lt;=10),M49*2.5%)))))))))</f>
        <v>1869.5550000000001</v>
      </c>
      <c r="M64" s="24">
        <f t="shared" ref="M64:M65" ca="1" si="1">ROUND(L64,1)</f>
        <v>1869.6</v>
      </c>
      <c r="N64" s="138" t="s">
        <v>2231</v>
      </c>
      <c r="Z64" s="2416"/>
      <c r="AI64" s="2417"/>
    </row>
    <row r="65" spans="1:35" ht="14.25" customHeight="1">
      <c r="A65" s="197" t="s">
        <v>771</v>
      </c>
      <c r="B65" s="198" t="s">
        <v>2232</v>
      </c>
      <c r="C65" s="202"/>
      <c r="D65" s="200"/>
      <c r="E65" s="201"/>
      <c r="F65" s="2482"/>
      <c r="G65" s="2482"/>
      <c r="H65" s="2490"/>
      <c r="I65" s="138"/>
      <c r="J65" s="3247"/>
      <c r="K65" s="2492" t="s">
        <v>2233</v>
      </c>
      <c r="L65" s="1748">
        <f ca="1">IF(M49&gt;1000,M49*0.1%,IF(AND(M49&gt;500,M49&lt;=1000),M49*0.5%,IF(AND(M49&gt;50,M49&lt;=500),M49*1%,IF(AND(M49&gt;1,M49&lt;=50),M49*1.5%))))</f>
        <v>373.911</v>
      </c>
      <c r="M65" s="24">
        <f t="shared" ca="1" si="1"/>
        <v>373.9</v>
      </c>
      <c r="N65" s="138" t="s">
        <v>2231</v>
      </c>
      <c r="Z65" s="2416"/>
      <c r="AI65" s="2417"/>
    </row>
    <row r="66" spans="1:35" ht="14.25" customHeight="1">
      <c r="A66" s="203" t="s">
        <v>772</v>
      </c>
      <c r="B66" s="204" t="s">
        <v>2234</v>
      </c>
      <c r="C66" s="205"/>
      <c r="D66" s="206" t="s">
        <v>32</v>
      </c>
      <c r="E66" s="1771" t="s">
        <v>1365</v>
      </c>
      <c r="F66" s="2482"/>
      <c r="G66" s="2482"/>
      <c r="H66" s="2490"/>
      <c r="I66" s="138"/>
      <c r="J66" s="3247"/>
      <c r="K66" s="2492" t="s">
        <v>2235</v>
      </c>
      <c r="L66" s="1748">
        <f ca="1">M49*0.5%</f>
        <v>1869.5550000000001</v>
      </c>
      <c r="M66" s="24">
        <f ca="1">IF(L66&gt;0.5,0.5,ROUND(L66,0))</f>
        <v>0.5</v>
      </c>
      <c r="N66" s="138" t="s">
        <v>2236</v>
      </c>
      <c r="Z66" s="2416"/>
      <c r="AI66" s="2417"/>
    </row>
    <row r="67" spans="1:35" ht="14.25" customHeight="1">
      <c r="A67" s="203" t="s">
        <v>773</v>
      </c>
      <c r="B67" s="204" t="s">
        <v>2237</v>
      </c>
      <c r="C67" s="207">
        <f ca="1">C63-C66</f>
        <v>356106</v>
      </c>
      <c r="D67" s="200" t="s">
        <v>32</v>
      </c>
      <c r="E67" s="201"/>
      <c r="F67" s="2482"/>
      <c r="G67" s="2482"/>
      <c r="H67" s="2490"/>
      <c r="I67" s="138"/>
      <c r="J67" s="3247"/>
      <c r="K67" s="2492" t="s">
        <v>2238</v>
      </c>
      <c r="L67" s="1748">
        <f ca="1">IF(M49&gt;=10000,(8.25+(M49-10000)*0.01%),IF(AND(M49&gt;=8000,M49&lt;10000),(7.85+(M49-8000)*0.02%),IF(AND(M49&gt;=5000,M49&lt;8000),(6.65+(M49-5000)*0.04%),IF(AND(M49&gt;=2000,M49&lt;5000),(4.25+(PM49-2000)*0.08%),IF(AND(M49&gt;=1000,M49&lt;2000),(2.75+(M49-1000)*0.15%),IF(AND(M49&gt;=100,M49&lt;1000),(0.5+(M49-100)*0.25%),IF(AND(M49&gt;0,M49&lt;100),M49*0.5%)))))))</f>
        <v>44.641100000000002</v>
      </c>
      <c r="M67" s="24">
        <f ca="1">ROUND(L67*0.9,1)</f>
        <v>40.200000000000003</v>
      </c>
      <c r="Z67" s="2416"/>
      <c r="AI67" s="2417"/>
    </row>
    <row r="68" spans="1:35" ht="14.25" customHeight="1" thickBot="1">
      <c r="A68" s="208" t="s">
        <v>774</v>
      </c>
      <c r="B68" s="209" t="s">
        <v>2239</v>
      </c>
      <c r="C68" s="210">
        <f ca="1">IF(C67&lt;=0,0,ROUND(C67*D68,0))</f>
        <v>19942</v>
      </c>
      <c r="D68" s="211">
        <f>'数据-取费表'!B41</f>
        <v>5.6000000000000001E-2</v>
      </c>
      <c r="E68" s="212"/>
      <c r="F68" s="2482"/>
      <c r="G68" s="2482"/>
      <c r="H68" s="2490"/>
      <c r="I68" s="138"/>
      <c r="J68" s="3247"/>
      <c r="K68" s="2492" t="s">
        <v>2240</v>
      </c>
      <c r="L68" s="1748">
        <f ca="1">IF(M49&gt;10000,M49*0.5%,IF(AND(M49&gt;5000,M49&lt;=10000),M49*1%,IF(AND(M49&gt;1000,M49&lt;=5000),M49*2%,IF(AND(M49&gt;200,M49&lt;=1000),M49*3%,M49*5%))))</f>
        <v>1869.5550000000001</v>
      </c>
      <c r="M68" s="24">
        <f ca="1">ROUND(L68,1)</f>
        <v>1869.6</v>
      </c>
      <c r="Z68" s="2416"/>
      <c r="AI68" s="2417"/>
    </row>
    <row r="69" spans="1:35" s="2439" customFormat="1" ht="16.5" customHeight="1">
      <c r="A69" s="2493"/>
      <c r="B69" s="2494"/>
      <c r="C69" s="2495"/>
      <c r="D69" s="2496"/>
      <c r="E69" s="2497"/>
      <c r="F69" s="2161"/>
      <c r="G69" s="2161"/>
      <c r="H69" s="2160"/>
      <c r="I69" s="2411"/>
      <c r="J69" s="3247"/>
      <c r="K69" s="2492" t="s">
        <v>2241</v>
      </c>
      <c r="L69" s="2498"/>
      <c r="M69" s="24">
        <f ca="1">ROUND(SUM(M63:M68),0)</f>
        <v>6023</v>
      </c>
      <c r="N69" s="1749">
        <f ca="1">M69/M49</f>
        <v>1.6108111288515182E-2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8" t="s">
        <v>2242</v>
      </c>
      <c r="B70" s="3249"/>
      <c r="C70" s="3249"/>
      <c r="D70" s="3249"/>
      <c r="E70" s="3249"/>
      <c r="F70" s="3249"/>
      <c r="G70" s="3249"/>
      <c r="H70" s="324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5" t="s">
        <v>2223</v>
      </c>
      <c r="B71" s="3246"/>
      <c r="C71" s="1799"/>
      <c r="D71" s="1799"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356106</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2137</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8" t="s">
        <v>2251</v>
      </c>
      <c r="F76" s="3234"/>
      <c r="G76" s="3234"/>
      <c r="H76" s="32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06" t="s">
        <v>2254</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2137</v>
      </c>
      <c r="D78" s="226">
        <f>'数据-取费表'!B43</f>
        <v>6.000000000000001E-3</v>
      </c>
      <c r="E78" s="3256" t="s">
        <v>2256</v>
      </c>
      <c r="F78" s="3257"/>
      <c r="G78" s="3257"/>
      <c r="H78" s="325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2257</v>
      </c>
      <c r="C79" s="207">
        <f ca="1">C72-C73</f>
        <v>353969</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165.63827795975666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211633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8" t="s">
        <v>2260</v>
      </c>
      <c r="B83" s="3249"/>
      <c r="C83" s="3249"/>
      <c r="D83" s="3249"/>
      <c r="E83" s="3249"/>
      <c r="F83" s="3249"/>
      <c r="G83" s="3249"/>
      <c r="H83" s="324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5" t="s">
        <v>2223</v>
      </c>
      <c r="B84" s="3246"/>
      <c r="C84" s="1799"/>
      <c r="D84" s="1799"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356106</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2137</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1795"/>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6" t="s">
        <v>2269</v>
      </c>
      <c r="F91" s="3257"/>
      <c r="G91" s="3257"/>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6" t="s">
        <v>2273</v>
      </c>
      <c r="F92" s="3257"/>
      <c r="G92" s="3257"/>
      <c r="H92" s="325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2137</v>
      </c>
      <c r="D93" s="226">
        <f>'数据-取费表'!B43</f>
        <v>6.000000000000001E-3</v>
      </c>
      <c r="E93" s="3256" t="s">
        <v>2256</v>
      </c>
      <c r="F93" s="3257"/>
      <c r="G93" s="3257"/>
      <c r="H93" s="325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9" t="s">
        <v>2277</v>
      </c>
      <c r="F94" s="3260"/>
      <c r="G94" s="3260"/>
      <c r="H94" s="326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2257</v>
      </c>
      <c r="C95" s="207">
        <f ca="1">ROUND(C85-C86,0)</f>
        <v>353969</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165.63827795975666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211633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62"/>
      <c r="E100" s="3168" t="s">
        <v>2280</v>
      </c>
      <c r="F100" s="3168"/>
      <c r="G100" s="3168"/>
      <c r="H100" s="3262"/>
      <c r="I100" s="138"/>
    </row>
    <row r="101" spans="1:35" ht="18.75" customHeight="1">
      <c r="A101" s="3263" t="s">
        <v>2281</v>
      </c>
      <c r="B101" s="3264"/>
      <c r="C101" s="736" t="str">
        <f>C4</f>
        <v>成本法</v>
      </c>
      <c r="D101" s="737" t="str">
        <f>D4</f>
        <v>收益法（汇总）</v>
      </c>
      <c r="E101" s="3265" t="s">
        <v>2282</v>
      </c>
      <c r="F101" s="3266"/>
      <c r="G101" s="2513" t="s">
        <v>2283</v>
      </c>
      <c r="H101" s="1046">
        <f ca="1">H118</f>
        <v>373911</v>
      </c>
      <c r="I101" s="138"/>
    </row>
    <row r="102" spans="1:35" ht="18.75" customHeight="1">
      <c r="A102" s="3267" t="s">
        <v>2284</v>
      </c>
      <c r="B102" s="2513" t="s">
        <v>2283</v>
      </c>
      <c r="C102" s="736">
        <f ca="1">C19</f>
        <v>472374</v>
      </c>
      <c r="D102" s="737">
        <f ca="1">D19</f>
        <v>293350</v>
      </c>
      <c r="E102" s="3265"/>
      <c r="F102" s="3266"/>
      <c r="G102" s="2513" t="s">
        <v>2285</v>
      </c>
      <c r="H102" s="371">
        <f ca="1">I118</f>
        <v>37841</v>
      </c>
      <c r="I102" s="138"/>
    </row>
    <row r="103" spans="1:35" ht="42.75" customHeight="1">
      <c r="A103" s="3267"/>
      <c r="B103" s="2513" t="s">
        <v>2285</v>
      </c>
      <c r="C103" s="738">
        <f ca="1">C20</f>
        <v>47806</v>
      </c>
      <c r="D103" s="739">
        <f ca="1">D20</f>
        <v>29688</v>
      </c>
      <c r="E103" s="3268" t="s">
        <v>2286</v>
      </c>
      <c r="F103" s="3269"/>
      <c r="G103" s="2514" t="s">
        <v>2287</v>
      </c>
      <c r="H103" s="1046">
        <f>IF(D36="正常操作",H104+H105+H106,H105+H106)</f>
        <v>0</v>
      </c>
      <c r="I103" s="138"/>
    </row>
    <row r="104" spans="1:35" ht="18.75" customHeight="1">
      <c r="A104" s="3267" t="s">
        <v>2288</v>
      </c>
      <c r="B104" s="2515" t="s">
        <v>2283</v>
      </c>
      <c r="C104" s="740">
        <f ca="1">H118</f>
        <v>373911</v>
      </c>
      <c r="D104" s="741"/>
      <c r="E104" s="2261" t="s">
        <v>2289</v>
      </c>
      <c r="F104" s="2253"/>
      <c r="G104" s="2514" t="s">
        <v>2287</v>
      </c>
      <c r="H104" s="1047">
        <f>IF(D36="同一抵押权人同一抵押物续贷",C36&amp;"（未扣减，详见特别提示）",C36)</f>
        <v>0</v>
      </c>
      <c r="I104" s="138"/>
    </row>
    <row r="105" spans="1:35" ht="18.75" customHeight="1" thickBot="1">
      <c r="A105" s="3276"/>
      <c r="B105" s="2516" t="s">
        <v>2285</v>
      </c>
      <c r="C105" s="742">
        <f ca="1">I118</f>
        <v>37841</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7" t="str">
        <f>IF(项目基本情况!E8="已注销","——","3.房地产抵押价值")</f>
        <v>3.房地产抵押价值</v>
      </c>
      <c r="F107" s="3266"/>
      <c r="G107" s="2513" t="s">
        <v>2283</v>
      </c>
      <c r="H107" s="1046">
        <f ca="1">IF(E107="——","——",H101-H103)</f>
        <v>373911</v>
      </c>
      <c r="I107" s="138"/>
    </row>
    <row r="108" spans="1:35" ht="18.75" customHeight="1">
      <c r="A108" s="138"/>
      <c r="B108" s="138"/>
      <c r="C108" s="138"/>
      <c r="D108" s="138"/>
      <c r="E108" s="3277"/>
      <c r="F108" s="3266"/>
      <c r="G108" s="2513" t="s">
        <v>2285</v>
      </c>
      <c r="H108" s="371">
        <f ca="1">ROUND(H107*10000/'数据-汇总表'!E3,0)</f>
        <v>37841</v>
      </c>
      <c r="I108" s="138"/>
    </row>
    <row r="109" spans="1:35" ht="18.75" customHeight="1">
      <c r="A109" s="138"/>
      <c r="B109" s="138"/>
      <c r="C109" s="138"/>
      <c r="D109" s="138"/>
      <c r="E109" s="3277" t="str">
        <f>IF(项目基本情况!E8="已注销及未注销","4.抵押担保权已注销时的房地产抵押价值",IF(项目基本情况!E8="已注销","3.抵押担保权已注销时的房地产抵押价值","——"))</f>
        <v>——</v>
      </c>
      <c r="F109" s="3266"/>
      <c r="G109" s="2513" t="s">
        <v>2283</v>
      </c>
      <c r="H109" s="348" t="str">
        <f>IF(E109="——","——",H101-H105-H106)</f>
        <v>——</v>
      </c>
      <c r="I109" s="138"/>
    </row>
    <row r="110" spans="1:35" ht="18.75" customHeight="1">
      <c r="A110" s="138"/>
      <c r="B110" s="138"/>
      <c r="C110" s="138"/>
      <c r="D110" s="138"/>
      <c r="E110" s="3277"/>
      <c r="F110" s="3266"/>
      <c r="G110" s="2513" t="s">
        <v>2285</v>
      </c>
      <c r="H110" s="371" t="str">
        <f>IF(H109="——","——",ROUND(H109*10000/'数据-汇总表'!E3,0))</f>
        <v>——</v>
      </c>
      <c r="I110" s="138"/>
    </row>
    <row r="111" spans="1:35" ht="18.75" customHeight="1">
      <c r="A111" s="138"/>
      <c r="B111" s="138"/>
      <c r="C111" s="138"/>
      <c r="D111" s="138"/>
      <c r="E111" s="3278" t="str">
        <f>IF(项目基本情况!E9="抵押净值",IF(OR(项目基本情况!E8="已注销",项目基本情况!E8="房地产抵押价值"),"4.抵押净值","5.抵押净值"),"——")</f>
        <v>——</v>
      </c>
      <c r="F111" s="3279"/>
      <c r="G111" s="2513" t="s">
        <v>2283</v>
      </c>
      <c r="H111" s="1046" t="str">
        <f>IF(E111="——","——",N59)</f>
        <v>——</v>
      </c>
      <c r="I111" s="138"/>
    </row>
    <row r="112" spans="1:35" ht="18.75" customHeight="1" thickBot="1">
      <c r="A112" s="138"/>
      <c r="B112" s="138"/>
      <c r="C112" s="138"/>
      <c r="D112" s="138"/>
      <c r="E112" s="3280"/>
      <c r="F112" s="3281"/>
      <c r="G112" s="2518" t="s">
        <v>2285</v>
      </c>
      <c r="H112" s="790" t="str">
        <f>IF(E111="——","——",N61)</f>
        <v>——</v>
      </c>
      <c r="I112" s="138"/>
    </row>
    <row r="113" spans="1:11" ht="18.75" customHeight="1">
      <c r="A113" s="138"/>
      <c r="B113" s="138"/>
      <c r="C113" s="138"/>
      <c r="D113" s="138"/>
      <c r="E113" s="3282" t="s">
        <v>2291</v>
      </c>
      <c r="F113" s="3282"/>
      <c r="G113" s="3282"/>
      <c r="H113" s="3282"/>
      <c r="I113" s="138"/>
    </row>
    <row r="114" spans="1:11" ht="3.75" customHeight="1">
      <c r="A114" s="2411"/>
      <c r="B114" s="2411"/>
      <c r="C114" s="2411"/>
      <c r="D114" s="2411"/>
      <c r="E114" s="2489"/>
      <c r="F114" s="2489"/>
      <c r="G114" s="2489"/>
      <c r="H114" s="2489"/>
      <c r="I114" s="2411"/>
    </row>
    <row r="115" spans="1:11" ht="18.75" customHeight="1">
      <c r="A115" s="3283" t="s">
        <v>2293</v>
      </c>
      <c r="B115" s="3284"/>
      <c r="C115" s="3284"/>
      <c r="D115" s="3284"/>
      <c r="E115" s="3284"/>
      <c r="F115" s="3284"/>
      <c r="G115" s="3284"/>
      <c r="H115" s="3284"/>
      <c r="I115" s="3285"/>
    </row>
    <row r="116" spans="1:11" ht="27" customHeight="1">
      <c r="A116" s="3126" t="s">
        <v>2294</v>
      </c>
      <c r="B116" s="3271" t="s">
        <v>2295</v>
      </c>
      <c r="C116" s="3271" t="s">
        <v>2296</v>
      </c>
      <c r="D116" s="3273" t="s">
        <v>2297</v>
      </c>
      <c r="E116" s="3274"/>
      <c r="F116" s="3275" t="s">
        <v>3424</v>
      </c>
      <c r="G116" s="3275"/>
      <c r="H116" s="3126" t="s">
        <v>2299</v>
      </c>
      <c r="I116" s="3126"/>
    </row>
    <row r="117" spans="1:11" ht="18.75" customHeight="1">
      <c r="A117" s="3126"/>
      <c r="B117" s="3272"/>
      <c r="C117" s="3272"/>
      <c r="D117" s="1793" t="s">
        <v>2300</v>
      </c>
      <c r="E117" s="1793" t="s">
        <v>2301</v>
      </c>
      <c r="F117" s="1793" t="s">
        <v>2300</v>
      </c>
      <c r="G117" s="1793" t="s">
        <v>2302</v>
      </c>
      <c r="H117" s="1793" t="s">
        <v>2300</v>
      </c>
      <c r="I117" s="1793" t="s">
        <v>2302</v>
      </c>
    </row>
    <row r="118" spans="1:11" ht="24.75" customHeight="1">
      <c r="A118" s="2519" t="str">
        <f>项目基本情况!S2</f>
        <v>北京市朝阳区东三环中路61号楼“富力万丽酒店”酒店、商业、地下车库、地下仓储用房房地产</v>
      </c>
      <c r="B118" s="1793">
        <f>M18</f>
        <v>98810.33</v>
      </c>
      <c r="C118" s="1793">
        <f>M19</f>
        <v>11147.87</v>
      </c>
      <c r="D118" s="1793">
        <f ca="1">ROUND(IF(D32="总价",C34,E118*B118/10000),0)</f>
        <v>298007</v>
      </c>
      <c r="E118" s="1793">
        <f ca="1">ROUND(IF(C33="自定义",IF(D32="楼面单价",C34,D118*10000/B118),I118-G118),0)</f>
        <v>30159</v>
      </c>
      <c r="F118" s="1793">
        <f ca="1">ROUND(IF(D32="总价",C35,G118*B118/10000),0)</f>
        <v>75904</v>
      </c>
      <c r="G118" s="1793">
        <f ca="1">ROUND(IF(D32="楼面单价",C35,F118*10000/B118),0)</f>
        <v>7682</v>
      </c>
      <c r="H118" s="1793">
        <f ca="1">ROUND(IF(D32="总价",C32,I118*B118/10000),0)</f>
        <v>373911</v>
      </c>
      <c r="I118" s="1793">
        <f ca="1">ROUND(IF(D32="楼面单价",C32,H118*10000/B118),0)</f>
        <v>37841</v>
      </c>
    </row>
    <row r="119" spans="1:11" ht="18.75" customHeight="1">
      <c r="A119" s="3126" t="s">
        <v>2303</v>
      </c>
      <c r="B119" s="3126"/>
      <c r="C119" s="3126"/>
      <c r="D119" s="3289" t="str">
        <f ca="1">NUMBERSTRING(INT(D118*10000),2)&amp;"元整"</f>
        <v>贰拾玖亿捌仟零柒万元整</v>
      </c>
      <c r="E119" s="3291"/>
      <c r="F119" s="3289" t="str">
        <f ca="1">NUMBERSTRING(INT(F118*10000),2)&amp;"元整"</f>
        <v>柒亿伍仟玖佰零肆万元整</v>
      </c>
      <c r="G119" s="3291"/>
      <c r="H119" s="3289" t="str">
        <f ca="1">NUMBERSTRING(INT(H118*10000),2)&amp;"元整"</f>
        <v>叁拾柒亿叁仟玖佰壹拾壹万元整</v>
      </c>
      <c r="I119" s="3291"/>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16" t="str">
        <f>IF(D120=0,"故，本次评估不存在"&amp;A120,"故，本次评估"&amp;A120&amp;"为人民币"&amp;D120&amp;"万元整。")</f>
        <v>故，本次评估不存在估价师知悉的法定优先受偿款</v>
      </c>
    </row>
    <row r="121" spans="1:11" ht="18.75" customHeight="1">
      <c r="A121" s="3286" t="s">
        <v>2303</v>
      </c>
      <c r="B121" s="3287"/>
      <c r="C121" s="3288"/>
      <c r="D121" s="3289" t="str">
        <f>IF(D120=0,"零元整",NUMBERSTRING(INT(D120*10000),2)&amp;"元整")</f>
        <v>零元整</v>
      </c>
      <c r="E121" s="3290"/>
      <c r="F121" s="3290"/>
      <c r="G121" s="3290"/>
      <c r="H121" s="3290"/>
      <c r="I121" s="3291"/>
    </row>
    <row r="122" spans="1:11" ht="18.75" customHeight="1">
      <c r="A122" s="3292" t="str">
        <f>IF(项目基本情况!B9="房地产市场价值","",MID(E107,3,LEN(E107)-2))</f>
        <v>房地产抵押价值</v>
      </c>
      <c r="B122" s="3292"/>
      <c r="C122" s="3292"/>
      <c r="D122" s="3293">
        <f ca="1">H107</f>
        <v>373911</v>
      </c>
      <c r="E122" s="3294"/>
      <c r="F122" s="3294"/>
      <c r="G122" s="3294"/>
      <c r="H122" s="3294"/>
      <c r="I122" s="3295"/>
    </row>
    <row r="123" spans="1:11" ht="18.75" customHeight="1">
      <c r="A123" s="3126" t="s">
        <v>2303</v>
      </c>
      <c r="B123" s="3126"/>
      <c r="C123" s="3126"/>
      <c r="D123" s="3289" t="str">
        <f ca="1">NUMBERSTRING(INT(D122*10000),2)&amp;"元整"</f>
        <v>叁拾柒亿叁仟玖佰壹拾壹万元整</v>
      </c>
      <c r="E123" s="3290"/>
      <c r="F123" s="3290"/>
      <c r="G123" s="3290"/>
      <c r="H123" s="3290"/>
      <c r="I123" s="3291"/>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126" t="s">
        <v>2303</v>
      </c>
      <c r="B125" s="3126"/>
      <c r="C125" s="3126"/>
      <c r="D125" s="3289" t="e">
        <f>NUMBERSTRING(INT(D124*10000),2)&amp;"元整"</f>
        <v>#VALUE!</v>
      </c>
      <c r="E125" s="3290"/>
      <c r="F125" s="3290"/>
      <c r="G125" s="3290"/>
      <c r="H125" s="3290"/>
      <c r="I125" s="3291"/>
    </row>
    <row r="126" spans="1:11" ht="18.75" customHeight="1">
      <c r="A126" s="3292" t="str">
        <f>IF(项目基本情况!B9="房地产市场价值","",MID(E111,3,LEN(E111)-2))</f>
        <v/>
      </c>
      <c r="B126" s="3292"/>
      <c r="C126" s="3292"/>
      <c r="D126" s="3293" t="str">
        <f>H111</f>
        <v>——</v>
      </c>
      <c r="E126" s="3294"/>
      <c r="F126" s="3294"/>
      <c r="G126" s="3294"/>
      <c r="H126" s="3294"/>
      <c r="I126" s="3295"/>
    </row>
    <row r="127" spans="1:11" ht="18.75" customHeight="1">
      <c r="A127" s="3126" t="s">
        <v>2303</v>
      </c>
      <c r="B127" s="3126"/>
      <c r="C127" s="3126"/>
      <c r="D127" s="3289" t="e">
        <f>NUMBERSTRING(INT(D126*10000),2)&amp;"元整"</f>
        <v>#VALUE!</v>
      </c>
      <c r="E127" s="3290"/>
      <c r="F127" s="3290"/>
      <c r="G127" s="3290"/>
      <c r="H127" s="3290"/>
      <c r="I127" s="3291"/>
    </row>
    <row r="128" spans="1:11" ht="21.75" customHeight="1">
      <c r="A128" s="3296" t="s">
        <v>2304</v>
      </c>
      <c r="B128" s="3296"/>
      <c r="C128" s="3296"/>
      <c r="D128" s="3296"/>
      <c r="E128" s="3296"/>
      <c r="F128" s="3296"/>
      <c r="G128" s="3296"/>
      <c r="H128" s="3296"/>
      <c r="I128" s="329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sqref="A1: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2313</v>
      </c>
      <c r="B2" s="246">
        <f ca="1">IF(D2="——",C52,C52-E2)</f>
        <v>472374</v>
      </c>
      <c r="C2" s="243" t="s">
        <v>2314</v>
      </c>
      <c r="D2" s="2542" t="s">
        <v>70</v>
      </c>
      <c r="E2" s="1440" t="e">
        <f ca="1">SUMIF(INDIRECT("'"&amp;G2&amp;"'"&amp;"!A:A"),"承租人权益价值",INDIRECT("'"&amp;G2&amp;"'"&amp;"!c:c"))</f>
        <v>#REF!</v>
      </c>
      <c r="F2" s="2543" t="s">
        <v>2314</v>
      </c>
      <c r="G2" s="2544"/>
    </row>
    <row r="3" spans="1:9" s="244" customFormat="1" ht="18" customHeight="1" thickBot="1">
      <c r="A3" s="247" t="s">
        <v>2315</v>
      </c>
      <c r="B3" s="248">
        <f ca="1">ROUND(B2*10000/(IF(B1="",'数据-汇总表'!E3,INDIRECT("'数据-取费表'!k"&amp;$G$1))),0)</f>
        <v>47806</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246572</v>
      </c>
      <c r="D5" s="255" t="s">
        <v>2320</v>
      </c>
      <c r="E5" s="256" t="s">
        <v>2321</v>
      </c>
      <c r="F5" s="256" t="s">
        <v>2322</v>
      </c>
      <c r="G5" s="257"/>
    </row>
    <row r="6" spans="1:9" s="258" customFormat="1" ht="13.5" customHeight="1">
      <c r="A6" s="950" t="s">
        <v>2323</v>
      </c>
      <c r="B6" s="259" t="s">
        <v>2324</v>
      </c>
      <c r="C6" s="260">
        <f>'土地比较法-住宅、综合'!B2</f>
        <v>237357</v>
      </c>
      <c r="D6" s="261"/>
      <c r="E6" s="262"/>
      <c r="F6" s="262"/>
      <c r="G6" s="263"/>
    </row>
    <row r="7" spans="1:9" s="258" customFormat="1" ht="13.5" customHeight="1">
      <c r="A7" s="950" t="s">
        <v>2325</v>
      </c>
      <c r="B7" s="259" t="s">
        <v>2326</v>
      </c>
      <c r="C7" s="264">
        <f>ROUND(C6*F7,0)</f>
        <v>7239</v>
      </c>
      <c r="D7" s="264"/>
      <c r="E7" s="262"/>
      <c r="F7" s="265">
        <f>'数据-取费表'!B48+'数据-取费表'!B49</f>
        <v>3.0499999999999999E-2</v>
      </c>
      <c r="G7" s="263"/>
    </row>
    <row r="8" spans="1:9" s="267" customFormat="1">
      <c r="A8" s="950" t="s">
        <v>2327</v>
      </c>
      <c r="B8" s="259" t="s">
        <v>2328</v>
      </c>
      <c r="C8" s="264">
        <f ca="1">IF(G8="已包含在土地购买价格中","0",IF(B1="",'数据-取费表'!B29,IF(G9="全部缴纳",C9+C10,H9)))</f>
        <v>1976</v>
      </c>
      <c r="D8" s="266"/>
      <c r="E8" s="264"/>
      <c r="F8" s="265"/>
      <c r="G8" s="2545" t="s">
        <v>3146</v>
      </c>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t="s">
        <v>3147</v>
      </c>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2335</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2335</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t="str">
        <f>IF(G19="已包含在土地取得成本中","0",ROUND(D19*E19/10000,0))</f>
        <v>0</v>
      </c>
      <c r="D19" s="1037">
        <f ca="1">D9+D10</f>
        <v>98810.33</v>
      </c>
      <c r="E19" s="255">
        <f>'数据-取费表'!B31</f>
        <v>200</v>
      </c>
      <c r="F19" s="275"/>
      <c r="G19" s="2545" t="s">
        <v>3148</v>
      </c>
    </row>
    <row r="20" spans="1:7" s="258" customFormat="1" ht="13.5" customHeight="1">
      <c r="A20" s="299" t="s">
        <v>2344</v>
      </c>
      <c r="B20" s="254" t="s">
        <v>2345</v>
      </c>
      <c r="C20" s="276">
        <f ca="1">ROUND((C5+C19)*F20,0)</f>
        <v>7397</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37365</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2353</v>
      </c>
      <c r="B23" s="259" t="s">
        <v>2354</v>
      </c>
      <c r="C23" s="1355">
        <f ca="1">ROUND(IF('数据-取费表'!B22&lt;=1,C5*F22*'数据-取费表'!B23,C5*(POWER((1+F22),'数据-取费表'!B23)-1)),0)</f>
        <v>36832</v>
      </c>
      <c r="D23" s="282"/>
      <c r="E23" s="282"/>
      <c r="F23" s="283"/>
      <c r="G23" s="284" t="s">
        <v>2355</v>
      </c>
    </row>
    <row r="24" spans="1:7" s="258" customFormat="1" ht="13.5" customHeight="1">
      <c r="A24" s="952"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2" t="s">
        <v>2359</v>
      </c>
      <c r="B25" s="259" t="s">
        <v>2360</v>
      </c>
      <c r="C25" s="1355">
        <f ca="1">ROUND(IF('数据-取费表'!B22&lt;=1,C20*F22*'数据-取费表'!B23/2,C20*(POWER((1+F22),'数据-取费表'!B23/2)-1)),0)</f>
        <v>533</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50794</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50794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376586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2385</v>
      </c>
      <c r="B39" s="254" t="s">
        <v>2386</v>
      </c>
      <c r="C39" s="276">
        <f ca="1">ROUND(C33*F20,0)</f>
        <v>2430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ROUND(IF('数据-取费表'!B22&lt;=1,C33*F22*'数据-取费表'!B21/2,C33*(POWER((1+F22),'数据-取费表'!B21/2)-1)),0)</f>
        <v>5839</v>
      </c>
      <c r="D42" s="282"/>
      <c r="E42" s="282"/>
      <c r="F42" s="283"/>
      <c r="G42" s="3297" t="s">
        <v>2395</v>
      </c>
    </row>
    <row r="43" spans="1:7" ht="13.5" customHeight="1">
      <c r="A43" s="952" t="s">
        <v>792</v>
      </c>
      <c r="B43" s="259" t="s">
        <v>2396</v>
      </c>
      <c r="C43" s="282">
        <f ca="1">ROUND(IF('数据-取费表'!B22&lt;=1,C39*F22*'数据-取费表'!B21/2,C39*(POWER((1+F22),'数据-取费表'!B21/2)-1)),0)</f>
        <v>175</v>
      </c>
      <c r="D43" s="282"/>
      <c r="E43" s="282"/>
      <c r="F43" s="283"/>
      <c r="G43" s="3298"/>
    </row>
    <row r="44" spans="1:7" ht="13.5" customHeight="1">
      <c r="A44" s="952" t="s">
        <v>793</v>
      </c>
      <c r="B44" s="259" t="s">
        <v>2397</v>
      </c>
      <c r="C44" s="282">
        <f ca="1">ROUND(IF('数据-取费表'!B22&lt;=1,C40*F22*'数据-取费表'!B21/2,C40*(POWER((1+F22),'数据-取费表'!B21/2)-1)),4)</f>
        <v>2.2000000000000001E-3</v>
      </c>
      <c r="D44" s="282"/>
      <c r="E44" s="282"/>
      <c r="F44" s="283"/>
      <c r="G44" s="3299"/>
    </row>
    <row r="45" spans="1:7" s="258" customFormat="1" ht="13.5" customHeight="1">
      <c r="A45" s="299" t="s">
        <v>2398</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472374</v>
      </c>
      <c r="D52" s="310"/>
      <c r="E52" s="310"/>
      <c r="F52" s="310"/>
      <c r="G52" s="312"/>
    </row>
    <row r="54" spans="1:7">
      <c r="D54" s="316">
        <f ca="1">C33/(C33+C5)*(C31+C49)</f>
        <v>122001.77915797893</v>
      </c>
    </row>
    <row r="55" spans="1:7" ht="15">
      <c r="B55" s="314" t="s">
        <v>2413</v>
      </c>
      <c r="C55" s="315"/>
    </row>
    <row r="56" spans="1:7">
      <c r="B56" s="317" t="s">
        <v>1507</v>
      </c>
      <c r="C56" s="319">
        <f ca="1">1-C57</f>
        <v>0.79699999999999993</v>
      </c>
    </row>
    <row r="57" spans="1:7">
      <c r="B57" s="317" t="s">
        <v>1508</v>
      </c>
      <c r="C57" s="318">
        <f ca="1">ROUND(C51/C52,3)</f>
        <v>0.20300000000000001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08" t="str">
        <f>项目基本情况!S2</f>
        <v>北京市朝阳区东三环中路61号楼“富力万丽酒店”酒店、商业、地下车库、地下仓储用房房地产</v>
      </c>
      <c r="B2" s="3209"/>
      <c r="C2" s="3209"/>
      <c r="D2" s="3209"/>
      <c r="E2" s="3209"/>
      <c r="F2" s="3209"/>
      <c r="G2" s="3209"/>
      <c r="H2" s="3209"/>
      <c r="I2" s="3210"/>
    </row>
    <row r="3" spans="1:12" ht="12.75">
      <c r="A3" s="3211" t="s">
        <v>2105</v>
      </c>
      <c r="B3" s="3212"/>
      <c r="C3" s="3212"/>
      <c r="D3" s="3212"/>
      <c r="E3" s="3212"/>
      <c r="F3" s="3212"/>
      <c r="G3" s="3212"/>
      <c r="H3" s="3212"/>
      <c r="I3" s="3212"/>
    </row>
    <row r="4" spans="1:12" ht="14.25">
      <c r="A4" s="2418" t="s">
        <v>2106</v>
      </c>
      <c r="B4" s="2419" t="s">
        <v>2107</v>
      </c>
      <c r="C4" s="2420"/>
      <c r="D4" s="2420"/>
      <c r="E4" s="3213" t="s">
        <v>2108</v>
      </c>
      <c r="F4" s="3214"/>
      <c r="G4" s="3214"/>
      <c r="H4" s="3214"/>
      <c r="I4" s="3215"/>
      <c r="K4" s="2421" t="str">
        <f>IF(ISNUMBER(FIND("比较法",'结果表 (办公)'!C4)),"比较法",IF(ISNUMBER(FIND("成本法",'结果表 (办公)'!C4)),"成本法",IF(ISNUMBER(FIND("假设开发法",'结果表 (办公)'!C4)),"假设开发法",IF(ISNUMBER(FIND("收益法",'结果表 (办公)'!C4)),"收益法","基准地价系数修正法"))))</f>
        <v>基准地价系数修正法</v>
      </c>
      <c r="L4" s="2421" t="str">
        <f>IF(ISNUMBER(FIND("比较法",'结果表 (办公)'!D4)),"比较法",IF(ISNUMBER(FIND("成本法",'结果表 (办公)'!D4)),"成本法",IF(ISNUMBER(FIND("假设开发法",'结果表 (办公)'!D4)),"假设开发法",IF(ISNUMBER(FIND("收益法",'结果表 (办公)'!D4)),"收益法","基准地价系数修正法"))))</f>
        <v>基准地价系数修正法</v>
      </c>
    </row>
    <row r="5" spans="1:12" ht="12.75">
      <c r="A5" s="3204" t="s">
        <v>2109</v>
      </c>
      <c r="B5" s="3126">
        <v>25</v>
      </c>
      <c r="C5" s="3205"/>
      <c r="D5" s="3207"/>
      <c r="E5" s="140" t="s">
        <v>2110</v>
      </c>
      <c r="F5" s="2422"/>
      <c r="G5" s="2422"/>
      <c r="H5" s="2422"/>
      <c r="I5" s="1829"/>
    </row>
    <row r="6" spans="1:12" ht="12.75">
      <c r="A6" s="3204"/>
      <c r="B6" s="3126"/>
      <c r="C6" s="3216"/>
      <c r="D6" s="3207"/>
      <c r="E6" s="140" t="s">
        <v>2111</v>
      </c>
      <c r="F6" s="2422"/>
      <c r="G6" s="2422"/>
      <c r="H6" s="2422"/>
      <c r="I6" s="1829"/>
    </row>
    <row r="7" spans="1:12" ht="12.75">
      <c r="A7" s="3204"/>
      <c r="B7" s="3126"/>
      <c r="C7" s="3206"/>
      <c r="D7" s="3207"/>
      <c r="E7" s="140" t="s">
        <v>2112</v>
      </c>
      <c r="F7" s="2422"/>
      <c r="G7" s="2422"/>
      <c r="H7" s="2422"/>
      <c r="I7" s="1829"/>
    </row>
    <row r="8" spans="1:12" ht="12.75">
      <c r="A8" s="3204" t="s">
        <v>2113</v>
      </c>
      <c r="B8" s="3126">
        <v>15</v>
      </c>
      <c r="C8" s="3205"/>
      <c r="D8" s="3207"/>
      <c r="E8" s="140" t="s">
        <v>2114</v>
      </c>
      <c r="F8" s="2422"/>
      <c r="G8" s="2422"/>
      <c r="H8" s="2422"/>
      <c r="I8" s="1829"/>
    </row>
    <row r="9" spans="1:12" ht="12.75">
      <c r="A9" s="3204"/>
      <c r="B9" s="3126"/>
      <c r="C9" s="3206"/>
      <c r="D9" s="3207"/>
      <c r="E9" s="140" t="s">
        <v>2115</v>
      </c>
      <c r="F9" s="2422"/>
      <c r="G9" s="2422"/>
      <c r="H9" s="2422"/>
      <c r="I9" s="1829"/>
    </row>
    <row r="10" spans="1:12" ht="12.75">
      <c r="A10" s="3204" t="s">
        <v>2116</v>
      </c>
      <c r="B10" s="3126">
        <v>15</v>
      </c>
      <c r="C10" s="3205"/>
      <c r="D10" s="3207"/>
      <c r="E10" s="140" t="s">
        <v>2117</v>
      </c>
      <c r="F10" s="2422"/>
      <c r="G10" s="2422"/>
      <c r="H10" s="2422"/>
      <c r="I10" s="1829"/>
    </row>
    <row r="11" spans="1:12" ht="12.75">
      <c r="A11" s="3204"/>
      <c r="B11" s="3126"/>
      <c r="C11" s="3206"/>
      <c r="D11" s="3207"/>
      <c r="E11" s="140" t="s">
        <v>2118</v>
      </c>
      <c r="F11" s="2422"/>
      <c r="G11" s="2422"/>
      <c r="H11" s="2422"/>
      <c r="I11" s="1829"/>
    </row>
    <row r="12" spans="1:12" ht="12.75">
      <c r="A12" s="3204" t="s">
        <v>2119</v>
      </c>
      <c r="B12" s="3126">
        <v>15</v>
      </c>
      <c r="C12" s="3205"/>
      <c r="D12" s="3207"/>
      <c r="E12" s="140" t="s">
        <v>2120</v>
      </c>
      <c r="F12" s="2422"/>
      <c r="G12" s="2422"/>
      <c r="H12" s="2422"/>
      <c r="I12" s="1829"/>
    </row>
    <row r="13" spans="1:12" ht="12.75">
      <c r="A13" s="3204"/>
      <c r="B13" s="3126"/>
      <c r="C13" s="3206"/>
      <c r="D13" s="3207"/>
      <c r="E13" s="140" t="s">
        <v>2121</v>
      </c>
      <c r="F13" s="2422"/>
      <c r="G13" s="2422"/>
      <c r="H13" s="2422"/>
      <c r="I13" s="1829"/>
    </row>
    <row r="14" spans="1:12" ht="12.75">
      <c r="A14" s="3204" t="s">
        <v>2122</v>
      </c>
      <c r="B14" s="3126">
        <v>30</v>
      </c>
      <c r="C14" s="3205"/>
      <c r="D14" s="3207"/>
      <c r="E14" s="140" t="s">
        <v>2123</v>
      </c>
      <c r="F14" s="2422"/>
      <c r="G14" s="2422"/>
      <c r="H14" s="2422"/>
      <c r="I14" s="1829"/>
    </row>
    <row r="15" spans="1:12" ht="12.75">
      <c r="A15" s="3204"/>
      <c r="B15" s="3126"/>
      <c r="C15" s="3216"/>
      <c r="D15" s="3207"/>
      <c r="E15" s="140" t="s">
        <v>2124</v>
      </c>
      <c r="F15" s="2422"/>
      <c r="G15" s="2422"/>
      <c r="H15" s="2422"/>
      <c r="I15" s="1829"/>
    </row>
    <row r="16" spans="1:12" ht="12.75">
      <c r="A16" s="3204"/>
      <c r="B16" s="3126"/>
      <c r="C16" s="3206"/>
      <c r="D16" s="3207"/>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 (办公)'!B19,INDIRECT("'"&amp;C4&amp;"'"&amp;"!B:B"))</f>
        <v>#REF!</v>
      </c>
      <c r="D19" s="144" t="e">
        <f ca="1">SUMIF(INDIRECT("'"&amp;D4&amp;"'"&amp;"!A:A"),'结果表 (办公)'!B19,INDIRECT("'"&amp;D4&amp;"'"&amp;"!B:B"))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 (办公)'!B20,INDIRECT("'"&amp;C4&amp;"'"&amp;"!B:B"))</f>
        <v>#REF!</v>
      </c>
      <c r="D20" s="147" t="e">
        <f ca="1">SUMIF(INDIRECT("'"&amp;D4&amp;"'"&amp;"!A:A"),'结果表 (办公)'!B20,INDIRECT("'"&amp;D4&amp;"'"&amp;"!B:B"))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17" t="s">
        <v>2140</v>
      </c>
      <c r="B24" s="2428" t="s">
        <v>2132</v>
      </c>
      <c r="C24" s="145">
        <f>IF(B30=0,0,D30)</f>
        <v>0</v>
      </c>
      <c r="D24" s="2435"/>
      <c r="E24" s="138"/>
      <c r="F24" s="138"/>
      <c r="G24" s="138"/>
      <c r="H24" s="138"/>
      <c r="I24" s="138"/>
    </row>
    <row r="25" spans="1:35" ht="14.25">
      <c r="A25" s="3218"/>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19" t="s">
        <v>2154</v>
      </c>
      <c r="B36" s="2454" t="s">
        <v>2155</v>
      </c>
      <c r="C36" s="154"/>
      <c r="D36" s="2455"/>
      <c r="E36" s="2456"/>
      <c r="F36" s="2457"/>
      <c r="G36" s="138"/>
      <c r="H36" s="138"/>
      <c r="I36" s="138"/>
    </row>
    <row r="37" spans="1:15" ht="15.75" thickBot="1">
      <c r="A37" s="3220"/>
      <c r="B37" s="2261" t="s">
        <v>2156</v>
      </c>
      <c r="C37" s="156"/>
      <c r="D37" s="1392"/>
      <c r="E37" s="1392"/>
      <c r="F37" s="2457"/>
      <c r="G37" s="138"/>
      <c r="H37" s="138"/>
      <c r="I37" s="138"/>
    </row>
    <row r="38" spans="1:15" ht="15.75" thickBot="1">
      <c r="A38" s="3221"/>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2" t="s">
        <v>2168</v>
      </c>
      <c r="B45" s="3223"/>
      <c r="C45" s="3224"/>
      <c r="D45" s="164" t="e">
        <f ca="1">ROUND(H101*F45,0)</f>
        <v>#REF!</v>
      </c>
      <c r="E45" s="165" t="s">
        <v>2169</v>
      </c>
      <c r="F45" s="166">
        <v>1</v>
      </c>
      <c r="G45" s="167" t="s">
        <v>2170</v>
      </c>
      <c r="H45" s="138"/>
      <c r="I45" s="138"/>
      <c r="J45" s="3225" t="s">
        <v>2171</v>
      </c>
      <c r="K45" s="3225"/>
      <c r="L45" s="3225"/>
      <c r="M45" s="3225"/>
      <c r="N45" s="3225"/>
      <c r="O45" s="3225"/>
    </row>
    <row r="46" spans="1:15" ht="14.25" customHeight="1">
      <c r="A46" s="3226" t="s">
        <v>2172</v>
      </c>
      <c r="B46" s="3227"/>
      <c r="C46" s="3227"/>
      <c r="D46" s="3227"/>
      <c r="E46" s="3227"/>
      <c r="F46" s="3227"/>
      <c r="G46" s="3228"/>
      <c r="H46" s="2473"/>
      <c r="I46" s="168"/>
      <c r="J46" s="2946">
        <v>1</v>
      </c>
      <c r="K46" s="3225" t="s">
        <v>2173</v>
      </c>
      <c r="L46" s="3225"/>
      <c r="M46" s="3229"/>
      <c r="N46" s="3229"/>
      <c r="O46" s="3229"/>
    </row>
    <row r="47" spans="1:15" ht="12" customHeight="1">
      <c r="A47" s="169" t="s">
        <v>2174</v>
      </c>
      <c r="B47" s="170"/>
      <c r="C47" s="171"/>
      <c r="D47" s="172" t="s">
        <v>2175</v>
      </c>
      <c r="E47" s="24" t="s">
        <v>2176</v>
      </c>
      <c r="F47" s="173" t="s">
        <v>2177</v>
      </c>
      <c r="G47" s="174" t="s">
        <v>2178</v>
      </c>
      <c r="H47" s="2473"/>
      <c r="I47" s="168"/>
      <c r="J47" s="2946">
        <v>2</v>
      </c>
      <c r="K47" s="3225" t="s">
        <v>2179</v>
      </c>
      <c r="L47" s="3225"/>
      <c r="M47" s="3230">
        <f>'数据-取费表'!B2</f>
        <v>43581</v>
      </c>
      <c r="N47" s="3230"/>
      <c r="O47" s="3230"/>
    </row>
    <row r="48" spans="1:15" ht="25.5">
      <c r="A48" s="3231" t="s">
        <v>2180</v>
      </c>
      <c r="B48" s="3232"/>
      <c r="C48" s="3232"/>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25" t="s">
        <v>2183</v>
      </c>
      <c r="L48" s="3225"/>
      <c r="M48" s="3233" t="e">
        <f ca="1">H101</f>
        <v>#REF!</v>
      </c>
      <c r="N48" s="3233"/>
      <c r="O48" s="3233"/>
    </row>
    <row r="49" spans="1:35" ht="25.5" customHeight="1">
      <c r="A49" s="176" t="s">
        <v>2184</v>
      </c>
      <c r="B49" s="3234" t="s">
        <v>2185</v>
      </c>
      <c r="C49" s="3234"/>
      <c r="D49" s="177">
        <v>0</v>
      </c>
      <c r="E49" s="23" t="s">
        <v>2186</v>
      </c>
      <c r="F49" s="28" t="s">
        <v>34</v>
      </c>
      <c r="G49" s="3235"/>
      <c r="H49" s="138"/>
      <c r="I49" s="2476"/>
      <c r="J49" s="2946">
        <v>4</v>
      </c>
      <c r="K49" s="3225" t="str">
        <f>IF(项目基本情况!E8="房地产抵押价值","房地产抵押价值","抵押担保权已注销时的房地产抵押价值")</f>
        <v>房地产抵押价值</v>
      </c>
      <c r="L49" s="3225"/>
      <c r="M49" s="3233" t="e">
        <f ca="1">IF(项目基本情况!E8="房地产抵押价值",H107,H109)</f>
        <v>#REF!</v>
      </c>
      <c r="N49" s="3233"/>
      <c r="O49" s="3233"/>
    </row>
    <row r="50" spans="1:35" ht="25.5" customHeight="1">
      <c r="A50" s="178"/>
      <c r="B50" s="3234" t="s">
        <v>2187</v>
      </c>
      <c r="C50" s="3234"/>
      <c r="D50" s="179"/>
      <c r="E50" s="31"/>
      <c r="F50" s="180"/>
      <c r="G50" s="3236"/>
      <c r="H50" s="138"/>
      <c r="I50" s="2476"/>
      <c r="J50" s="3225" t="s">
        <v>2188</v>
      </c>
      <c r="K50" s="3225"/>
      <c r="L50" s="3225"/>
      <c r="M50" s="3225"/>
      <c r="N50" s="3225"/>
      <c r="O50" s="3225"/>
    </row>
    <row r="51" spans="1:35" ht="12" customHeight="1">
      <c r="A51" s="181"/>
      <c r="B51" s="3234" t="s">
        <v>2189</v>
      </c>
      <c r="C51" s="3234"/>
      <c r="D51" s="182"/>
      <c r="E51" s="30"/>
      <c r="F51" s="180"/>
      <c r="G51" s="3237"/>
      <c r="H51" s="138"/>
      <c r="I51" s="2476"/>
      <c r="J51" s="2939" t="s">
        <v>2190</v>
      </c>
      <c r="K51" s="3225" t="s">
        <v>2191</v>
      </c>
      <c r="L51" s="3225"/>
      <c r="M51" s="2939" t="s">
        <v>2192</v>
      </c>
      <c r="N51" s="2939" t="s">
        <v>2193</v>
      </c>
      <c r="O51" s="2939" t="s">
        <v>2194</v>
      </c>
    </row>
    <row r="52" spans="1:35" ht="24" customHeight="1">
      <c r="A52" s="183" t="s">
        <v>2195</v>
      </c>
      <c r="B52" s="3234" t="s">
        <v>2196</v>
      </c>
      <c r="C52" s="3234"/>
      <c r="D52" s="182" t="e">
        <f ca="1">ROUND(D45*'数据-取费表'!B41/(1+'数据-取费表'!C42),0)</f>
        <v>#REF!</v>
      </c>
      <c r="E52" s="11" t="s">
        <v>2197</v>
      </c>
      <c r="F52" s="184">
        <f>'数据-取费表'!B41</f>
        <v>5.6000000000000001E-2</v>
      </c>
      <c r="G52" s="2478"/>
      <c r="H52" s="138"/>
      <c r="I52" s="2476"/>
      <c r="J52" s="2946">
        <v>1</v>
      </c>
      <c r="K52" s="3240" t="s">
        <v>2198</v>
      </c>
      <c r="L52" s="3240"/>
      <c r="M52" s="1750">
        <f>D48</f>
        <v>0</v>
      </c>
      <c r="N52" s="2946" t="str">
        <f>E48</f>
        <v>销售额×税（费）率</v>
      </c>
      <c r="O52" s="1751" t="str">
        <f>F48</f>
        <v>免征</v>
      </c>
    </row>
    <row r="53" spans="1:35" ht="12" customHeight="1">
      <c r="A53" s="183" t="s">
        <v>2199</v>
      </c>
      <c r="B53" s="3238" t="s">
        <v>2200</v>
      </c>
      <c r="C53" s="3239"/>
      <c r="D53" s="182" t="e">
        <f ca="1">ROUND(D45*'数据-取费表'!B41/(1+'数据-取费表'!C42),0)</f>
        <v>#REF!</v>
      </c>
      <c r="E53" s="11" t="s">
        <v>2197</v>
      </c>
      <c r="F53" s="184">
        <f>'数据-取费表'!B41</f>
        <v>5.6000000000000001E-2</v>
      </c>
      <c r="G53" s="2478"/>
      <c r="H53" s="138"/>
      <c r="I53" s="2476"/>
      <c r="J53" s="2946">
        <v>2</v>
      </c>
      <c r="K53" s="3240" t="s">
        <v>2201</v>
      </c>
      <c r="L53" s="3240"/>
      <c r="M53" s="1750" t="e">
        <f t="shared" ref="M53:O54" ca="1" si="0">D55</f>
        <v>#REF!</v>
      </c>
      <c r="N53" s="2946" t="str">
        <f t="shared" si="0"/>
        <v>销售额×税（费）率</v>
      </c>
      <c r="O53" s="1751">
        <f t="shared" si="0"/>
        <v>5.0000000000000001E-4</v>
      </c>
    </row>
    <row r="54" spans="1:35" ht="12" customHeight="1">
      <c r="A54" s="183" t="s">
        <v>2202</v>
      </c>
      <c r="B54" s="3238" t="s">
        <v>2203</v>
      </c>
      <c r="C54" s="3239"/>
      <c r="D54" s="182" t="e">
        <f ca="1">C68</f>
        <v>#REF!</v>
      </c>
      <c r="E54" s="30" t="s">
        <v>2204</v>
      </c>
      <c r="F54" s="184">
        <f>'数据-取费表'!B41</f>
        <v>5.6000000000000001E-2</v>
      </c>
      <c r="G54" s="2478"/>
      <c r="H54" s="2479"/>
      <c r="I54" s="2476"/>
      <c r="J54" s="2946">
        <v>3</v>
      </c>
      <c r="K54" s="3240" t="s">
        <v>2205</v>
      </c>
      <c r="L54" s="3240"/>
      <c r="M54" s="1750" t="e">
        <f t="shared" ca="1" si="0"/>
        <v>#REF!</v>
      </c>
      <c r="N54" s="2946" t="str">
        <f t="shared" si="0"/>
        <v>增值额×税（费）率</v>
      </c>
      <c r="O54" s="1752" t="str">
        <f t="shared" si="0"/>
        <v>——</v>
      </c>
    </row>
    <row r="55" spans="1:35" ht="24" customHeight="1">
      <c r="A55" s="3241" t="s">
        <v>2206</v>
      </c>
      <c r="B55" s="3232"/>
      <c r="C55" s="3232"/>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40" t="str">
        <f>IF(H59="非个人房产","——","个人所得税")</f>
        <v>——</v>
      </c>
      <c r="L55" s="3240"/>
      <c r="M55" s="1753" t="str">
        <f>D59</f>
        <v>——</v>
      </c>
      <c r="N55" s="2947" t="str">
        <f>E59</f>
        <v>——</v>
      </c>
      <c r="O55" s="1754" t="str">
        <f>F59</f>
        <v>——</v>
      </c>
    </row>
    <row r="56" spans="1:35" ht="24.75">
      <c r="A56" s="3241" t="s">
        <v>2209</v>
      </c>
      <c r="B56" s="3232"/>
      <c r="C56" s="3232"/>
      <c r="D56" s="185" t="e">
        <f ca="1">IF(H56="个人住宅",D57,D58)</f>
        <v>#REF!</v>
      </c>
      <c r="E56" s="11" t="s">
        <v>2210</v>
      </c>
      <c r="F56" s="184" t="str">
        <f>IF(H56="正常",F58,"免征")</f>
        <v>——</v>
      </c>
      <c r="G56" s="2480" t="s">
        <v>2211</v>
      </c>
      <c r="H56" s="2481" t="s">
        <v>2208</v>
      </c>
      <c r="I56" s="2482"/>
      <c r="J56" s="2946" t="str">
        <f>IF(项目基本情况!K6="上海银行",IF(J55="",4,J55+1),"")</f>
        <v/>
      </c>
      <c r="K56" s="3242" t="str">
        <f>IF(项目基本情况!K6="上海银行","其他处置费用","")</f>
        <v/>
      </c>
      <c r="L56" s="3243"/>
      <c r="M56" s="1750" t="str">
        <f>IF(项目基本情况!K6="上海银行",M69,"")</f>
        <v/>
      </c>
      <c r="N56" s="3250" t="str">
        <f>IF(项目基本情况!K6="上海银行","包含处置中涉及的律师、诉讼、拍卖、评估等费用","")</f>
        <v/>
      </c>
      <c r="O56" s="3251"/>
    </row>
    <row r="57" spans="1:35" ht="12.75">
      <c r="A57" s="183" t="s">
        <v>2184</v>
      </c>
      <c r="B57" s="3213" t="s">
        <v>2212</v>
      </c>
      <c r="C57" s="3215"/>
      <c r="D57" s="187">
        <v>0</v>
      </c>
      <c r="E57" s="23" t="s">
        <v>2186</v>
      </c>
      <c r="F57" s="155"/>
      <c r="G57" s="2478"/>
      <c r="H57" s="2482"/>
      <c r="I57" s="2482"/>
      <c r="J57" s="3240">
        <f>IF(AND(J55="",J56=""),4,IF(项目基本情况!K6="上海银行",'结果表 (办公)'!J56+1,'结果表 (办公)'!J55+1))</f>
        <v>4</v>
      </c>
      <c r="K57" s="3240" t="s">
        <v>2213</v>
      </c>
      <c r="L57" s="2483" t="s">
        <v>2214</v>
      </c>
      <c r="M57" s="1755"/>
      <c r="N57" s="1756">
        <f ca="1">SUMIF(M52:M56,"&lt;9e307")</f>
        <v>0</v>
      </c>
      <c r="O57" s="2484"/>
      <c r="P57" s="1749" t="e">
        <f ca="1">N57/M49</f>
        <v>#REF!</v>
      </c>
    </row>
    <row r="58" spans="1:35" ht="24.75">
      <c r="A58" s="183" t="s">
        <v>2195</v>
      </c>
      <c r="B58" s="3213" t="s">
        <v>2215</v>
      </c>
      <c r="C58" s="3214"/>
      <c r="D58" s="185" t="e">
        <f ca="1">IF(H58="转让取得",C81,C97)</f>
        <v>#REF!</v>
      </c>
      <c r="E58" s="11" t="s">
        <v>2210</v>
      </c>
      <c r="F58" s="24" t="s">
        <v>34</v>
      </c>
      <c r="G58" s="2478"/>
      <c r="H58" s="2481" t="s">
        <v>2216</v>
      </c>
      <c r="I58" s="2482"/>
      <c r="J58" s="3240"/>
      <c r="K58" s="3240"/>
      <c r="L58" s="2483" t="s">
        <v>2217</v>
      </c>
      <c r="M58" s="1757"/>
      <c r="N58" s="2485" t="str">
        <f ca="1">NUMBERSTRING(INT(N57*10000),2)&amp;"元整"</f>
        <v>零元整</v>
      </c>
      <c r="O58" s="2486"/>
    </row>
    <row r="59" spans="1:35" ht="24.75" thickBot="1">
      <c r="A59" s="3252" t="s">
        <v>2218</v>
      </c>
      <c r="B59" s="3253"/>
      <c r="C59" s="3253"/>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4">
        <f>J57+1</f>
        <v>5</v>
      </c>
      <c r="K59" s="3240" t="s">
        <v>2220</v>
      </c>
      <c r="L59" s="2946" t="s">
        <v>2214</v>
      </c>
      <c r="M59" s="1758"/>
      <c r="N59" s="1759" t="e">
        <f ca="1">M49-N57</f>
        <v>#REF!</v>
      </c>
      <c r="O59" s="2488"/>
    </row>
    <row r="60" spans="1:35" ht="12" customHeight="1">
      <c r="A60" s="2489"/>
      <c r="B60" s="2411"/>
      <c r="C60" s="2411"/>
      <c r="D60" s="2411"/>
      <c r="E60" s="2161"/>
      <c r="F60" s="2482"/>
      <c r="G60" s="2482"/>
      <c r="H60" s="2490"/>
      <c r="I60" s="138"/>
      <c r="J60" s="3255"/>
      <c r="K60" s="3240"/>
      <c r="L60" s="2483" t="s">
        <v>2217</v>
      </c>
      <c r="M60" s="1757"/>
      <c r="N60" s="2485" t="e">
        <f ca="1">NUMBERSTRING(INT(N59*10000),2)&amp;"元整"</f>
        <v>#REF!</v>
      </c>
      <c r="O60" s="2486"/>
    </row>
    <row r="61" spans="1:35" ht="13.5" thickBot="1">
      <c r="A61" s="3244" t="s">
        <v>2221</v>
      </c>
      <c r="B61" s="3244"/>
      <c r="C61" s="3244"/>
      <c r="D61" s="3244"/>
      <c r="E61" s="3244"/>
      <c r="F61" s="2482"/>
      <c r="G61" s="2482"/>
      <c r="H61" s="2490"/>
      <c r="I61" s="138"/>
      <c r="J61" s="2946">
        <f>J59+1</f>
        <v>6</v>
      </c>
      <c r="K61" s="3240" t="s">
        <v>2222</v>
      </c>
      <c r="L61" s="3240"/>
      <c r="M61" s="1760"/>
      <c r="N61" s="1761" t="e">
        <f ca="1">ROUND(N59*10000/'数据-汇总表'!E3,0)</f>
        <v>#REF!</v>
      </c>
      <c r="O61" s="2491"/>
    </row>
    <row r="62" spans="1:35" ht="12.75">
      <c r="A62" s="3245" t="s">
        <v>2223</v>
      </c>
      <c r="B62" s="3246"/>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47"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47"/>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47"/>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47"/>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47"/>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47"/>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47"/>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8" t="s">
        <v>2242</v>
      </c>
      <c r="B70" s="3249"/>
      <c r="C70" s="3249"/>
      <c r="D70" s="3249"/>
      <c r="E70" s="3249"/>
      <c r="F70" s="3249"/>
      <c r="G70" s="3249"/>
      <c r="H70" s="324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5" t="s">
        <v>2223</v>
      </c>
      <c r="B71" s="3246"/>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8" t="s">
        <v>2251</v>
      </c>
      <c r="F76" s="3234"/>
      <c r="G76" s="3234"/>
      <c r="H76" s="32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56" t="s">
        <v>2256</v>
      </c>
      <c r="F78" s="3257"/>
      <c r="G78" s="3257"/>
      <c r="H78" s="325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8" t="s">
        <v>2260</v>
      </c>
      <c r="B83" s="3249"/>
      <c r="C83" s="3249"/>
      <c r="D83" s="3249"/>
      <c r="E83" s="3249"/>
      <c r="F83" s="3249"/>
      <c r="G83" s="3249"/>
      <c r="H83" s="324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5" t="s">
        <v>2223</v>
      </c>
      <c r="B84" s="3246"/>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6" t="s">
        <v>2269</v>
      </c>
      <c r="F91" s="3257"/>
      <c r="G91" s="3257"/>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6" t="s">
        <v>2273</v>
      </c>
      <c r="F92" s="3257"/>
      <c r="G92" s="3257"/>
      <c r="H92" s="325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56" t="s">
        <v>2256</v>
      </c>
      <c r="F93" s="3257"/>
      <c r="G93" s="3257"/>
      <c r="H93" s="325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9" t="s">
        <v>2277</v>
      </c>
      <c r="F94" s="3260"/>
      <c r="G94" s="3260"/>
      <c r="H94" s="326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62"/>
      <c r="E100" s="3168" t="s">
        <v>2280</v>
      </c>
      <c r="F100" s="3168"/>
      <c r="G100" s="3168"/>
      <c r="H100" s="3262"/>
      <c r="I100" s="138"/>
    </row>
    <row r="101" spans="1:35" ht="18.75" customHeight="1">
      <c r="A101" s="3263" t="s">
        <v>2281</v>
      </c>
      <c r="B101" s="3264"/>
      <c r="C101" s="736">
        <f>C4</f>
        <v>0</v>
      </c>
      <c r="D101" s="737">
        <f>D4</f>
        <v>0</v>
      </c>
      <c r="E101" s="3265" t="s">
        <v>2282</v>
      </c>
      <c r="F101" s="3266"/>
      <c r="G101" s="2513" t="s">
        <v>2283</v>
      </c>
      <c r="H101" s="1046" t="e">
        <f ca="1">H118</f>
        <v>#REF!</v>
      </c>
      <c r="I101" s="138"/>
    </row>
    <row r="102" spans="1:35" ht="18.75" customHeight="1">
      <c r="A102" s="3267" t="s">
        <v>2284</v>
      </c>
      <c r="B102" s="2513" t="s">
        <v>2283</v>
      </c>
      <c r="C102" s="736" t="e">
        <f ca="1">C19</f>
        <v>#REF!</v>
      </c>
      <c r="D102" s="737" t="e">
        <f ca="1">D19</f>
        <v>#REF!</v>
      </c>
      <c r="E102" s="3265"/>
      <c r="F102" s="3266"/>
      <c r="G102" s="2513" t="s">
        <v>2285</v>
      </c>
      <c r="H102" s="371" t="e">
        <f ca="1">I118</f>
        <v>#REF!</v>
      </c>
      <c r="I102" s="138"/>
    </row>
    <row r="103" spans="1:35" ht="42.75" customHeight="1">
      <c r="A103" s="3267"/>
      <c r="B103" s="2513" t="s">
        <v>2285</v>
      </c>
      <c r="C103" s="738" t="e">
        <f ca="1">C20</f>
        <v>#REF!</v>
      </c>
      <c r="D103" s="739" t="e">
        <f ca="1">D20</f>
        <v>#REF!</v>
      </c>
      <c r="E103" s="3268" t="s">
        <v>2286</v>
      </c>
      <c r="F103" s="3269"/>
      <c r="G103" s="2514" t="s">
        <v>2287</v>
      </c>
      <c r="H103" s="1046">
        <f>IF(D36="正常操作",H104+H105+H106,H105+H106)</f>
        <v>0</v>
      </c>
      <c r="I103" s="138"/>
    </row>
    <row r="104" spans="1:35" ht="18.75" customHeight="1">
      <c r="A104" s="3267"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76"/>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7" t="str">
        <f>IF(项目基本情况!E8="已注销","——","3.房地产抵押价值")</f>
        <v>3.房地产抵押价值</v>
      </c>
      <c r="F107" s="3266"/>
      <c r="G107" s="2513" t="s">
        <v>2283</v>
      </c>
      <c r="H107" s="1046" t="e">
        <f ca="1">IF(E107="——","——",H101-H103)</f>
        <v>#REF!</v>
      </c>
      <c r="I107" s="138"/>
    </row>
    <row r="108" spans="1:35" ht="18.75" customHeight="1">
      <c r="A108" s="138"/>
      <c r="B108" s="138"/>
      <c r="C108" s="138"/>
      <c r="D108" s="138"/>
      <c r="E108" s="3277"/>
      <c r="F108" s="3266"/>
      <c r="G108" s="2513" t="s">
        <v>2285</v>
      </c>
      <c r="H108" s="371" t="e">
        <f ca="1">ROUND(H107*10000/'数据-汇总表'!E3,0)</f>
        <v>#REF!</v>
      </c>
      <c r="I108" s="138"/>
    </row>
    <row r="109" spans="1:35" ht="18.75" customHeight="1">
      <c r="A109" s="138"/>
      <c r="B109" s="138"/>
      <c r="C109" s="138"/>
      <c r="D109" s="138"/>
      <c r="E109" s="3277" t="str">
        <f>IF(项目基本情况!E8="已注销及未注销","4.抵押担保权已注销时的房地产抵押价值",IF(项目基本情况!E8="已注销","3.抵押担保权已注销时的房地产抵押价值","——"))</f>
        <v>——</v>
      </c>
      <c r="F109" s="3266"/>
      <c r="G109" s="2513" t="s">
        <v>2283</v>
      </c>
      <c r="H109" s="348" t="str">
        <f>IF(E109="——","——",H101-H105-H106)</f>
        <v>——</v>
      </c>
      <c r="I109" s="138"/>
    </row>
    <row r="110" spans="1:35" ht="18.75" customHeight="1">
      <c r="A110" s="138"/>
      <c r="B110" s="138"/>
      <c r="C110" s="138"/>
      <c r="D110" s="138"/>
      <c r="E110" s="3277"/>
      <c r="F110" s="3266"/>
      <c r="G110" s="2513" t="s">
        <v>2285</v>
      </c>
      <c r="H110" s="371" t="str">
        <f>IF(H109="——","——",ROUND(H109*10000/'数据-汇总表'!E3,0))</f>
        <v>——</v>
      </c>
      <c r="I110" s="138"/>
    </row>
    <row r="111" spans="1:35" ht="18.75" customHeight="1">
      <c r="A111" s="138"/>
      <c r="B111" s="138"/>
      <c r="C111" s="138"/>
      <c r="D111" s="138"/>
      <c r="E111" s="3278" t="str">
        <f>IF(项目基本情况!E9="抵押净值",IF(OR(项目基本情况!E8="已注销",项目基本情况!E8="房地产抵押价值"),"4.抵押净值","5.抵押净值"),"——")</f>
        <v>——</v>
      </c>
      <c r="F111" s="3279"/>
      <c r="G111" s="2513" t="s">
        <v>2283</v>
      </c>
      <c r="H111" s="1046" t="str">
        <f>IF(E111="——","——",N59)</f>
        <v>——</v>
      </c>
      <c r="I111" s="138"/>
    </row>
    <row r="112" spans="1:35" ht="18.75" customHeight="1" thickBot="1">
      <c r="A112" s="138"/>
      <c r="B112" s="138"/>
      <c r="C112" s="138"/>
      <c r="D112" s="138"/>
      <c r="E112" s="3280"/>
      <c r="F112" s="3281"/>
      <c r="G112" s="2518" t="s">
        <v>2285</v>
      </c>
      <c r="H112" s="790" t="str">
        <f>IF(E111="——","——",N61)</f>
        <v>——</v>
      </c>
      <c r="I112" s="138"/>
    </row>
    <row r="113" spans="1:11" ht="18.75" customHeight="1">
      <c r="A113" s="138"/>
      <c r="B113" s="138"/>
      <c r="C113" s="138"/>
      <c r="D113" s="138"/>
      <c r="E113" s="3282" t="s">
        <v>2291</v>
      </c>
      <c r="F113" s="3282"/>
      <c r="G113" s="3282"/>
      <c r="H113" s="3282"/>
      <c r="I113" s="138"/>
    </row>
    <row r="114" spans="1:11" ht="3.75" customHeight="1">
      <c r="A114" s="2411"/>
      <c r="B114" s="2411"/>
      <c r="C114" s="2411"/>
      <c r="D114" s="2411"/>
      <c r="E114" s="2489"/>
      <c r="F114" s="2489"/>
      <c r="G114" s="2489"/>
      <c r="H114" s="2489"/>
      <c r="I114" s="2411"/>
    </row>
    <row r="115" spans="1:11" ht="18.75" customHeight="1">
      <c r="A115" s="3283" t="s">
        <v>2293</v>
      </c>
      <c r="B115" s="3284"/>
      <c r="C115" s="3284"/>
      <c r="D115" s="3284"/>
      <c r="E115" s="3284"/>
      <c r="F115" s="3284"/>
      <c r="G115" s="3284"/>
      <c r="H115" s="3284"/>
      <c r="I115" s="3285"/>
    </row>
    <row r="116" spans="1:11" ht="27" customHeight="1">
      <c r="A116" s="3126" t="s">
        <v>2294</v>
      </c>
      <c r="B116" s="3271" t="s">
        <v>2295</v>
      </c>
      <c r="C116" s="3271" t="s">
        <v>2296</v>
      </c>
      <c r="D116" s="3273" t="s">
        <v>2297</v>
      </c>
      <c r="E116" s="3274"/>
      <c r="F116" s="3275" t="s">
        <v>2298</v>
      </c>
      <c r="G116" s="3275"/>
      <c r="H116" s="3126" t="s">
        <v>2299</v>
      </c>
      <c r="I116" s="3126"/>
    </row>
    <row r="117" spans="1:11" ht="18.75" customHeight="1">
      <c r="A117" s="3126"/>
      <c r="B117" s="3272"/>
      <c r="C117" s="3272"/>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26" t="s">
        <v>2303</v>
      </c>
      <c r="B119" s="3126"/>
      <c r="C119" s="3126"/>
      <c r="D119" s="3289" t="e">
        <f ca="1">NUMBERSTRING(INT(D118*10000),2)&amp;"元整"</f>
        <v>#REF!</v>
      </c>
      <c r="E119" s="3291"/>
      <c r="F119" s="3289" t="e">
        <f ca="1">NUMBERSTRING(INT(F118*10000),2)&amp;"元整"</f>
        <v>#REF!</v>
      </c>
      <c r="G119" s="3291"/>
      <c r="H119" s="3289" t="e">
        <f ca="1">NUMBERSTRING(INT(H118*10000),2)&amp;"元整"</f>
        <v>#REF!</v>
      </c>
      <c r="I119" s="3291"/>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16" t="str">
        <f>IF(D120=0,"故，本次评估不存在"&amp;A120,"故，本次评估"&amp;A120&amp;"为人民币"&amp;D120&amp;"万元整。")</f>
        <v>故，本次评估不存在估价师知悉的法定优先受偿款</v>
      </c>
    </row>
    <row r="121" spans="1:11" ht="18.75" customHeight="1">
      <c r="A121" s="3286" t="s">
        <v>2303</v>
      </c>
      <c r="B121" s="3287"/>
      <c r="C121" s="3288"/>
      <c r="D121" s="3289" t="str">
        <f>IF(D120=0,"零元整",NUMBERSTRING(INT(D120*10000),2)&amp;"元整")</f>
        <v>零元整</v>
      </c>
      <c r="E121" s="3290"/>
      <c r="F121" s="3290"/>
      <c r="G121" s="3290"/>
      <c r="H121" s="3290"/>
      <c r="I121" s="3291"/>
    </row>
    <row r="122" spans="1:11" ht="18.75" customHeight="1">
      <c r="A122" s="3292" t="str">
        <f>IF(项目基本情况!B9="房地产市场价值","",MID(E107,3,LEN(E107)-2))</f>
        <v>房地产抵押价值</v>
      </c>
      <c r="B122" s="3292"/>
      <c r="C122" s="3292"/>
      <c r="D122" s="3293" t="e">
        <f ca="1">H107</f>
        <v>#REF!</v>
      </c>
      <c r="E122" s="3294"/>
      <c r="F122" s="3294"/>
      <c r="G122" s="3294"/>
      <c r="H122" s="3294"/>
      <c r="I122" s="3295"/>
    </row>
    <row r="123" spans="1:11" ht="18.75" customHeight="1">
      <c r="A123" s="3126" t="s">
        <v>2303</v>
      </c>
      <c r="B123" s="3126"/>
      <c r="C123" s="3126"/>
      <c r="D123" s="3289" t="e">
        <f ca="1">NUMBERSTRING(INT(D122*10000),2)&amp;"元整"</f>
        <v>#REF!</v>
      </c>
      <c r="E123" s="3290"/>
      <c r="F123" s="3290"/>
      <c r="G123" s="3290"/>
      <c r="H123" s="3290"/>
      <c r="I123" s="3291"/>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126" t="s">
        <v>2303</v>
      </c>
      <c r="B125" s="3126"/>
      <c r="C125" s="3126"/>
      <c r="D125" s="3289" t="e">
        <f>NUMBERSTRING(INT(D124*10000),2)&amp;"元整"</f>
        <v>#VALUE!</v>
      </c>
      <c r="E125" s="3290"/>
      <c r="F125" s="3290"/>
      <c r="G125" s="3290"/>
      <c r="H125" s="3290"/>
      <c r="I125" s="3291"/>
    </row>
    <row r="126" spans="1:11" ht="18.75" customHeight="1">
      <c r="A126" s="3292" t="str">
        <f>IF(项目基本情况!B9="房地产市场价值","",MID(E111,3,LEN(E111)-2))</f>
        <v/>
      </c>
      <c r="B126" s="3292"/>
      <c r="C126" s="3292"/>
      <c r="D126" s="3293" t="str">
        <f>H111</f>
        <v>——</v>
      </c>
      <c r="E126" s="3294"/>
      <c r="F126" s="3294"/>
      <c r="G126" s="3294"/>
      <c r="H126" s="3294"/>
      <c r="I126" s="3295"/>
    </row>
    <row r="127" spans="1:11" ht="18.75" customHeight="1">
      <c r="A127" s="3126" t="s">
        <v>2303</v>
      </c>
      <c r="B127" s="3126"/>
      <c r="C127" s="3126"/>
      <c r="D127" s="3289" t="e">
        <f>NUMBERSTRING(INT(D126*10000),2)&amp;"元整"</f>
        <v>#VALUE!</v>
      </c>
      <c r="E127" s="3290"/>
      <c r="F127" s="3290"/>
      <c r="G127" s="3290"/>
      <c r="H127" s="3290"/>
      <c r="I127" s="3291"/>
    </row>
    <row r="128" spans="1:11" ht="21.75" customHeight="1">
      <c r="A128" s="3296" t="s">
        <v>2304</v>
      </c>
      <c r="B128" s="3296"/>
      <c r="C128" s="3296"/>
      <c r="D128" s="3296"/>
      <c r="E128" s="3296"/>
      <c r="F128" s="3296"/>
      <c r="G128" s="3296"/>
      <c r="H128" s="3296"/>
      <c r="I128" s="329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C10:D13">
    <cfRule type="cellIs" dxfId="184" priority="5" stopIfTrue="1" operator="equal">
      <formula>15</formula>
    </cfRule>
  </conditionalFormatting>
  <conditionalFormatting sqref="D14:D16">
    <cfRule type="cellIs" dxfId="183" priority="4"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53" sqref="H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IF(C2="——",ROUND(C50*D3/10000,0),ROUND(C50*D3/10000,0)-D2)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2631</v>
      </c>
      <c r="B4" s="402"/>
      <c r="C4" s="3318" t="s">
        <v>2632</v>
      </c>
      <c r="D4" s="3319"/>
      <c r="E4" s="3320" t="s">
        <v>2633</v>
      </c>
      <c r="F4" s="3321"/>
      <c r="G4" s="3318" t="s">
        <v>2634</v>
      </c>
      <c r="H4" s="3319"/>
      <c r="I4" s="3318" t="s">
        <v>2635</v>
      </c>
      <c r="J4" s="3319"/>
      <c r="K4" s="610" t="s">
        <v>2636</v>
      </c>
      <c r="L4" s="1131"/>
      <c r="M4" s="1132"/>
      <c r="N4" s="1132"/>
      <c r="O4" s="1132"/>
      <c r="P4" s="3322" t="s">
        <v>2637</v>
      </c>
      <c r="Q4" s="3323"/>
      <c r="R4" s="3328" t="s">
        <v>2633</v>
      </c>
      <c r="S4" s="3329"/>
      <c r="T4" s="3328" t="s">
        <v>2634</v>
      </c>
      <c r="U4" s="3329"/>
      <c r="V4" s="3334" t="s">
        <v>2635</v>
      </c>
      <c r="W4" s="3334"/>
      <c r="X4" s="2665"/>
      <c r="Y4" s="3328" t="s">
        <v>2637</v>
      </c>
      <c r="Z4" s="3329"/>
      <c r="AA4" s="3346" t="s">
        <v>2633</v>
      </c>
      <c r="AB4" s="3346" t="s">
        <v>2634</v>
      </c>
      <c r="AC4" s="3315" t="s">
        <v>2635</v>
      </c>
    </row>
    <row r="5" spans="1:29" ht="15">
      <c r="A5" s="404"/>
      <c r="B5" s="405"/>
      <c r="C5" s="3338" t="s">
        <v>2528</v>
      </c>
      <c r="D5" s="3339"/>
      <c r="E5" s="3349" t="s">
        <v>2529</v>
      </c>
      <c r="F5" s="3350"/>
      <c r="G5" s="3338" t="s">
        <v>2530</v>
      </c>
      <c r="H5" s="3339"/>
      <c r="I5" s="3338" t="s">
        <v>2531</v>
      </c>
      <c r="J5" s="3339"/>
      <c r="K5" s="610"/>
      <c r="L5" s="1131"/>
      <c r="M5" s="1132"/>
      <c r="N5" s="1132"/>
      <c r="O5" s="1132"/>
      <c r="P5" s="3324"/>
      <c r="Q5" s="3325"/>
      <c r="R5" s="3330"/>
      <c r="S5" s="3331"/>
      <c r="T5" s="3330"/>
      <c r="U5" s="3331"/>
      <c r="V5" s="3335"/>
      <c r="W5" s="3335"/>
      <c r="X5" s="1811"/>
      <c r="Y5" s="3330"/>
      <c r="Z5" s="3331"/>
      <c r="AA5" s="3347"/>
      <c r="AB5" s="3347"/>
      <c r="AC5" s="3316"/>
    </row>
    <row r="6" spans="1:29" ht="15.75" thickBot="1">
      <c r="A6" s="406"/>
      <c r="B6" s="407"/>
      <c r="C6" s="3336" t="s">
        <v>2532</v>
      </c>
      <c r="D6" s="3337"/>
      <c r="E6" s="3344" t="s">
        <v>2532</v>
      </c>
      <c r="F6" s="3345"/>
      <c r="G6" s="3336" t="s">
        <v>2532</v>
      </c>
      <c r="H6" s="3337"/>
      <c r="I6" s="3336" t="s">
        <v>2532</v>
      </c>
      <c r="J6" s="3337"/>
      <c r="K6" s="610" t="s">
        <v>2533</v>
      </c>
      <c r="L6" s="1131"/>
      <c r="M6" s="1132"/>
      <c r="N6" s="1132"/>
      <c r="O6" s="1132"/>
      <c r="P6" s="3326"/>
      <c r="Q6" s="3327"/>
      <c r="R6" s="3330"/>
      <c r="S6" s="3331"/>
      <c r="T6" s="3332"/>
      <c r="U6" s="3333"/>
      <c r="V6" s="3335"/>
      <c r="W6" s="3335"/>
      <c r="X6" s="1811"/>
      <c r="Y6" s="3332"/>
      <c r="Z6" s="3333"/>
      <c r="AA6" s="3348"/>
      <c r="AB6" s="3348"/>
      <c r="AC6" s="3317"/>
    </row>
    <row r="7" spans="1:29" s="117" customFormat="1" ht="15.75" thickBot="1">
      <c r="A7" s="408" t="s">
        <v>2534</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40" t="s">
        <v>2535</v>
      </c>
      <c r="Q7" s="3343"/>
      <c r="R7" s="770" t="s">
        <v>17</v>
      </c>
      <c r="S7" s="771">
        <f t="shared" ref="S7:S15" si="0">F7</f>
        <v>0</v>
      </c>
      <c r="T7" s="770" t="s">
        <v>17</v>
      </c>
      <c r="U7" s="771">
        <f t="shared" ref="U7:U15" si="1">H7</f>
        <v>0</v>
      </c>
      <c r="V7" s="770" t="s">
        <v>17</v>
      </c>
      <c r="W7" s="771">
        <f t="shared" ref="W7:W15" si="2">J7</f>
        <v>0</v>
      </c>
      <c r="X7" s="772"/>
      <c r="Y7" s="3342" t="s">
        <v>2535</v>
      </c>
      <c r="Z7" s="3341"/>
      <c r="AA7" s="773" t="e">
        <f>D7/F7</f>
        <v>#DIV/0!</v>
      </c>
      <c r="AB7" s="773"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40" t="s">
        <v>2538</v>
      </c>
      <c r="Q8" s="3341"/>
      <c r="R8" s="770" t="s">
        <v>17</v>
      </c>
      <c r="S8" s="771">
        <f t="shared" si="0"/>
        <v>0</v>
      </c>
      <c r="T8" s="770" t="s">
        <v>17</v>
      </c>
      <c r="U8" s="771">
        <f t="shared" si="1"/>
        <v>0</v>
      </c>
      <c r="V8" s="770" t="s">
        <v>17</v>
      </c>
      <c r="W8" s="771">
        <f t="shared" si="2"/>
        <v>0</v>
      </c>
      <c r="X8" s="772"/>
      <c r="Y8" s="3342" t="s">
        <v>2538</v>
      </c>
      <c r="Z8" s="3341"/>
      <c r="AA8" s="773" t="e">
        <f t="shared" ref="AA8:AA47" si="3">D8/F8</f>
        <v>#DIV/0!</v>
      </c>
      <c r="AB8" s="773"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300" t="s">
        <v>2541</v>
      </c>
      <c r="Q9" s="1793" t="str">
        <f t="shared" ref="Q9:Q15" si="6">B9</f>
        <v>用途</v>
      </c>
      <c r="R9" s="770" t="s">
        <v>17</v>
      </c>
      <c r="S9" s="771">
        <f t="shared" si="0"/>
        <v>100</v>
      </c>
      <c r="T9" s="770" t="s">
        <v>17</v>
      </c>
      <c r="U9" s="771">
        <f t="shared" si="1"/>
        <v>100</v>
      </c>
      <c r="V9" s="770" t="s">
        <v>17</v>
      </c>
      <c r="W9" s="771">
        <f t="shared" si="2"/>
        <v>100</v>
      </c>
      <c r="X9" s="772"/>
      <c r="Y9" s="3126" t="s">
        <v>2542</v>
      </c>
      <c r="Z9" s="55" t="str">
        <f t="shared" ref="Z9:Z15" si="7">Q9</f>
        <v>用途</v>
      </c>
      <c r="AA9" s="773">
        <f t="shared" si="3"/>
        <v>1</v>
      </c>
      <c r="AB9" s="773">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300"/>
      <c r="Q10" s="1793" t="str">
        <f t="shared" si="6"/>
        <v>土地使用年限（年）</v>
      </c>
      <c r="R10" s="770" t="s">
        <v>17</v>
      </c>
      <c r="S10" s="771">
        <f t="shared" si="0"/>
        <v>100</v>
      </c>
      <c r="T10" s="770" t="s">
        <v>17</v>
      </c>
      <c r="U10" s="771">
        <f t="shared" si="1"/>
        <v>100</v>
      </c>
      <c r="V10" s="770" t="s">
        <v>17</v>
      </c>
      <c r="W10" s="771">
        <f t="shared" si="2"/>
        <v>100</v>
      </c>
      <c r="X10" s="772"/>
      <c r="Y10" s="3126"/>
      <c r="Z10" s="55" t="str">
        <f t="shared" si="7"/>
        <v>土地使用年限（年）</v>
      </c>
      <c r="AA10" s="773">
        <f t="shared" si="3"/>
        <v>1</v>
      </c>
      <c r="AB10" s="773">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300"/>
      <c r="Q11" s="1793" t="str">
        <f t="shared" si="6"/>
        <v>容积率</v>
      </c>
      <c r="R11" s="770" t="s">
        <v>17</v>
      </c>
      <c r="S11" s="771" t="e">
        <f t="shared" si="0"/>
        <v>#N/A</v>
      </c>
      <c r="T11" s="770" t="s">
        <v>17</v>
      </c>
      <c r="U11" s="771" t="e">
        <f t="shared" si="1"/>
        <v>#N/A</v>
      </c>
      <c r="V11" s="770" t="s">
        <v>17</v>
      </c>
      <c r="W11" s="771" t="e">
        <f t="shared" si="2"/>
        <v>#N/A</v>
      </c>
      <c r="X11" s="772"/>
      <c r="Y11" s="3126"/>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300"/>
      <c r="Q12" s="1793">
        <f t="shared" si="6"/>
        <v>111</v>
      </c>
      <c r="R12" s="770" t="s">
        <v>17</v>
      </c>
      <c r="S12" s="771">
        <f t="shared" si="0"/>
        <v>100</v>
      </c>
      <c r="T12" s="770" t="s">
        <v>17</v>
      </c>
      <c r="U12" s="771">
        <f t="shared" si="1"/>
        <v>100</v>
      </c>
      <c r="V12" s="770" t="s">
        <v>17</v>
      </c>
      <c r="W12" s="771">
        <f t="shared" si="2"/>
        <v>100</v>
      </c>
      <c r="X12" s="772"/>
      <c r="Y12" s="3126"/>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300"/>
      <c r="Q13" s="1793">
        <f t="shared" si="6"/>
        <v>111</v>
      </c>
      <c r="R13" s="770" t="s">
        <v>17</v>
      </c>
      <c r="S13" s="771">
        <f t="shared" si="0"/>
        <v>100</v>
      </c>
      <c r="T13" s="770" t="s">
        <v>17</v>
      </c>
      <c r="U13" s="771">
        <f t="shared" si="1"/>
        <v>100</v>
      </c>
      <c r="V13" s="770" t="s">
        <v>17</v>
      </c>
      <c r="W13" s="771">
        <f t="shared" si="2"/>
        <v>100</v>
      </c>
      <c r="X13" s="772"/>
      <c r="Y13" s="3126"/>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300"/>
      <c r="Q14" s="1793">
        <f t="shared" si="6"/>
        <v>111</v>
      </c>
      <c r="R14" s="770" t="s">
        <v>17</v>
      </c>
      <c r="S14" s="771">
        <f t="shared" si="0"/>
        <v>100</v>
      </c>
      <c r="T14" s="770" t="s">
        <v>17</v>
      </c>
      <c r="U14" s="771">
        <f t="shared" si="1"/>
        <v>100</v>
      </c>
      <c r="V14" s="770" t="s">
        <v>17</v>
      </c>
      <c r="W14" s="771">
        <f t="shared" si="2"/>
        <v>100</v>
      </c>
      <c r="X14" s="772"/>
      <c r="Y14" s="3126"/>
      <c r="Z14" s="55">
        <f t="shared" si="7"/>
        <v>111</v>
      </c>
      <c r="AA14" s="773">
        <f t="shared" si="3"/>
        <v>1</v>
      </c>
      <c r="AB14" s="773">
        <f t="shared" si="4"/>
        <v>1</v>
      </c>
      <c r="AC14" s="2666">
        <f t="shared" si="5"/>
        <v>1</v>
      </c>
    </row>
    <row r="15" spans="1:29" ht="15">
      <c r="A15" s="440" t="s">
        <v>2545</v>
      </c>
      <c r="B15" s="629" t="s">
        <v>2673</v>
      </c>
      <c r="C15" s="2668"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306" t="s">
        <v>2546</v>
      </c>
      <c r="Q15" s="1808" t="str">
        <f t="shared" si="6"/>
        <v>办公集聚程度</v>
      </c>
      <c r="R15" s="774" t="s">
        <v>17</v>
      </c>
      <c r="S15" s="775">
        <f t="shared" si="0"/>
        <v>100</v>
      </c>
      <c r="T15" s="774" t="s">
        <v>17</v>
      </c>
      <c r="U15" s="775">
        <f t="shared" si="1"/>
        <v>100</v>
      </c>
      <c r="V15" s="774" t="s">
        <v>17</v>
      </c>
      <c r="W15" s="775">
        <f t="shared" si="2"/>
        <v>100</v>
      </c>
      <c r="X15" s="1811"/>
      <c r="Y15" s="3308"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1"/>
      <c r="M16" s="1132"/>
      <c r="N16" s="1132"/>
      <c r="O16" s="1132"/>
      <c r="P16" s="3307"/>
      <c r="Q16" s="1808"/>
      <c r="R16" s="774"/>
      <c r="S16" s="775"/>
      <c r="T16" s="774"/>
      <c r="U16" s="775"/>
      <c r="V16" s="774"/>
      <c r="W16" s="775"/>
      <c r="X16" s="1811"/>
      <c r="Y16" s="3309"/>
      <c r="Z16" s="1812"/>
      <c r="AA16" s="1809">
        <v>1</v>
      </c>
      <c r="AB16" s="1809">
        <v>1</v>
      </c>
      <c r="AC16" s="2669">
        <v>1</v>
      </c>
    </row>
    <row r="17" spans="1:29" ht="15">
      <c r="A17" s="428"/>
      <c r="B17" s="631" t="s">
        <v>2084</v>
      </c>
      <c r="C17" s="2670"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307"/>
      <c r="Q17" s="1808" t="str">
        <f>B17</f>
        <v>交通便捷度</v>
      </c>
      <c r="R17" s="774" t="s">
        <v>17</v>
      </c>
      <c r="S17" s="775">
        <f>F17</f>
        <v>100</v>
      </c>
      <c r="T17" s="774" t="s">
        <v>17</v>
      </c>
      <c r="U17" s="775">
        <f>H17</f>
        <v>100</v>
      </c>
      <c r="V17" s="774" t="s">
        <v>17</v>
      </c>
      <c r="W17" s="775">
        <f>J17</f>
        <v>100</v>
      </c>
      <c r="X17" s="1811"/>
      <c r="Y17" s="3309"/>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1"/>
      <c r="M18" s="1132"/>
      <c r="N18" s="1132"/>
      <c r="O18" s="1132"/>
      <c r="P18" s="3307"/>
      <c r="Q18" s="1808"/>
      <c r="R18" s="774"/>
      <c r="S18" s="775"/>
      <c r="T18" s="774"/>
      <c r="U18" s="775"/>
      <c r="V18" s="774"/>
      <c r="W18" s="775"/>
      <c r="X18" s="1811"/>
      <c r="Y18" s="3309"/>
      <c r="Z18" s="1812"/>
      <c r="AA18" s="1809">
        <v>1</v>
      </c>
      <c r="AB18" s="1809">
        <v>1</v>
      </c>
      <c r="AC18" s="2669">
        <v>1</v>
      </c>
    </row>
    <row r="19" spans="1:29" ht="15">
      <c r="A19" s="428"/>
      <c r="B19" s="631" t="s">
        <v>2674</v>
      </c>
      <c r="C19" s="2670"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307"/>
      <c r="Q19" s="1808" t="str">
        <f>B19</f>
        <v>公共配套设施</v>
      </c>
      <c r="R19" s="774" t="s">
        <v>17</v>
      </c>
      <c r="S19" s="775">
        <f>F19</f>
        <v>100</v>
      </c>
      <c r="T19" s="774" t="s">
        <v>17</v>
      </c>
      <c r="U19" s="775">
        <f>H19</f>
        <v>100</v>
      </c>
      <c r="V19" s="774" t="s">
        <v>17</v>
      </c>
      <c r="W19" s="775">
        <f>J19</f>
        <v>100</v>
      </c>
      <c r="X19" s="1811"/>
      <c r="Y19" s="3309"/>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1"/>
      <c r="M20" s="1132"/>
      <c r="N20" s="1132"/>
      <c r="O20" s="1132"/>
      <c r="P20" s="3307"/>
      <c r="Q20" s="1808"/>
      <c r="R20" s="774"/>
      <c r="S20" s="775"/>
      <c r="T20" s="774"/>
      <c r="U20" s="775"/>
      <c r="V20" s="774"/>
      <c r="W20" s="775"/>
      <c r="X20" s="1811"/>
      <c r="Y20" s="3309"/>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307"/>
      <c r="Q21" s="1808" t="str">
        <f>B21</f>
        <v>基础设施水平</v>
      </c>
      <c r="R21" s="774" t="s">
        <v>17</v>
      </c>
      <c r="S21" s="775">
        <f>F21</f>
        <v>100</v>
      </c>
      <c r="T21" s="774" t="s">
        <v>17</v>
      </c>
      <c r="U21" s="775">
        <f>H21</f>
        <v>100</v>
      </c>
      <c r="V21" s="774" t="s">
        <v>17</v>
      </c>
      <c r="W21" s="775">
        <f>J21</f>
        <v>100</v>
      </c>
      <c r="X21" s="1811"/>
      <c r="Y21" s="3309"/>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1"/>
      <c r="M22" s="1132"/>
      <c r="N22" s="1132"/>
      <c r="O22" s="1132"/>
      <c r="P22" s="3307"/>
      <c r="Q22" s="1808"/>
      <c r="R22" s="774"/>
      <c r="S22" s="775"/>
      <c r="T22" s="774"/>
      <c r="U22" s="775"/>
      <c r="V22" s="774"/>
      <c r="W22" s="775"/>
      <c r="X22" s="1811"/>
      <c r="Y22" s="3309"/>
      <c r="Z22" s="1812"/>
      <c r="AA22" s="1809">
        <v>1</v>
      </c>
      <c r="AB22" s="1809">
        <v>1</v>
      </c>
      <c r="AC22" s="2669">
        <v>1</v>
      </c>
    </row>
    <row r="23" spans="1:29" ht="15">
      <c r="A23" s="428"/>
      <c r="B23" s="631" t="s">
        <v>2676</v>
      </c>
      <c r="C23" s="2670"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307"/>
      <c r="Q23" s="1808" t="str">
        <f>B23</f>
        <v>环境质量</v>
      </c>
      <c r="R23" s="774" t="s">
        <v>17</v>
      </c>
      <c r="S23" s="775">
        <f>F23</f>
        <v>100</v>
      </c>
      <c r="T23" s="774" t="s">
        <v>17</v>
      </c>
      <c r="U23" s="775">
        <f>H23</f>
        <v>100</v>
      </c>
      <c r="V23" s="774" t="s">
        <v>17</v>
      </c>
      <c r="W23" s="775">
        <f>J23</f>
        <v>100</v>
      </c>
      <c r="X23" s="1811"/>
      <c r="Y23" s="3309"/>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1"/>
      <c r="M24" s="1132"/>
      <c r="N24" s="1132"/>
      <c r="O24" s="1132"/>
      <c r="P24" s="3307"/>
      <c r="Q24" s="1808"/>
      <c r="R24" s="774"/>
      <c r="S24" s="775"/>
      <c r="T24" s="774"/>
      <c r="U24" s="775"/>
      <c r="V24" s="774"/>
      <c r="W24" s="775"/>
      <c r="X24" s="1811"/>
      <c r="Y24" s="3309"/>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307"/>
      <c r="Q25" s="1808" t="str">
        <f>B25</f>
        <v>毗邻道路的类型与等级</v>
      </c>
      <c r="R25" s="774" t="s">
        <v>17</v>
      </c>
      <c r="S25" s="775">
        <f>F25</f>
        <v>100</v>
      </c>
      <c r="T25" s="774" t="s">
        <v>17</v>
      </c>
      <c r="U25" s="775">
        <f>H25</f>
        <v>100</v>
      </c>
      <c r="V25" s="774" t="s">
        <v>17</v>
      </c>
      <c r="W25" s="775">
        <f>J25</f>
        <v>100</v>
      </c>
      <c r="X25" s="1811"/>
      <c r="Y25" s="3309"/>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1"/>
      <c r="M26" s="1132"/>
      <c r="N26" s="1132"/>
      <c r="O26" s="1132"/>
      <c r="P26" s="3307"/>
      <c r="Q26" s="1808"/>
      <c r="R26" s="774"/>
      <c r="S26" s="775"/>
      <c r="T26" s="774"/>
      <c r="U26" s="775"/>
      <c r="V26" s="774"/>
      <c r="W26" s="775"/>
      <c r="X26" s="1811"/>
      <c r="Y26" s="3309"/>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307"/>
      <c r="Q27" s="1808" t="str">
        <f t="shared" ref="Q27:Q47" si="11">B27</f>
        <v>楼层</v>
      </c>
      <c r="R27" s="774" t="s">
        <v>17</v>
      </c>
      <c r="S27" s="775">
        <f>F27</f>
        <v>100</v>
      </c>
      <c r="T27" s="774" t="s">
        <v>17</v>
      </c>
      <c r="U27" s="775">
        <f>H27</f>
        <v>100</v>
      </c>
      <c r="V27" s="774" t="s">
        <v>17</v>
      </c>
      <c r="W27" s="775">
        <f>J27</f>
        <v>100</v>
      </c>
      <c r="X27" s="1811"/>
      <c r="Y27" s="3309"/>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307"/>
      <c r="Q28" s="1793" t="str">
        <f t="shared" si="11"/>
        <v>朝向</v>
      </c>
      <c r="R28" s="770" t="s">
        <v>17</v>
      </c>
      <c r="S28" s="771">
        <f>F28</f>
        <v>100</v>
      </c>
      <c r="T28" s="770" t="s">
        <v>17</v>
      </c>
      <c r="U28" s="771">
        <f>H28</f>
        <v>100</v>
      </c>
      <c r="V28" s="770" t="s">
        <v>17</v>
      </c>
      <c r="W28" s="771">
        <f>J28</f>
        <v>100</v>
      </c>
      <c r="X28" s="772"/>
      <c r="Y28" s="3309"/>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307"/>
      <c r="Q29" s="1808">
        <f t="shared" si="11"/>
        <v>111</v>
      </c>
      <c r="R29" s="774" t="s">
        <v>17</v>
      </c>
      <c r="S29" s="775">
        <f t="shared" ref="S29:S47" si="12">F29</f>
        <v>100</v>
      </c>
      <c r="T29" s="774" t="s">
        <v>17</v>
      </c>
      <c r="U29" s="775">
        <f t="shared" ref="U29:U47" si="13">H29</f>
        <v>100</v>
      </c>
      <c r="V29" s="774" t="s">
        <v>17</v>
      </c>
      <c r="W29" s="775">
        <f t="shared" ref="W29:W47" si="14">J29</f>
        <v>100</v>
      </c>
      <c r="X29" s="1811"/>
      <c r="Y29" s="3309"/>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307"/>
      <c r="Q30" s="1808">
        <f t="shared" si="11"/>
        <v>111</v>
      </c>
      <c r="R30" s="774" t="s">
        <v>17</v>
      </c>
      <c r="S30" s="775">
        <f t="shared" si="12"/>
        <v>100</v>
      </c>
      <c r="T30" s="774" t="s">
        <v>17</v>
      </c>
      <c r="U30" s="775">
        <f t="shared" si="13"/>
        <v>100</v>
      </c>
      <c r="V30" s="774" t="s">
        <v>17</v>
      </c>
      <c r="W30" s="775">
        <f t="shared" si="14"/>
        <v>100</v>
      </c>
      <c r="X30" s="1811"/>
      <c r="Y30" s="3309"/>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307"/>
      <c r="Q31" s="1808">
        <f t="shared" si="11"/>
        <v>111</v>
      </c>
      <c r="R31" s="774" t="s">
        <v>17</v>
      </c>
      <c r="S31" s="775">
        <f t="shared" si="12"/>
        <v>100</v>
      </c>
      <c r="T31" s="774" t="s">
        <v>17</v>
      </c>
      <c r="U31" s="775">
        <f t="shared" si="13"/>
        <v>100</v>
      </c>
      <c r="V31" s="774" t="s">
        <v>17</v>
      </c>
      <c r="W31" s="775">
        <f t="shared" si="14"/>
        <v>100</v>
      </c>
      <c r="X31" s="1811"/>
      <c r="Y31" s="3309"/>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307"/>
      <c r="Q32" s="1808">
        <f t="shared" si="11"/>
        <v>111</v>
      </c>
      <c r="R32" s="774" t="s">
        <v>17</v>
      </c>
      <c r="S32" s="775">
        <f t="shared" si="12"/>
        <v>100</v>
      </c>
      <c r="T32" s="774" t="s">
        <v>17</v>
      </c>
      <c r="U32" s="775">
        <f t="shared" si="13"/>
        <v>100</v>
      </c>
      <c r="V32" s="774" t="s">
        <v>17</v>
      </c>
      <c r="W32" s="775">
        <f t="shared" si="14"/>
        <v>100</v>
      </c>
      <c r="X32" s="1811"/>
      <c r="Y32" s="3309"/>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310" t="s">
        <v>2551</v>
      </c>
      <c r="Q33" s="1808" t="str">
        <f t="shared" si="11"/>
        <v>建筑类型</v>
      </c>
      <c r="R33" s="774" t="s">
        <v>17</v>
      </c>
      <c r="S33" s="775">
        <f t="shared" si="12"/>
        <v>100</v>
      </c>
      <c r="T33" s="774" t="s">
        <v>17</v>
      </c>
      <c r="U33" s="775">
        <f t="shared" si="13"/>
        <v>100</v>
      </c>
      <c r="V33" s="774" t="s">
        <v>17</v>
      </c>
      <c r="W33" s="775">
        <f t="shared" si="14"/>
        <v>100</v>
      </c>
      <c r="X33" s="1811"/>
      <c r="Y33" s="3313"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311"/>
      <c r="Q34" s="776" t="str">
        <f t="shared" si="11"/>
        <v>项目建筑规模</v>
      </c>
      <c r="R34" s="777" t="s">
        <v>17</v>
      </c>
      <c r="S34" s="778" t="e">
        <f t="shared" si="12"/>
        <v>#N/A</v>
      </c>
      <c r="T34" s="777" t="s">
        <v>17</v>
      </c>
      <c r="U34" s="778" t="e">
        <f t="shared" si="13"/>
        <v>#N/A</v>
      </c>
      <c r="V34" s="777" t="s">
        <v>17</v>
      </c>
      <c r="W34" s="778" t="e">
        <f t="shared" si="14"/>
        <v>#N/A</v>
      </c>
      <c r="X34" s="779"/>
      <c r="Y34" s="3313"/>
      <c r="Z34" s="780"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311"/>
      <c r="Q35" s="1808" t="str">
        <f t="shared" si="11"/>
        <v>建筑结构</v>
      </c>
      <c r="R35" s="774" t="s">
        <v>17</v>
      </c>
      <c r="S35" s="775">
        <f t="shared" si="12"/>
        <v>100</v>
      </c>
      <c r="T35" s="774" t="s">
        <v>17</v>
      </c>
      <c r="U35" s="775">
        <f t="shared" si="13"/>
        <v>100</v>
      </c>
      <c r="V35" s="774" t="s">
        <v>17</v>
      </c>
      <c r="W35" s="775">
        <f t="shared" si="14"/>
        <v>100</v>
      </c>
      <c r="X35" s="1811"/>
      <c r="Y35" s="3313"/>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311"/>
      <c r="Q36" s="1808" t="str">
        <f t="shared" si="11"/>
        <v>公共部分装修</v>
      </c>
      <c r="R36" s="774" t="s">
        <v>17</v>
      </c>
      <c r="S36" s="775">
        <f t="shared" si="12"/>
        <v>100</v>
      </c>
      <c r="T36" s="774" t="s">
        <v>17</v>
      </c>
      <c r="U36" s="775">
        <f t="shared" si="13"/>
        <v>100</v>
      </c>
      <c r="V36" s="774" t="s">
        <v>17</v>
      </c>
      <c r="W36" s="775">
        <f t="shared" si="14"/>
        <v>100</v>
      </c>
      <c r="X36" s="1811"/>
      <c r="Y36" s="3313"/>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311"/>
      <c r="Q37" s="1808" t="str">
        <f t="shared" si="11"/>
        <v>成新度</v>
      </c>
      <c r="R37" s="774" t="s">
        <v>17</v>
      </c>
      <c r="S37" s="775" t="e">
        <f t="shared" si="12"/>
        <v>#N/A</v>
      </c>
      <c r="T37" s="774" t="s">
        <v>17</v>
      </c>
      <c r="U37" s="775" t="e">
        <f t="shared" si="13"/>
        <v>#N/A</v>
      </c>
      <c r="V37" s="774" t="s">
        <v>17</v>
      </c>
      <c r="W37" s="775" t="e">
        <f t="shared" si="14"/>
        <v>#N/A</v>
      </c>
      <c r="X37" s="1811"/>
      <c r="Y37" s="3313"/>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311"/>
      <c r="Q38" s="1793" t="str">
        <f t="shared" si="11"/>
        <v>写字楼等级</v>
      </c>
      <c r="R38" s="770" t="s">
        <v>17</v>
      </c>
      <c r="S38" s="771">
        <f t="shared" si="12"/>
        <v>100</v>
      </c>
      <c r="T38" s="770" t="s">
        <v>17</v>
      </c>
      <c r="U38" s="771">
        <f t="shared" si="13"/>
        <v>100</v>
      </c>
      <c r="V38" s="770" t="s">
        <v>17</v>
      </c>
      <c r="W38" s="771">
        <f t="shared" si="14"/>
        <v>100</v>
      </c>
      <c r="X38" s="772"/>
      <c r="Y38" s="3313"/>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311" t="s">
        <v>2551</v>
      </c>
      <c r="Q39" s="1808" t="str">
        <f t="shared" si="11"/>
        <v>物业管理</v>
      </c>
      <c r="R39" s="774" t="s">
        <v>17</v>
      </c>
      <c r="S39" s="775">
        <f t="shared" si="12"/>
        <v>100</v>
      </c>
      <c r="T39" s="774" t="s">
        <v>17</v>
      </c>
      <c r="U39" s="775">
        <f t="shared" si="13"/>
        <v>100</v>
      </c>
      <c r="V39" s="774" t="s">
        <v>17</v>
      </c>
      <c r="W39" s="775">
        <f t="shared" si="14"/>
        <v>100</v>
      </c>
      <c r="X39" s="1811"/>
      <c r="Y39" s="3313"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311"/>
      <c r="Q40" s="1808" t="str">
        <f t="shared" si="11"/>
        <v>市政基础设施</v>
      </c>
      <c r="R40" s="774" t="s">
        <v>17</v>
      </c>
      <c r="S40" s="775">
        <f t="shared" si="12"/>
        <v>100</v>
      </c>
      <c r="T40" s="774" t="s">
        <v>17</v>
      </c>
      <c r="U40" s="775">
        <f t="shared" si="13"/>
        <v>100</v>
      </c>
      <c r="V40" s="774" t="s">
        <v>17</v>
      </c>
      <c r="W40" s="775">
        <f t="shared" si="14"/>
        <v>100</v>
      </c>
      <c r="X40" s="1811"/>
      <c r="Y40" s="3313"/>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311"/>
      <c r="Q41" s="1808" t="str">
        <f t="shared" si="11"/>
        <v>层高</v>
      </c>
      <c r="R41" s="774" t="s">
        <v>17</v>
      </c>
      <c r="S41" s="775">
        <f t="shared" si="12"/>
        <v>100</v>
      </c>
      <c r="T41" s="774" t="s">
        <v>17</v>
      </c>
      <c r="U41" s="775">
        <f t="shared" si="13"/>
        <v>100</v>
      </c>
      <c r="V41" s="774" t="s">
        <v>17</v>
      </c>
      <c r="W41" s="775">
        <f t="shared" si="14"/>
        <v>100</v>
      </c>
      <c r="X41" s="1811"/>
      <c r="Y41" s="3313"/>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311"/>
      <c r="Q42" s="776" t="str">
        <f t="shared" si="11"/>
        <v>单套建筑面积</v>
      </c>
      <c r="R42" s="777" t="s">
        <v>17</v>
      </c>
      <c r="S42" s="778">
        <f t="shared" si="12"/>
        <v>100</v>
      </c>
      <c r="T42" s="777" t="s">
        <v>17</v>
      </c>
      <c r="U42" s="778">
        <f t="shared" si="13"/>
        <v>100</v>
      </c>
      <c r="V42" s="777" t="s">
        <v>17</v>
      </c>
      <c r="W42" s="778">
        <f t="shared" si="14"/>
        <v>100</v>
      </c>
      <c r="X42" s="779"/>
      <c r="Y42" s="3313"/>
      <c r="Z42" s="780"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311"/>
      <c r="Q43" s="1808" t="str">
        <f t="shared" si="11"/>
        <v>内部装修</v>
      </c>
      <c r="R43" s="774" t="s">
        <v>17</v>
      </c>
      <c r="S43" s="775">
        <f t="shared" si="12"/>
        <v>100</v>
      </c>
      <c r="T43" s="774" t="s">
        <v>17</v>
      </c>
      <c r="U43" s="775">
        <f t="shared" si="13"/>
        <v>100</v>
      </c>
      <c r="V43" s="774" t="s">
        <v>17</v>
      </c>
      <c r="W43" s="775">
        <f t="shared" si="14"/>
        <v>100</v>
      </c>
      <c r="X43" s="1811"/>
      <c r="Y43" s="3313"/>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311"/>
      <c r="Q44" s="1808" t="str">
        <f t="shared" si="11"/>
        <v>内部装修维护情况</v>
      </c>
      <c r="R44" s="774" t="s">
        <v>17</v>
      </c>
      <c r="S44" s="775">
        <f t="shared" si="12"/>
        <v>100</v>
      </c>
      <c r="T44" s="774" t="s">
        <v>17</v>
      </c>
      <c r="U44" s="775">
        <f t="shared" si="13"/>
        <v>100</v>
      </c>
      <c r="V44" s="774" t="s">
        <v>17</v>
      </c>
      <c r="W44" s="775">
        <f t="shared" si="14"/>
        <v>100</v>
      </c>
      <c r="X44" s="1811"/>
      <c r="Y44" s="3313"/>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311"/>
      <c r="Q45" s="1793">
        <f t="shared" si="11"/>
        <v>111</v>
      </c>
      <c r="R45" s="770" t="s">
        <v>17</v>
      </c>
      <c r="S45" s="771">
        <f t="shared" si="12"/>
        <v>100</v>
      </c>
      <c r="T45" s="770" t="s">
        <v>17</v>
      </c>
      <c r="U45" s="771">
        <f t="shared" si="13"/>
        <v>100</v>
      </c>
      <c r="V45" s="770" t="s">
        <v>17</v>
      </c>
      <c r="W45" s="771">
        <f t="shared" si="14"/>
        <v>100</v>
      </c>
      <c r="X45" s="772"/>
      <c r="Y45" s="3313"/>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311"/>
      <c r="Q46" s="1808">
        <f t="shared" si="11"/>
        <v>111</v>
      </c>
      <c r="R46" s="774" t="s">
        <v>17</v>
      </c>
      <c r="S46" s="775">
        <f t="shared" si="12"/>
        <v>100</v>
      </c>
      <c r="T46" s="774" t="s">
        <v>17</v>
      </c>
      <c r="U46" s="775">
        <f t="shared" si="13"/>
        <v>100</v>
      </c>
      <c r="V46" s="774" t="s">
        <v>17</v>
      </c>
      <c r="W46" s="775">
        <f t="shared" si="14"/>
        <v>100</v>
      </c>
      <c r="X46" s="1811"/>
      <c r="Y46" s="3313"/>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312"/>
      <c r="Q47" s="1808">
        <f t="shared" si="11"/>
        <v>111</v>
      </c>
      <c r="R47" s="774" t="s">
        <v>17</v>
      </c>
      <c r="S47" s="775">
        <f t="shared" si="12"/>
        <v>100</v>
      </c>
      <c r="T47" s="774" t="s">
        <v>17</v>
      </c>
      <c r="U47" s="775">
        <f t="shared" si="13"/>
        <v>100</v>
      </c>
      <c r="V47" s="774" t="s">
        <v>17</v>
      </c>
      <c r="W47" s="775">
        <f t="shared" si="14"/>
        <v>100</v>
      </c>
      <c r="X47" s="1811"/>
      <c r="Y47" s="3314"/>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3"/>
      <c r="L48" s="1144"/>
      <c r="M48" s="1132"/>
      <c r="N48" s="1132"/>
      <c r="O48" s="1132"/>
      <c r="P48" s="3300" t="str">
        <f>A48</f>
        <v>成交单价（元/平方米）</v>
      </c>
      <c r="Q48" s="3301"/>
      <c r="R48" s="3302">
        <f>E48</f>
        <v>0</v>
      </c>
      <c r="S48" s="3302"/>
      <c r="T48" s="3302">
        <f>G48</f>
        <v>0</v>
      </c>
      <c r="U48" s="3302"/>
      <c r="V48" s="3302">
        <f>I48</f>
        <v>0</v>
      </c>
      <c r="W48" s="3302"/>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4"/>
      <c r="M49" s="1132"/>
      <c r="N49" s="1132"/>
      <c r="O49" s="1132"/>
      <c r="P49" s="3300" t="str">
        <f>A49</f>
        <v>比较价值（元/平方米）</v>
      </c>
      <c r="Q49" s="3301"/>
      <c r="R49" s="3302" t="e">
        <f>IF(F1="售价",ROUND(PRODUCT(R48,AA7:AA47),0),ROUND(PRODUCT(R48,AA7:AA47),1))</f>
        <v>#DIV/0!</v>
      </c>
      <c r="S49" s="3302"/>
      <c r="T49" s="3302" t="e">
        <f>IF(F1="售价",ROUND(PRODUCT(T48,AB7:AB47),0),ROUND(PRODUCT(T48,AB7:AB47),1))</f>
        <v>#DIV/0!</v>
      </c>
      <c r="U49" s="3302"/>
      <c r="V49" s="3302" t="e">
        <f>IF(F1="售价",ROUND(PRODUCT(V48,AC7:AC47),0),ROUND(PRODUCT(V48,AC7:AC47),1))</f>
        <v>#DIV/0!</v>
      </c>
      <c r="W49" s="3302"/>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4"/>
      <c r="M50" s="1132"/>
      <c r="N50" s="1132"/>
      <c r="O50" s="1132"/>
      <c r="P50" s="3303" t="str">
        <f>A50</f>
        <v>估价对象XX用房的比较价值（楼面单价，元/平方米）</v>
      </c>
      <c r="Q50" s="3304"/>
      <c r="R50" s="3305" t="e">
        <f>IF(F1="售价",ROUND(AVERAGE(R49:V49),0),ROUND(AVERAGE(R49:V49),1))</f>
        <v>#DIV/0!</v>
      </c>
      <c r="S50" s="3305"/>
      <c r="T50" s="3305"/>
      <c r="U50" s="3305"/>
      <c r="V50" s="3305"/>
      <c r="W50" s="3305"/>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3" t="s">
        <v>2660</v>
      </c>
      <c r="B58" s="759"/>
      <c r="C58" s="764"/>
      <c r="D58" s="764"/>
      <c r="E58" s="764"/>
      <c r="F58" s="765"/>
      <c r="G58" s="765"/>
      <c r="H58" s="764"/>
      <c r="I58" s="764"/>
      <c r="J58" s="764"/>
      <c r="K58" s="766"/>
      <c r="L58" s="1162"/>
      <c r="M58" s="1160"/>
      <c r="N58" s="1160"/>
      <c r="O58" s="1160"/>
      <c r="P58" s="2676"/>
      <c r="Q58" s="504"/>
    </row>
    <row r="59" spans="1:29" s="508" customFormat="1" ht="15">
      <c r="A59" s="505" t="s">
        <v>2534</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2574</v>
      </c>
      <c r="B64" s="528" t="s">
        <v>2540</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2685</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2549</v>
      </c>
      <c r="B101" s="528" t="s">
        <v>2598</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2600</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2602</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2686</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2603</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2604</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2687</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2670</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2606</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79" priority="16" stopIfTrue="1" operator="containsText" text="超过">
      <formula>NOT(ISERROR(SEARCH("超过",F53)))</formula>
    </cfRule>
  </conditionalFormatting>
  <conditionalFormatting sqref="H55">
    <cfRule type="containsText" dxfId="178" priority="15" stopIfTrue="1" operator="containsText" text="超过">
      <formula>NOT(ISERROR(SEARCH("超过",H55)))</formula>
    </cfRule>
  </conditionalFormatting>
  <conditionalFormatting sqref="F55">
    <cfRule type="containsText" dxfId="177" priority="14" stopIfTrue="1" operator="containsText" text="超过">
      <formula>NOT(ISERROR(SEARCH("超过",F55)))</formula>
    </cfRule>
  </conditionalFormatting>
  <conditionalFormatting sqref="F54 H54">
    <cfRule type="containsText" dxfId="176" priority="13" stopIfTrue="1" operator="containsText" text="超过">
      <formula>NOT(ISERROR(SEARCH("超过",F54)))</formula>
    </cfRule>
  </conditionalFormatting>
  <conditionalFormatting sqref="E53">
    <cfRule type="expression" dxfId="175" priority="12" stopIfTrue="1">
      <formula>$F$53="超过30%"</formula>
    </cfRule>
  </conditionalFormatting>
  <conditionalFormatting sqref="E54">
    <cfRule type="expression" dxfId="174" priority="11" stopIfTrue="1">
      <formula>$F$54="超过20%"</formula>
    </cfRule>
  </conditionalFormatting>
  <conditionalFormatting sqref="E55">
    <cfRule type="expression" dxfId="173" priority="10" stopIfTrue="1">
      <formula>$F$55="超过30%"</formula>
    </cfRule>
  </conditionalFormatting>
  <conditionalFormatting sqref="G55">
    <cfRule type="expression" dxfId="172" priority="9" stopIfTrue="1">
      <formula>$H$55="超过30%"</formula>
    </cfRule>
  </conditionalFormatting>
  <conditionalFormatting sqref="G53">
    <cfRule type="expression" dxfId="171" priority="8" stopIfTrue="1">
      <formula>$H$53="超过30%"</formula>
    </cfRule>
  </conditionalFormatting>
  <conditionalFormatting sqref="G54">
    <cfRule type="expression" dxfId="170" priority="7" stopIfTrue="1">
      <formula>$H$54="超过20%"</formula>
    </cfRule>
  </conditionalFormatting>
  <conditionalFormatting sqref="J53">
    <cfRule type="containsText" dxfId="169" priority="6" stopIfTrue="1" operator="containsText" text="超过">
      <formula>NOT(ISERROR(SEARCH("超过",J53)))</formula>
    </cfRule>
  </conditionalFormatting>
  <conditionalFormatting sqref="J55">
    <cfRule type="containsText" dxfId="168" priority="5" stopIfTrue="1" operator="containsText" text="超过">
      <formula>NOT(ISERROR(SEARCH("超过",J55)))</formula>
    </cfRule>
  </conditionalFormatting>
  <conditionalFormatting sqref="J54">
    <cfRule type="containsText" dxfId="167" priority="4" stopIfTrue="1" operator="containsText" text="超过">
      <formula>NOT(ISERROR(SEARCH("超过",J54)))</formula>
    </cfRule>
  </conditionalFormatting>
  <conditionalFormatting sqref="I53">
    <cfRule type="expression" dxfId="166" priority="3" stopIfTrue="1">
      <formula>$J$53="超过30%"</formula>
    </cfRule>
  </conditionalFormatting>
  <conditionalFormatting sqref="I54">
    <cfRule type="expression" dxfId="165" priority="2" stopIfTrue="1">
      <formula>$J$53+$J$54="超过20%"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90" zoomScaleNormal="90" workbookViewId="0">
      <selection activeCell="F60" sqref="F60"/>
    </sheetView>
  </sheetViews>
  <sheetFormatPr defaultRowHeight="14.25"/>
  <cols>
    <col min="1" max="1" width="14.375" style="403" customWidth="1"/>
    <col min="2" max="2" width="15.75" style="403" customWidth="1"/>
    <col min="3" max="3" width="18.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237357</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24021</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2631</v>
      </c>
      <c r="B4" s="402"/>
      <c r="C4" s="3318" t="s">
        <v>2632</v>
      </c>
      <c r="D4" s="3319"/>
      <c r="E4" s="3320" t="s">
        <v>2633</v>
      </c>
      <c r="F4" s="3321"/>
      <c r="G4" s="3318" t="s">
        <v>2634</v>
      </c>
      <c r="H4" s="3319"/>
      <c r="I4" s="3318" t="s">
        <v>2635</v>
      </c>
      <c r="J4" s="3319"/>
      <c r="K4" s="610" t="s">
        <v>2636</v>
      </c>
      <c r="L4" s="1131"/>
      <c r="M4" s="1132"/>
      <c r="N4" s="1132"/>
      <c r="O4" s="1132"/>
      <c r="P4" s="3359" t="s">
        <v>2637</v>
      </c>
      <c r="Q4" s="3360"/>
      <c r="R4" s="3363" t="s">
        <v>2633</v>
      </c>
      <c r="S4" s="3364"/>
      <c r="T4" s="3363" t="s">
        <v>2634</v>
      </c>
      <c r="U4" s="3364"/>
      <c r="V4" s="3335" t="s">
        <v>2635</v>
      </c>
      <c r="W4" s="3335"/>
      <c r="X4" s="1811"/>
      <c r="Y4" s="3363" t="s">
        <v>2637</v>
      </c>
      <c r="Z4" s="3364"/>
      <c r="AA4" s="3358" t="s">
        <v>2633</v>
      </c>
      <c r="AB4" s="3347" t="s">
        <v>2634</v>
      </c>
      <c r="AC4" s="3358" t="s">
        <v>2635</v>
      </c>
    </row>
    <row r="5" spans="1:30" ht="15">
      <c r="A5" s="404"/>
      <c r="B5" s="405"/>
      <c r="C5" s="3367" t="s">
        <v>3215</v>
      </c>
      <c r="D5" s="3368"/>
      <c r="E5" s="3371" t="str">
        <f>土地案例!A3</f>
        <v>朝阳区金盏乡楼梓庄村1113-602地块</v>
      </c>
      <c r="F5" s="3372"/>
      <c r="G5" s="3367" t="str">
        <f>土地案例!A5</f>
        <v>朝阳区金盏乡楼梓庄村1113-603地块</v>
      </c>
      <c r="H5" s="3368"/>
      <c r="I5" s="3367" t="str">
        <f>土地案例!A6</f>
        <v>朝阳区金盏乡楼梓庄村1113-604地块</v>
      </c>
      <c r="J5" s="3368"/>
      <c r="K5" s="610"/>
      <c r="L5" s="1131"/>
      <c r="M5" s="1132"/>
      <c r="N5" s="1132"/>
      <c r="O5" s="1132"/>
      <c r="P5" s="3361"/>
      <c r="Q5" s="3325"/>
      <c r="R5" s="3330"/>
      <c r="S5" s="3331"/>
      <c r="T5" s="3330"/>
      <c r="U5" s="3331"/>
      <c r="V5" s="3335"/>
      <c r="W5" s="3335"/>
      <c r="X5" s="1811"/>
      <c r="Y5" s="3330"/>
      <c r="Z5" s="3331"/>
      <c r="AA5" s="3347"/>
      <c r="AB5" s="3347"/>
      <c r="AC5" s="3347"/>
    </row>
    <row r="6" spans="1:30" ht="15.75" thickBot="1">
      <c r="A6" s="406"/>
      <c r="B6" s="407"/>
      <c r="C6" s="3365" t="s">
        <v>2781</v>
      </c>
      <c r="D6" s="3366"/>
      <c r="E6" s="3369" t="s">
        <v>3216</v>
      </c>
      <c r="F6" s="3370"/>
      <c r="G6" s="3365" t="s">
        <v>2781</v>
      </c>
      <c r="H6" s="3366"/>
      <c r="I6" s="3365" t="s">
        <v>3216</v>
      </c>
      <c r="J6" s="3366"/>
      <c r="K6" s="610" t="s">
        <v>2533</v>
      </c>
      <c r="L6" s="1131"/>
      <c r="M6" s="1132"/>
      <c r="N6" s="1132"/>
      <c r="O6" s="1132"/>
      <c r="P6" s="3362"/>
      <c r="Q6" s="3327"/>
      <c r="R6" s="3330"/>
      <c r="S6" s="3331"/>
      <c r="T6" s="3332"/>
      <c r="U6" s="3333"/>
      <c r="V6" s="3335"/>
      <c r="W6" s="3335"/>
      <c r="X6" s="1811"/>
      <c r="Y6" s="3332"/>
      <c r="Z6" s="3333"/>
      <c r="AA6" s="3348"/>
      <c r="AB6" s="3348"/>
      <c r="AC6" s="3348"/>
    </row>
    <row r="7" spans="1:30" s="117" customFormat="1" ht="15.75" thickBot="1">
      <c r="A7" s="408" t="s">
        <v>2534</v>
      </c>
      <c r="B7" s="409"/>
      <c r="C7" s="410">
        <f>'数据-取费表'!B2</f>
        <v>43581</v>
      </c>
      <c r="D7" s="411">
        <v>100</v>
      </c>
      <c r="E7" s="412" t="str">
        <f>土地案例!H3</f>
        <v>2017-04-14</v>
      </c>
      <c r="F7" s="413">
        <f>SUMIF(70:70,YEAR(E7)&amp;"-"&amp;INT((MONTH(E7)+2)/3),71:71)</f>
        <v>96</v>
      </c>
      <c r="G7" s="2691" t="str">
        <f>土地案例!H5</f>
        <v>2017-03-30</v>
      </c>
      <c r="H7" s="411">
        <f>SUMIF(70:70,YEAR(G7)&amp;"-"&amp;INT((MONTH(G7)+2)/3),71:71)</f>
        <v>95.5</v>
      </c>
      <c r="I7" s="2691" t="str">
        <f>土地案例!H6</f>
        <v>2017-03-30</v>
      </c>
      <c r="J7" s="411">
        <f>SUMIF(70:70,YEAR(I7)&amp;"-"&amp;INT((MONTH(I7)+2)/3),71:71)</f>
        <v>95.5</v>
      </c>
      <c r="K7" s="611"/>
      <c r="L7" s="1133"/>
      <c r="M7" s="1134"/>
      <c r="N7" s="1134"/>
      <c r="O7" s="1134"/>
      <c r="P7" s="3342" t="s">
        <v>2535</v>
      </c>
      <c r="Q7" s="3343"/>
      <c r="R7" s="770" t="s">
        <v>17</v>
      </c>
      <c r="S7" s="771">
        <f t="shared" ref="S7:S15" si="0">F7</f>
        <v>96</v>
      </c>
      <c r="T7" s="770" t="s">
        <v>17</v>
      </c>
      <c r="U7" s="771">
        <f t="shared" ref="U7:U15" si="1">H7</f>
        <v>95.5</v>
      </c>
      <c r="V7" s="770" t="s">
        <v>17</v>
      </c>
      <c r="W7" s="771">
        <f t="shared" ref="W7:W15" si="2">J7</f>
        <v>95.5</v>
      </c>
      <c r="X7" s="772"/>
      <c r="Y7" s="3342" t="s">
        <v>2535</v>
      </c>
      <c r="Z7" s="3341"/>
      <c r="AA7" s="773">
        <f>D7/F7</f>
        <v>1.0416666666666667</v>
      </c>
      <c r="AB7" s="773">
        <f>D7/H7</f>
        <v>1.0471204188481675</v>
      </c>
      <c r="AC7" s="773">
        <f>D7/J7</f>
        <v>1.0471204188481675</v>
      </c>
    </row>
    <row r="8" spans="1:30" s="117" customFormat="1" ht="15.75" thickBot="1">
      <c r="A8" s="408" t="s">
        <v>2536</v>
      </c>
      <c r="B8" s="409"/>
      <c r="C8" s="414" t="s">
        <v>2537</v>
      </c>
      <c r="D8" s="411">
        <v>100</v>
      </c>
      <c r="E8" s="414" t="s">
        <v>3198</v>
      </c>
      <c r="F8" s="413">
        <f>SUMIF(73:73,E8,74:74)-SUMIF(73:73,C8,74:74)+100</f>
        <v>100</v>
      </c>
      <c r="G8" s="414" t="s">
        <v>3198</v>
      </c>
      <c r="H8" s="411">
        <f>SUMIF(73:73,G8,74:74)-SUMIF(73:73,C8,74:74)+100</f>
        <v>100</v>
      </c>
      <c r="I8" s="414" t="s">
        <v>3198</v>
      </c>
      <c r="J8" s="411">
        <f>SUMIF(73:73,I8,74:74)-SUMIF(73:73,C8,74:74)+100</f>
        <v>100</v>
      </c>
      <c r="K8" s="611"/>
      <c r="L8" s="1133"/>
      <c r="M8" s="1134"/>
      <c r="N8" s="1134"/>
      <c r="O8" s="1134"/>
      <c r="P8" s="3342" t="s">
        <v>2538</v>
      </c>
      <c r="Q8" s="3341"/>
      <c r="R8" s="770" t="s">
        <v>17</v>
      </c>
      <c r="S8" s="771">
        <f t="shared" si="0"/>
        <v>100</v>
      </c>
      <c r="T8" s="770" t="s">
        <v>17</v>
      </c>
      <c r="U8" s="771">
        <f t="shared" si="1"/>
        <v>100</v>
      </c>
      <c r="V8" s="770" t="s">
        <v>17</v>
      </c>
      <c r="W8" s="771">
        <f t="shared" si="2"/>
        <v>100</v>
      </c>
      <c r="X8" s="772"/>
      <c r="Y8" s="3342" t="s">
        <v>2538</v>
      </c>
      <c r="Z8" s="3341"/>
      <c r="AA8" s="773">
        <f t="shared" ref="AA8:AA45" si="3">D8/F8</f>
        <v>1</v>
      </c>
      <c r="AB8" s="773">
        <f t="shared" ref="AB8:AB45" si="4">D8/H8</f>
        <v>1</v>
      </c>
      <c r="AC8" s="773">
        <f t="shared" ref="AC8:AC45" si="5">D8/J8</f>
        <v>1</v>
      </c>
    </row>
    <row r="9" spans="1:30" s="117" customFormat="1">
      <c r="A9" s="415" t="s">
        <v>2539</v>
      </c>
      <c r="B9" s="71" t="s">
        <v>2540</v>
      </c>
      <c r="C9" s="2694" t="s">
        <v>1371</v>
      </c>
      <c r="D9" s="135">
        <v>100</v>
      </c>
      <c r="E9" s="2694" t="s">
        <v>1371</v>
      </c>
      <c r="F9" s="135">
        <f>SUMIF(75:75,E9,76:76)-SUMIF(75:75,C9,76:76)+100</f>
        <v>100</v>
      </c>
      <c r="G9" s="2694" t="s">
        <v>1371</v>
      </c>
      <c r="H9" s="135">
        <f>SUMIF(75:75,G9,76:76)-SUMIF(75:75,C9,76:76)+100</f>
        <v>100</v>
      </c>
      <c r="I9" s="2694" t="s">
        <v>1371</v>
      </c>
      <c r="J9" s="135">
        <f>SUMIF(75:75,I9,76:76)-SUMIF(75:75,C9,76:76)+100</f>
        <v>100</v>
      </c>
      <c r="K9" s="611"/>
      <c r="L9" s="1133"/>
      <c r="M9" s="1134"/>
      <c r="N9" s="1134"/>
      <c r="O9" s="1135"/>
      <c r="P9" s="3301" t="s">
        <v>2541</v>
      </c>
      <c r="Q9" s="1793" t="str">
        <f t="shared" ref="Q9:Q15" si="6">B9</f>
        <v>用途</v>
      </c>
      <c r="R9" s="770" t="s">
        <v>17</v>
      </c>
      <c r="S9" s="771">
        <f t="shared" si="0"/>
        <v>100</v>
      </c>
      <c r="T9" s="770" t="s">
        <v>17</v>
      </c>
      <c r="U9" s="771">
        <f t="shared" si="1"/>
        <v>100</v>
      </c>
      <c r="V9" s="770" t="s">
        <v>17</v>
      </c>
      <c r="W9" s="771">
        <f t="shared" si="2"/>
        <v>100</v>
      </c>
      <c r="X9" s="772"/>
      <c r="Y9" s="3126"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121</v>
      </c>
      <c r="G10" s="463"/>
      <c r="H10" s="136">
        <f>ROUND(100/'数据-取费表'!G16,0)</f>
        <v>121</v>
      </c>
      <c r="I10" s="463"/>
      <c r="J10" s="136">
        <f>ROUND(100/'数据-取费表'!G16,0)</f>
        <v>121</v>
      </c>
      <c r="K10" s="672"/>
      <c r="L10" s="1136"/>
      <c r="M10" s="1137"/>
      <c r="N10" s="1137"/>
      <c r="O10" s="1138"/>
      <c r="P10" s="3301"/>
      <c r="Q10" s="1793" t="str">
        <f t="shared" si="6"/>
        <v>土地使用年限（年）</v>
      </c>
      <c r="R10" s="770" t="s">
        <v>17</v>
      </c>
      <c r="S10" s="771">
        <f t="shared" si="0"/>
        <v>121</v>
      </c>
      <c r="T10" s="770" t="s">
        <v>17</v>
      </c>
      <c r="U10" s="771">
        <f t="shared" si="1"/>
        <v>121</v>
      </c>
      <c r="V10" s="770" t="s">
        <v>17</v>
      </c>
      <c r="W10" s="771">
        <f t="shared" si="2"/>
        <v>121</v>
      </c>
      <c r="X10" s="772"/>
      <c r="Y10" s="3126"/>
      <c r="Z10" s="55" t="str">
        <f t="shared" si="7"/>
        <v>土地使用年限（年）</v>
      </c>
      <c r="AA10" s="773">
        <f t="shared" si="3"/>
        <v>0.82644628099173556</v>
      </c>
      <c r="AB10" s="773">
        <f t="shared" si="4"/>
        <v>0.82644628099173556</v>
      </c>
      <c r="AC10" s="773">
        <f t="shared" si="5"/>
        <v>0.82644628099173556</v>
      </c>
    </row>
    <row r="11" spans="1:30" ht="15">
      <c r="A11" s="428"/>
      <c r="B11" s="422" t="s">
        <v>2544</v>
      </c>
      <c r="C11" s="429">
        <f>'数据-汇总表'!I4</f>
        <v>6.81</v>
      </c>
      <c r="D11" s="136">
        <v>100</v>
      </c>
      <c r="E11" s="429">
        <f>土地案例!F3</f>
        <v>3</v>
      </c>
      <c r="F11" s="136">
        <f>LOOKUP(E11,80:80,81:81)-LOOKUP(C11,80:80,81:81)+100</f>
        <v>110</v>
      </c>
      <c r="G11" s="430">
        <f>土地案例!F5</f>
        <v>2</v>
      </c>
      <c r="H11" s="136">
        <f>LOOKUP(G11,80:80,81:81)-LOOKUP(C11,80:80,81:81)+100</f>
        <v>115</v>
      </c>
      <c r="I11" s="429">
        <f>土地案例!F6</f>
        <v>2</v>
      </c>
      <c r="J11" s="136">
        <f>LOOKUP(I11,80:80,81:81)-LOOKUP(C11,80:80,81:81)+100</f>
        <v>115</v>
      </c>
      <c r="K11" s="673">
        <v>5</v>
      </c>
      <c r="L11" s="1139"/>
      <c r="M11" s="1132"/>
      <c r="N11" s="1132"/>
      <c r="O11" s="1140"/>
      <c r="P11" s="3301"/>
      <c r="Q11" s="1793" t="str">
        <f t="shared" si="6"/>
        <v>容积率</v>
      </c>
      <c r="R11" s="770" t="s">
        <v>17</v>
      </c>
      <c r="S11" s="771">
        <f t="shared" si="0"/>
        <v>110</v>
      </c>
      <c r="T11" s="770" t="s">
        <v>17</v>
      </c>
      <c r="U11" s="771">
        <f t="shared" si="1"/>
        <v>115</v>
      </c>
      <c r="V11" s="770" t="s">
        <v>17</v>
      </c>
      <c r="W11" s="771">
        <f t="shared" si="2"/>
        <v>115</v>
      </c>
      <c r="X11" s="772"/>
      <c r="Y11" s="3126"/>
      <c r="Z11" s="55" t="str">
        <f t="shared" si="7"/>
        <v>容积率</v>
      </c>
      <c r="AA11" s="773">
        <f t="shared" si="3"/>
        <v>0.90909090909090906</v>
      </c>
      <c r="AB11" s="773">
        <f t="shared" si="4"/>
        <v>0.86956521739130432</v>
      </c>
      <c r="AC11" s="773">
        <f t="shared" si="5"/>
        <v>0.86956521739130432</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301"/>
      <c r="Q12" s="1793" t="str">
        <f t="shared" si="6"/>
        <v>配建</v>
      </c>
      <c r="R12" s="770" t="s">
        <v>17</v>
      </c>
      <c r="S12" s="771">
        <f t="shared" si="0"/>
        <v>100</v>
      </c>
      <c r="T12" s="770" t="s">
        <v>17</v>
      </c>
      <c r="U12" s="771">
        <f t="shared" si="1"/>
        <v>100</v>
      </c>
      <c r="V12" s="770" t="s">
        <v>17</v>
      </c>
      <c r="W12" s="771">
        <f t="shared" si="2"/>
        <v>100</v>
      </c>
      <c r="X12" s="772"/>
      <c r="Y12" s="3126"/>
      <c r="Z12" s="55" t="str">
        <f t="shared" si="7"/>
        <v>配建</v>
      </c>
      <c r="AA12" s="773">
        <f>D12/F12</f>
        <v>1</v>
      </c>
      <c r="AB12" s="773">
        <f>D12/H12</f>
        <v>1</v>
      </c>
      <c r="AC12" s="773">
        <f>D12/J12</f>
        <v>1</v>
      </c>
    </row>
    <row r="13" spans="1:30" ht="15">
      <c r="A13" s="428"/>
      <c r="B13" s="3007" t="s">
        <v>3199</v>
      </c>
      <c r="C13" s="3008" t="s">
        <v>3200</v>
      </c>
      <c r="D13" s="435">
        <v>100</v>
      </c>
      <c r="E13" s="3009" t="s">
        <v>3242</v>
      </c>
      <c r="F13" s="136">
        <f>SUMIF(84:84,E13,85:85)-SUMIF(84:84,C13,85:85)+100</f>
        <v>90</v>
      </c>
      <c r="G13" s="3010" t="s">
        <v>3202</v>
      </c>
      <c r="H13" s="435">
        <f>SUMIF(84:84,G13,85:85)-SUMIF(84:84,C13,85:85)+100</f>
        <v>90</v>
      </c>
      <c r="I13" s="3010" t="s">
        <v>3201</v>
      </c>
      <c r="J13" s="435">
        <f>SUMIF(84:84,I13,85:85)-SUMIF(84:84,C13,85:85)+100</f>
        <v>90</v>
      </c>
      <c r="K13" s="672"/>
      <c r="L13" s="1141"/>
      <c r="M13" s="1132"/>
      <c r="N13" s="1132"/>
      <c r="O13" s="1140"/>
      <c r="P13" s="3301"/>
      <c r="Q13" s="1793" t="str">
        <f t="shared" si="6"/>
        <v>限制自持</v>
      </c>
      <c r="R13" s="770" t="s">
        <v>17</v>
      </c>
      <c r="S13" s="771">
        <f t="shared" si="0"/>
        <v>90</v>
      </c>
      <c r="T13" s="770" t="s">
        <v>17</v>
      </c>
      <c r="U13" s="771">
        <f t="shared" si="1"/>
        <v>90</v>
      </c>
      <c r="V13" s="770" t="s">
        <v>17</v>
      </c>
      <c r="W13" s="771">
        <f t="shared" si="2"/>
        <v>90</v>
      </c>
      <c r="X13" s="772"/>
      <c r="Y13" s="3126"/>
      <c r="Z13" s="55" t="str">
        <f t="shared" si="7"/>
        <v>限制自持</v>
      </c>
      <c r="AA13" s="773">
        <f>D13/F13</f>
        <v>1.1111111111111112</v>
      </c>
      <c r="AB13" s="773">
        <f>D13/H13</f>
        <v>1.1111111111111112</v>
      </c>
      <c r="AC13" s="773">
        <f>D13/J13</f>
        <v>1.1111111111111112</v>
      </c>
    </row>
    <row r="14" spans="1:30" ht="15.75" thickBot="1">
      <c r="A14" s="436"/>
      <c r="B14" s="2597"/>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301"/>
      <c r="Q14" s="1793">
        <f t="shared" si="6"/>
        <v>0</v>
      </c>
      <c r="R14" s="770" t="s">
        <v>17</v>
      </c>
      <c r="S14" s="771">
        <f t="shared" si="0"/>
        <v>100</v>
      </c>
      <c r="T14" s="770" t="s">
        <v>17</v>
      </c>
      <c r="U14" s="771">
        <f t="shared" si="1"/>
        <v>100</v>
      </c>
      <c r="V14" s="770" t="s">
        <v>17</v>
      </c>
      <c r="W14" s="771">
        <f t="shared" si="2"/>
        <v>100</v>
      </c>
      <c r="X14" s="772"/>
      <c r="Y14" s="3126"/>
      <c r="Z14" s="55">
        <f t="shared" si="7"/>
        <v>0</v>
      </c>
      <c r="AA14" s="773">
        <f>D14/F14</f>
        <v>1</v>
      </c>
      <c r="AB14" s="773">
        <f>D14/H14</f>
        <v>1</v>
      </c>
      <c r="AC14" s="773">
        <f>D14/J14</f>
        <v>1</v>
      </c>
    </row>
    <row r="15" spans="1:30" ht="15" hidden="1">
      <c r="A15" s="440" t="s">
        <v>2545</v>
      </c>
      <c r="B15" s="69" t="s">
        <v>2078</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308" t="s">
        <v>2546</v>
      </c>
      <c r="Q15" s="1808" t="str">
        <f t="shared" si="6"/>
        <v>居住社区成熟度</v>
      </c>
      <c r="R15" s="774" t="s">
        <v>17</v>
      </c>
      <c r="S15" s="775">
        <f t="shared" si="0"/>
        <v>100</v>
      </c>
      <c r="T15" s="774" t="s">
        <v>17</v>
      </c>
      <c r="U15" s="775">
        <f t="shared" si="1"/>
        <v>100</v>
      </c>
      <c r="V15" s="774" t="s">
        <v>17</v>
      </c>
      <c r="W15" s="775">
        <f t="shared" si="2"/>
        <v>100</v>
      </c>
      <c r="X15" s="1811"/>
      <c r="Y15" s="3308"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1"/>
      <c r="M16" s="1132"/>
      <c r="N16" s="1132"/>
      <c r="O16" s="1140"/>
      <c r="P16" s="3309"/>
      <c r="Q16" s="1808"/>
      <c r="R16" s="774"/>
      <c r="S16" s="775"/>
      <c r="T16" s="774"/>
      <c r="U16" s="775"/>
      <c r="V16" s="774"/>
      <c r="W16" s="775"/>
      <c r="X16" s="1811"/>
      <c r="Y16" s="3309"/>
      <c r="Z16" s="1812"/>
      <c r="AA16" s="1809">
        <v>1</v>
      </c>
      <c r="AB16" s="1809">
        <v>1</v>
      </c>
      <c r="AC16" s="1809">
        <v>1</v>
      </c>
    </row>
    <row r="17" spans="1:29" ht="15">
      <c r="A17" s="428"/>
      <c r="B17" s="451" t="s">
        <v>2639</v>
      </c>
      <c r="C17" s="2659" t="str">
        <f>估价对象房地状况!C16</f>
        <v>成熟区域，成熟度好</v>
      </c>
      <c r="D17" s="450">
        <v>100</v>
      </c>
      <c r="E17" s="3023" t="s">
        <v>3252</v>
      </c>
      <c r="F17" s="450">
        <f>SUMIF(90:90,E18,91:91)-SUMIF(90:90,C18,91:91)+100</f>
        <v>91</v>
      </c>
      <c r="G17" s="3023" t="s">
        <v>3252</v>
      </c>
      <c r="H17" s="455">
        <f>SUMIF(90:90,G18,91:91)-SUMIF(90:90,C18,91:91)+100</f>
        <v>91</v>
      </c>
      <c r="I17" s="3023" t="s">
        <v>3252</v>
      </c>
      <c r="J17" s="455">
        <f>SUMIF(90:90,I18,91:91)-SUMIF(90:90,C18,91:91)+100</f>
        <v>91</v>
      </c>
      <c r="K17" s="673">
        <v>3</v>
      </c>
      <c r="L17" s="1141"/>
      <c r="M17" s="1132"/>
      <c r="N17" s="1132"/>
      <c r="O17" s="1140"/>
      <c r="P17" s="3309"/>
      <c r="Q17" s="1808" t="str">
        <f>B17</f>
        <v>商业繁华度</v>
      </c>
      <c r="R17" s="774" t="s">
        <v>17</v>
      </c>
      <c r="S17" s="775">
        <f>F17</f>
        <v>91</v>
      </c>
      <c r="T17" s="774" t="s">
        <v>17</v>
      </c>
      <c r="U17" s="775">
        <f>H17</f>
        <v>91</v>
      </c>
      <c r="V17" s="774" t="s">
        <v>17</v>
      </c>
      <c r="W17" s="775">
        <f>J17</f>
        <v>91</v>
      </c>
      <c r="X17" s="1811"/>
      <c r="Y17" s="3309"/>
      <c r="Z17" s="1812" t="str">
        <f>Q17</f>
        <v>商业繁华度</v>
      </c>
      <c r="AA17" s="1809">
        <f t="shared" si="3"/>
        <v>1.098901098901099</v>
      </c>
      <c r="AB17" s="1809">
        <f t="shared" si="4"/>
        <v>1.098901098901099</v>
      </c>
      <c r="AC17" s="1809">
        <f t="shared" si="5"/>
        <v>1.098901098901099</v>
      </c>
    </row>
    <row r="18" spans="1:29" ht="15">
      <c r="A18" s="428"/>
      <c r="B18" s="456"/>
      <c r="C18" s="2603" t="s">
        <v>3144</v>
      </c>
      <c r="D18" s="450"/>
      <c r="E18" s="2605" t="s">
        <v>3211</v>
      </c>
      <c r="F18" s="450"/>
      <c r="G18" s="2605" t="s">
        <v>3211</v>
      </c>
      <c r="H18" s="448"/>
      <c r="I18" s="2604" t="s">
        <v>3211</v>
      </c>
      <c r="J18" s="448"/>
      <c r="K18" s="672"/>
      <c r="L18" s="1141"/>
      <c r="M18" s="1132"/>
      <c r="N18" s="1132"/>
      <c r="O18" s="1140"/>
      <c r="P18" s="3309"/>
      <c r="Q18" s="1808"/>
      <c r="R18" s="774"/>
      <c r="S18" s="775"/>
      <c r="T18" s="774"/>
      <c r="U18" s="775"/>
      <c r="V18" s="774"/>
      <c r="W18" s="775"/>
      <c r="X18" s="1811"/>
      <c r="Y18" s="3309"/>
      <c r="Z18" s="1812"/>
      <c r="AA18" s="1809">
        <v>1</v>
      </c>
      <c r="AB18" s="1809">
        <v>1</v>
      </c>
      <c r="AC18" s="1809">
        <v>1</v>
      </c>
    </row>
    <row r="19" spans="1:29" ht="15">
      <c r="A19" s="428"/>
      <c r="B19" s="451" t="s">
        <v>2673</v>
      </c>
      <c r="C19" s="2659" t="str">
        <f>估价对象房地状况!C17</f>
        <v>好</v>
      </c>
      <c r="D19" s="455">
        <v>100</v>
      </c>
      <c r="E19" s="3023" t="s">
        <v>3252</v>
      </c>
      <c r="F19" s="455">
        <f>SUMIF(92:92,E20,93:93)-SUMIF(92:92,C20,93:93)+100</f>
        <v>91</v>
      </c>
      <c r="G19" s="3023" t="s">
        <v>3252</v>
      </c>
      <c r="H19" s="450">
        <f>SUMIF(92:92,G20,93:93)-SUMIF(92:92,C20,93:93)+100</f>
        <v>91</v>
      </c>
      <c r="I19" s="3023" t="s">
        <v>3252</v>
      </c>
      <c r="J19" s="450">
        <f>SUMIF(92:92,I20,93:93)-SUMIF(92:92,C20,93:93)+100</f>
        <v>91</v>
      </c>
      <c r="K19" s="673">
        <v>3</v>
      </c>
      <c r="L19" s="1141"/>
      <c r="M19" s="1132"/>
      <c r="N19" s="1132"/>
      <c r="O19" s="1140"/>
      <c r="P19" s="3309"/>
      <c r="Q19" s="1808" t="str">
        <f>B19</f>
        <v>办公集聚程度</v>
      </c>
      <c r="R19" s="774" t="s">
        <v>17</v>
      </c>
      <c r="S19" s="775">
        <f>F19</f>
        <v>91</v>
      </c>
      <c r="T19" s="774" t="s">
        <v>17</v>
      </c>
      <c r="U19" s="775">
        <f>H19</f>
        <v>91</v>
      </c>
      <c r="V19" s="774" t="s">
        <v>17</v>
      </c>
      <c r="W19" s="775">
        <f>J19</f>
        <v>91</v>
      </c>
      <c r="X19" s="1811"/>
      <c r="Y19" s="3309"/>
      <c r="Z19" s="1812" t="str">
        <f>Q19</f>
        <v>办公集聚程度</v>
      </c>
      <c r="AA19" s="1809">
        <f t="shared" si="3"/>
        <v>1.098901098901099</v>
      </c>
      <c r="AB19" s="1809">
        <f t="shared" si="4"/>
        <v>1.098901098901099</v>
      </c>
      <c r="AC19" s="1809">
        <f t="shared" si="5"/>
        <v>1.098901098901099</v>
      </c>
    </row>
    <row r="20" spans="1:29" ht="15">
      <c r="A20" s="428"/>
      <c r="B20" s="456"/>
      <c r="C20" s="447" t="s">
        <v>3144</v>
      </c>
      <c r="D20" s="448"/>
      <c r="E20" s="2600" t="s">
        <v>3211</v>
      </c>
      <c r="F20" s="448"/>
      <c r="G20" s="2600" t="s">
        <v>3211</v>
      </c>
      <c r="H20" s="448"/>
      <c r="I20" s="2599" t="s">
        <v>3211</v>
      </c>
      <c r="J20" s="448"/>
      <c r="K20" s="672"/>
      <c r="L20" s="1141"/>
      <c r="M20" s="1132"/>
      <c r="N20" s="1132"/>
      <c r="O20" s="1140"/>
      <c r="P20" s="3309"/>
      <c r="Q20" s="1808"/>
      <c r="R20" s="774"/>
      <c r="S20" s="775"/>
      <c r="T20" s="774"/>
      <c r="U20" s="775"/>
      <c r="V20" s="774"/>
      <c r="W20" s="775"/>
      <c r="X20" s="1811"/>
      <c r="Y20" s="3309"/>
      <c r="Z20" s="1812"/>
      <c r="AA20" s="1809">
        <v>1</v>
      </c>
      <c r="AB20" s="1809">
        <v>1</v>
      </c>
      <c r="AC20" s="1809">
        <v>1</v>
      </c>
    </row>
    <row r="21" spans="1:29" ht="15">
      <c r="A21" s="428"/>
      <c r="B21" s="451" t="s">
        <v>2695</v>
      </c>
      <c r="C21" s="2602" t="str">
        <f>估价对象房地状况!C18</f>
        <v>好</v>
      </c>
      <c r="D21" s="450">
        <v>100</v>
      </c>
      <c r="E21" s="3023" t="s">
        <v>3252</v>
      </c>
      <c r="F21" s="455">
        <f>SUMIF(94:94,E22,95:95)-SUMIF(94:94,C22,95:95)+100</f>
        <v>94</v>
      </c>
      <c r="G21" s="3023" t="s">
        <v>3252</v>
      </c>
      <c r="H21" s="450">
        <f>SUMIF(94:94,G22,95:95)-SUMIF(94:94,C22,95:95)+100</f>
        <v>94</v>
      </c>
      <c r="I21" s="3023" t="s">
        <v>3252</v>
      </c>
      <c r="J21" s="450">
        <f>SUMIF(94:94,I22,95:95)-SUMIF(94:94,C22,95:95)+100</f>
        <v>94</v>
      </c>
      <c r="K21" s="673">
        <v>2</v>
      </c>
      <c r="L21" s="1141"/>
      <c r="M21" s="1132"/>
      <c r="N21" s="1132"/>
      <c r="O21" s="1140"/>
      <c r="P21" s="3309"/>
      <c r="Q21" s="1808" t="str">
        <f>B21</f>
        <v>交通便捷度</v>
      </c>
      <c r="R21" s="774" t="s">
        <v>17</v>
      </c>
      <c r="S21" s="775">
        <f>F21</f>
        <v>94</v>
      </c>
      <c r="T21" s="774" t="s">
        <v>17</v>
      </c>
      <c r="U21" s="775">
        <f>H21</f>
        <v>94</v>
      </c>
      <c r="V21" s="774" t="s">
        <v>17</v>
      </c>
      <c r="W21" s="775">
        <f>J21</f>
        <v>94</v>
      </c>
      <c r="X21" s="1811"/>
      <c r="Y21" s="3309"/>
      <c r="Z21" s="1812" t="str">
        <f>Q21</f>
        <v>交通便捷度</v>
      </c>
      <c r="AA21" s="1809">
        <f t="shared" si="3"/>
        <v>1.0638297872340425</v>
      </c>
      <c r="AB21" s="1809">
        <f t="shared" si="4"/>
        <v>1.0638297872340425</v>
      </c>
      <c r="AC21" s="1809">
        <f t="shared" si="5"/>
        <v>1.0638297872340425</v>
      </c>
    </row>
    <row r="22" spans="1:29" ht="15">
      <c r="A22" s="428"/>
      <c r="B22" s="1384"/>
      <c r="C22" s="447" t="s">
        <v>3144</v>
      </c>
      <c r="D22" s="450"/>
      <c r="E22" s="2600" t="s">
        <v>3211</v>
      </c>
      <c r="F22" s="448"/>
      <c r="G22" s="2600" t="s">
        <v>3211</v>
      </c>
      <c r="H22" s="448"/>
      <c r="I22" s="2599" t="s">
        <v>3211</v>
      </c>
      <c r="J22" s="448"/>
      <c r="K22" s="672"/>
      <c r="L22" s="1141"/>
      <c r="M22" s="1132"/>
      <c r="N22" s="1132"/>
      <c r="O22" s="1140"/>
      <c r="P22" s="3309"/>
      <c r="Q22" s="1808"/>
      <c r="R22" s="774"/>
      <c r="S22" s="775"/>
      <c r="T22" s="774"/>
      <c r="U22" s="775"/>
      <c r="V22" s="774"/>
      <c r="W22" s="775"/>
      <c r="X22" s="1811"/>
      <c r="Y22" s="3309"/>
      <c r="Z22" s="1812"/>
      <c r="AA22" s="1809">
        <v>1</v>
      </c>
      <c r="AB22" s="1809">
        <v>1</v>
      </c>
      <c r="AC22" s="1809">
        <v>1</v>
      </c>
    </row>
    <row r="23" spans="1:29" ht="15">
      <c r="A23" s="404"/>
      <c r="B23" s="451" t="s">
        <v>2734</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309"/>
      <c r="Q23" s="1808" t="str">
        <f t="shared" ref="Q23:Q37" si="8">B23</f>
        <v>区域土地利用方向</v>
      </c>
      <c r="R23" s="774" t="s">
        <v>17</v>
      </c>
      <c r="S23" s="775">
        <f>F23</f>
        <v>100</v>
      </c>
      <c r="T23" s="774" t="s">
        <v>17</v>
      </c>
      <c r="U23" s="775">
        <f>H23</f>
        <v>100</v>
      </c>
      <c r="V23" s="774" t="s">
        <v>17</v>
      </c>
      <c r="W23" s="775">
        <f>J23</f>
        <v>100</v>
      </c>
      <c r="X23" s="1811"/>
      <c r="Y23" s="3309"/>
      <c r="Z23" s="1812" t="str">
        <f>Q23</f>
        <v>区域土地利用方向</v>
      </c>
      <c r="AA23" s="1809">
        <f t="shared" si="3"/>
        <v>1</v>
      </c>
      <c r="AB23" s="1809">
        <f t="shared" si="4"/>
        <v>1</v>
      </c>
      <c r="AC23" s="1809">
        <f t="shared" si="5"/>
        <v>1</v>
      </c>
    </row>
    <row r="24" spans="1:29" ht="15">
      <c r="A24" s="404"/>
      <c r="B24" s="456"/>
      <c r="C24" s="616" t="s">
        <v>3143</v>
      </c>
      <c r="D24" s="448"/>
      <c r="E24" s="3470" t="s">
        <v>3143</v>
      </c>
      <c r="F24" s="448"/>
      <c r="G24" s="2599" t="s">
        <v>3143</v>
      </c>
      <c r="H24" s="448"/>
      <c r="I24" s="2599" t="s">
        <v>3143</v>
      </c>
      <c r="J24" s="448"/>
      <c r="K24" s="810"/>
      <c r="L24" s="1141"/>
      <c r="M24" s="1132"/>
      <c r="N24" s="1132"/>
      <c r="O24" s="1140"/>
      <c r="P24" s="3309"/>
      <c r="Q24" s="1808"/>
      <c r="R24" s="774"/>
      <c r="S24" s="775"/>
      <c r="T24" s="774"/>
      <c r="U24" s="775"/>
      <c r="V24" s="774"/>
      <c r="W24" s="775"/>
      <c r="X24" s="1811"/>
      <c r="Y24" s="3309"/>
      <c r="Z24" s="1812"/>
      <c r="AA24" s="1809"/>
      <c r="AB24" s="1809"/>
      <c r="AC24" s="1809"/>
    </row>
    <row r="25" spans="1:29" ht="27">
      <c r="A25" s="404"/>
      <c r="B25" s="1384" t="s">
        <v>2735</v>
      </c>
      <c r="C25" s="2659" t="str">
        <f>估价对象房地状况!C20</f>
        <v>好</v>
      </c>
      <c r="D25" s="450">
        <v>100</v>
      </c>
      <c r="E25" s="452"/>
      <c r="F25" s="450">
        <f>SUMIF(98:98,E26,99:99)-SUMIF(98:98,C26,99:99)+100</f>
        <v>96</v>
      </c>
      <c r="G25" s="452"/>
      <c r="H25" s="450">
        <f>SUMIF(98:98,G26,99:99)-SUMIF(98:98,C26,99:99)+100</f>
        <v>96</v>
      </c>
      <c r="I25" s="454"/>
      <c r="J25" s="450">
        <f>SUMIF(98:98,I26,99:99)-SUMIF(98:98,C26,99:99)+100</f>
        <v>96</v>
      </c>
      <c r="K25" s="673">
        <v>2</v>
      </c>
      <c r="L25" s="1141"/>
      <c r="M25" s="1132"/>
      <c r="N25" s="1132"/>
      <c r="O25" s="1140"/>
      <c r="P25" s="3309"/>
      <c r="Q25" s="1808" t="str">
        <f t="shared" si="8"/>
        <v>自然及人文环境状况</v>
      </c>
      <c r="R25" s="774" t="s">
        <v>17</v>
      </c>
      <c r="S25" s="775">
        <f>F25</f>
        <v>96</v>
      </c>
      <c r="T25" s="774" t="s">
        <v>17</v>
      </c>
      <c r="U25" s="775">
        <f>H25</f>
        <v>96</v>
      </c>
      <c r="V25" s="774" t="s">
        <v>17</v>
      </c>
      <c r="W25" s="775">
        <f>J25</f>
        <v>96</v>
      </c>
      <c r="X25" s="1811"/>
      <c r="Y25" s="3309"/>
      <c r="Z25" s="1812" t="str">
        <f>Q25</f>
        <v>自然及人文环境状况</v>
      </c>
      <c r="AA25" s="1809">
        <f t="shared" si="3"/>
        <v>1.0416666666666667</v>
      </c>
      <c r="AB25" s="1809">
        <f t="shared" si="4"/>
        <v>1.0416666666666667</v>
      </c>
      <c r="AC25" s="1809">
        <f t="shared" si="5"/>
        <v>1.0416666666666667</v>
      </c>
    </row>
    <row r="26" spans="1:29" ht="15">
      <c r="A26" s="404"/>
      <c r="B26" s="456"/>
      <c r="C26" s="447" t="s">
        <v>3144</v>
      </c>
      <c r="D26" s="448"/>
      <c r="E26" s="2606" t="s">
        <v>3212</v>
      </c>
      <c r="F26" s="448"/>
      <c r="G26" s="2606" t="s">
        <v>3212</v>
      </c>
      <c r="H26" s="448"/>
      <c r="I26" s="447" t="s">
        <v>3212</v>
      </c>
      <c r="J26" s="448"/>
      <c r="K26" s="672"/>
      <c r="L26" s="1141"/>
      <c r="M26" s="1132"/>
      <c r="N26" s="1132"/>
      <c r="O26" s="1140"/>
      <c r="P26" s="3309"/>
      <c r="Q26" s="1808"/>
      <c r="R26" s="774"/>
      <c r="S26" s="775"/>
      <c r="T26" s="774"/>
      <c r="U26" s="775"/>
      <c r="V26" s="774"/>
      <c r="W26" s="775"/>
      <c r="X26" s="1811"/>
      <c r="Y26" s="3309"/>
      <c r="Z26" s="1812"/>
      <c r="AA26" s="1809">
        <v>1</v>
      </c>
      <c r="AB26" s="1809">
        <v>1</v>
      </c>
      <c r="AC26" s="1809">
        <v>1</v>
      </c>
    </row>
    <row r="27" spans="1:29" s="117" customFormat="1" ht="15">
      <c r="A27" s="649"/>
      <c r="B27" s="1384" t="s">
        <v>2640</v>
      </c>
      <c r="C27" s="2602" t="str">
        <f>估价对象房地状况!C21</f>
        <v>好</v>
      </c>
      <c r="D27" s="450">
        <v>100</v>
      </c>
      <c r="E27" s="452"/>
      <c r="F27" s="450">
        <f>SUMIF(100:100,E28,101:101)-SUMIF(100:100,C28,101:101)+100</f>
        <v>97</v>
      </c>
      <c r="G27" s="452"/>
      <c r="H27" s="450">
        <f>SUMIF(100:100,G28,101:101)-SUMIF(100:100,C28,101:101)+100</f>
        <v>97</v>
      </c>
      <c r="I27" s="454"/>
      <c r="J27" s="450">
        <f>SUMIF(100:100,I28,101:101)-SUMIF(100:100,C28,101:101)+100</f>
        <v>97</v>
      </c>
      <c r="K27" s="673">
        <v>3</v>
      </c>
      <c r="L27" s="1133"/>
      <c r="M27" s="1134"/>
      <c r="N27" s="1134"/>
      <c r="O27" s="1135"/>
      <c r="P27" s="3309"/>
      <c r="Q27" s="1793" t="str">
        <f t="shared" si="8"/>
        <v>公共配套设施</v>
      </c>
      <c r="R27" s="770" t="s">
        <v>17</v>
      </c>
      <c r="S27" s="771">
        <f>F27</f>
        <v>97</v>
      </c>
      <c r="T27" s="770" t="s">
        <v>17</v>
      </c>
      <c r="U27" s="771">
        <f>H27</f>
        <v>97</v>
      </c>
      <c r="V27" s="770" t="s">
        <v>17</v>
      </c>
      <c r="W27" s="771">
        <f>J27</f>
        <v>97</v>
      </c>
      <c r="X27" s="772"/>
      <c r="Y27" s="3309"/>
      <c r="Z27" s="55" t="str">
        <f>Q27</f>
        <v>公共配套设施</v>
      </c>
      <c r="AA27" s="1809">
        <f>D27/F27</f>
        <v>1.0309278350515463</v>
      </c>
      <c r="AB27" s="1809">
        <f>D27/H27</f>
        <v>1.0309278350515463</v>
      </c>
      <c r="AC27" s="1809">
        <f>D27/J27</f>
        <v>1.0309278350515463</v>
      </c>
    </row>
    <row r="28" spans="1:29" s="117" customFormat="1" ht="15">
      <c r="A28" s="649"/>
      <c r="B28" s="456"/>
      <c r="C28" s="2695" t="s">
        <v>3143</v>
      </c>
      <c r="D28" s="448"/>
      <c r="E28" s="2606" t="s">
        <v>3212</v>
      </c>
      <c r="F28" s="448"/>
      <c r="G28" s="2606" t="s">
        <v>3212</v>
      </c>
      <c r="H28" s="448"/>
      <c r="I28" s="447" t="s">
        <v>3212</v>
      </c>
      <c r="J28" s="448"/>
      <c r="K28" s="672"/>
      <c r="L28" s="1133"/>
      <c r="M28" s="1134"/>
      <c r="N28" s="1134"/>
      <c r="O28" s="1135"/>
      <c r="P28" s="3309"/>
      <c r="Q28" s="1793"/>
      <c r="R28" s="770"/>
      <c r="S28" s="771"/>
      <c r="T28" s="770"/>
      <c r="U28" s="771"/>
      <c r="V28" s="770"/>
      <c r="W28" s="771"/>
      <c r="X28" s="772"/>
      <c r="Y28" s="3309"/>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3"/>
      <c r="M29" s="1134"/>
      <c r="N29" s="1134"/>
      <c r="O29" s="1135"/>
      <c r="P29" s="3309"/>
      <c r="Q29" s="1793" t="str">
        <f t="shared" ref="Q29" si="9">B29</f>
        <v>基础设施水平</v>
      </c>
      <c r="R29" s="770" t="s">
        <v>17</v>
      </c>
      <c r="S29" s="771">
        <f>F29</f>
        <v>100</v>
      </c>
      <c r="T29" s="770" t="s">
        <v>17</v>
      </c>
      <c r="U29" s="771">
        <f>H29</f>
        <v>100</v>
      </c>
      <c r="V29" s="770" t="s">
        <v>17</v>
      </c>
      <c r="W29" s="771">
        <f>J29</f>
        <v>100</v>
      </c>
      <c r="X29" s="772"/>
      <c r="Y29" s="3309"/>
      <c r="Z29" s="55" t="str">
        <f>Q29</f>
        <v>基础设施水平</v>
      </c>
      <c r="AA29" s="1809">
        <f>D29/F29</f>
        <v>1</v>
      </c>
      <c r="AB29" s="1809">
        <f>D29/H29</f>
        <v>1</v>
      </c>
      <c r="AC29" s="1809">
        <f>D29/J29</f>
        <v>1</v>
      </c>
    </row>
    <row r="30" spans="1:29" s="117" customFormat="1" ht="15">
      <c r="A30" s="649"/>
      <c r="B30" s="456"/>
      <c r="C30" s="2695" t="s">
        <v>3230</v>
      </c>
      <c r="D30" s="448"/>
      <c r="E30" s="2696" t="s">
        <v>3230</v>
      </c>
      <c r="F30" s="448"/>
      <c r="G30" s="2696" t="s">
        <v>3230</v>
      </c>
      <c r="H30" s="448"/>
      <c r="I30" s="2696" t="s">
        <v>3230</v>
      </c>
      <c r="J30" s="448"/>
      <c r="K30" s="672"/>
      <c r="L30" s="1133"/>
      <c r="M30" s="1134"/>
      <c r="N30" s="1134"/>
      <c r="O30" s="1135"/>
      <c r="P30" s="3309"/>
      <c r="Q30" s="1793"/>
      <c r="R30" s="770"/>
      <c r="S30" s="771"/>
      <c r="T30" s="770"/>
      <c r="U30" s="771"/>
      <c r="V30" s="770"/>
      <c r="W30" s="771"/>
      <c r="X30" s="772"/>
      <c r="Y30" s="3309"/>
      <c r="Z30" s="55"/>
      <c r="AA30" s="1809">
        <v>1</v>
      </c>
      <c r="AB30" s="1809">
        <v>1</v>
      </c>
      <c r="AC30" s="1809">
        <v>1</v>
      </c>
    </row>
    <row r="31" spans="1:29" ht="15">
      <c r="A31" s="428"/>
      <c r="B31" s="456" t="s">
        <v>2642</v>
      </c>
      <c r="C31" s="616" t="s">
        <v>3214</v>
      </c>
      <c r="D31" s="435">
        <v>100</v>
      </c>
      <c r="E31" s="634" t="s">
        <v>3213</v>
      </c>
      <c r="F31" s="435">
        <f>SUMIF(104:104,E31,105:105)-SUMIF(104:104,C31,105:105)+100</f>
        <v>99</v>
      </c>
      <c r="G31" s="634" t="s">
        <v>3213</v>
      </c>
      <c r="H31" s="435">
        <f>SUMIF(104:104,G31,105:105)-SUMIF(104:104,C31,105:105)+100</f>
        <v>99</v>
      </c>
      <c r="I31" s="634" t="s">
        <v>3213</v>
      </c>
      <c r="J31" s="435">
        <f>SUMIF(104:104,I31,105:105)-SUMIF(104:104,C31,105:105)+100</f>
        <v>99</v>
      </c>
      <c r="K31" s="673">
        <v>1</v>
      </c>
      <c r="L31" s="1141"/>
      <c r="M31" s="1132"/>
      <c r="N31" s="1132"/>
      <c r="O31" s="1140"/>
      <c r="P31" s="3309"/>
      <c r="Q31" s="1808" t="str">
        <f t="shared" si="8"/>
        <v>临街状况</v>
      </c>
      <c r="R31" s="774" t="s">
        <v>17</v>
      </c>
      <c r="S31" s="775">
        <f t="shared" ref="S31:S45" si="10">F31</f>
        <v>99</v>
      </c>
      <c r="T31" s="774" t="s">
        <v>17</v>
      </c>
      <c r="U31" s="775">
        <f t="shared" ref="U31:U45" si="11">H31</f>
        <v>99</v>
      </c>
      <c r="V31" s="774" t="s">
        <v>17</v>
      </c>
      <c r="W31" s="775">
        <f t="shared" ref="W31:W45" si="12">J31</f>
        <v>99</v>
      </c>
      <c r="X31" s="1811"/>
      <c r="Y31" s="3309"/>
      <c r="Z31" s="1812" t="str">
        <f t="shared" ref="Z31:Z45" si="13">Q31</f>
        <v>临街状况</v>
      </c>
      <c r="AA31" s="1809">
        <f t="shared" si="3"/>
        <v>1.0101010101010102</v>
      </c>
      <c r="AB31" s="1809">
        <f t="shared" si="4"/>
        <v>1.0101010101010102</v>
      </c>
      <c r="AC31" s="1809">
        <f t="shared" si="5"/>
        <v>1.0101010101010102</v>
      </c>
    </row>
    <row r="32" spans="1:29" ht="27">
      <c r="A32" s="428"/>
      <c r="B32" s="1384" t="s">
        <v>2677</v>
      </c>
      <c r="C32" s="3033" t="s">
        <v>3387</v>
      </c>
      <c r="D32" s="450">
        <v>100</v>
      </c>
      <c r="E32" s="3023" t="s">
        <v>3388</v>
      </c>
      <c r="F32" s="450">
        <f>SUMIF(106:106,E33,107:107)-SUMIF(106:106,C33,107:107)+100</f>
        <v>97</v>
      </c>
      <c r="G32" s="3023" t="s">
        <v>3389</v>
      </c>
      <c r="H32" s="450">
        <f>SUMIF(106:106,G33,107:107)-SUMIF(106:106,C33,107:107)+100</f>
        <v>97</v>
      </c>
      <c r="I32" s="3033" t="s">
        <v>3390</v>
      </c>
      <c r="J32" s="450">
        <f>SUMIF(106:106,I33,107:107)-SUMIF(106:106,C33,107:107)+100</f>
        <v>97</v>
      </c>
      <c r="K32" s="673">
        <v>1</v>
      </c>
      <c r="L32" s="1141"/>
      <c r="M32" s="1132"/>
      <c r="N32" s="1132"/>
      <c r="O32" s="1140"/>
      <c r="P32" s="3309"/>
      <c r="Q32" s="1808" t="str">
        <f t="shared" si="8"/>
        <v>毗邻道路的类型与等级</v>
      </c>
      <c r="R32" s="774" t="s">
        <v>17</v>
      </c>
      <c r="S32" s="775">
        <f t="shared" si="10"/>
        <v>97</v>
      </c>
      <c r="T32" s="774" t="s">
        <v>17</v>
      </c>
      <c r="U32" s="775">
        <f t="shared" si="11"/>
        <v>97</v>
      </c>
      <c r="V32" s="774" t="s">
        <v>17</v>
      </c>
      <c r="W32" s="775">
        <f t="shared" si="12"/>
        <v>97</v>
      </c>
      <c r="X32" s="1811"/>
      <c r="Y32" s="3309"/>
      <c r="Z32" s="1812" t="str">
        <f t="shared" si="13"/>
        <v>毗邻道路的类型与等级</v>
      </c>
      <c r="AA32" s="1809">
        <f t="shared" si="3"/>
        <v>1.0309278350515463</v>
      </c>
      <c r="AB32" s="1809">
        <f t="shared" si="4"/>
        <v>1.0309278350515463</v>
      </c>
      <c r="AC32" s="1809">
        <f t="shared" si="5"/>
        <v>1.0309278350515463</v>
      </c>
    </row>
    <row r="33" spans="1:29" ht="15">
      <c r="A33" s="428"/>
      <c r="B33" s="456"/>
      <c r="C33" s="447" t="s">
        <v>3204</v>
      </c>
      <c r="D33" s="448"/>
      <c r="E33" s="2606" t="s">
        <v>3208</v>
      </c>
      <c r="F33" s="448"/>
      <c r="G33" s="2606" t="s">
        <v>3208</v>
      </c>
      <c r="H33" s="448"/>
      <c r="I33" s="447" t="s">
        <v>3208</v>
      </c>
      <c r="J33" s="448"/>
      <c r="K33" s="613"/>
      <c r="L33" s="1141"/>
      <c r="M33" s="1132"/>
      <c r="N33" s="1132"/>
      <c r="O33" s="1140"/>
      <c r="P33" s="3309"/>
      <c r="Q33" s="1808"/>
      <c r="R33" s="774"/>
      <c r="S33" s="775"/>
      <c r="T33" s="774"/>
      <c r="U33" s="775"/>
      <c r="V33" s="774"/>
      <c r="W33" s="775"/>
      <c r="X33" s="1811"/>
      <c r="Y33" s="3309"/>
      <c r="Z33" s="1812"/>
      <c r="AA33" s="1809">
        <v>1</v>
      </c>
      <c r="AB33" s="1809">
        <v>1</v>
      </c>
      <c r="AC33" s="1809">
        <v>1</v>
      </c>
    </row>
    <row r="34" spans="1:29" ht="15.75" thickBot="1">
      <c r="A34" s="428"/>
      <c r="B34" s="422" t="s">
        <v>2736</v>
      </c>
      <c r="C34" s="434" t="s">
        <v>269</v>
      </c>
      <c r="D34" s="435">
        <v>100</v>
      </c>
      <c r="E34" s="634" t="s">
        <v>526</v>
      </c>
      <c r="F34" s="435">
        <f>SUMIF(108:108,E34,109:109)-SUMIF(108:108,C34,109:109)+100</f>
        <v>97.5</v>
      </c>
      <c r="G34" s="634" t="s">
        <v>526</v>
      </c>
      <c r="H34" s="435">
        <f>SUMIF(108:108,G34,109:109)-SUMIF(108:108,C34,109:109)+100</f>
        <v>97.5</v>
      </c>
      <c r="I34" s="616" t="s">
        <v>526</v>
      </c>
      <c r="J34" s="435">
        <f>SUMIF(108:108,I34,109:109)-SUMIF(108:108,C34,109:109)+100</f>
        <v>97.5</v>
      </c>
      <c r="K34" s="612">
        <v>0.5</v>
      </c>
      <c r="L34" s="1141"/>
      <c r="M34" s="1132"/>
      <c r="N34" s="1132"/>
      <c r="O34" s="1140"/>
      <c r="P34" s="3309"/>
      <c r="Q34" s="1808" t="str">
        <f t="shared" si="8"/>
        <v>土地级别</v>
      </c>
      <c r="R34" s="774" t="s">
        <v>17</v>
      </c>
      <c r="S34" s="775">
        <f t="shared" si="10"/>
        <v>97.5</v>
      </c>
      <c r="T34" s="774" t="s">
        <v>17</v>
      </c>
      <c r="U34" s="775">
        <f t="shared" si="11"/>
        <v>97.5</v>
      </c>
      <c r="V34" s="774" t="s">
        <v>17</v>
      </c>
      <c r="W34" s="775">
        <f t="shared" si="12"/>
        <v>97.5</v>
      </c>
      <c r="X34" s="1811"/>
      <c r="Y34" s="3309"/>
      <c r="Z34" s="1812" t="str">
        <f t="shared" si="13"/>
        <v>土地级别</v>
      </c>
      <c r="AA34" s="1809">
        <f t="shared" si="3"/>
        <v>1.0256410256410255</v>
      </c>
      <c r="AB34" s="1809">
        <f t="shared" si="4"/>
        <v>1.0256410256410255</v>
      </c>
      <c r="AC34" s="1809">
        <f t="shared" si="5"/>
        <v>1.0256410256410255</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309"/>
      <c r="Q35" s="1808">
        <f t="shared" si="8"/>
        <v>111</v>
      </c>
      <c r="R35" s="774" t="s">
        <v>17</v>
      </c>
      <c r="S35" s="775">
        <f t="shared" si="10"/>
        <v>100</v>
      </c>
      <c r="T35" s="774" t="s">
        <v>17</v>
      </c>
      <c r="U35" s="775">
        <f t="shared" si="11"/>
        <v>100</v>
      </c>
      <c r="V35" s="774" t="s">
        <v>17</v>
      </c>
      <c r="W35" s="775">
        <f t="shared" si="12"/>
        <v>100</v>
      </c>
      <c r="X35" s="1811"/>
      <c r="Y35" s="3309"/>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57" t="s">
        <v>2551</v>
      </c>
      <c r="Q36" s="1808">
        <f t="shared" si="8"/>
        <v>111</v>
      </c>
      <c r="R36" s="774" t="s">
        <v>17</v>
      </c>
      <c r="S36" s="775">
        <f t="shared" si="10"/>
        <v>100</v>
      </c>
      <c r="T36" s="774" t="s">
        <v>17</v>
      </c>
      <c r="U36" s="775">
        <f t="shared" si="11"/>
        <v>100</v>
      </c>
      <c r="V36" s="774" t="s">
        <v>17</v>
      </c>
      <c r="W36" s="775">
        <f t="shared" si="12"/>
        <v>100</v>
      </c>
      <c r="X36" s="1811"/>
      <c r="Y36" s="3313"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313"/>
      <c r="Q37" s="1808">
        <f t="shared" si="8"/>
        <v>111</v>
      </c>
      <c r="R37" s="777" t="s">
        <v>17</v>
      </c>
      <c r="S37" s="778">
        <f t="shared" si="10"/>
        <v>100</v>
      </c>
      <c r="T37" s="777" t="s">
        <v>17</v>
      </c>
      <c r="U37" s="778">
        <f t="shared" si="11"/>
        <v>100</v>
      </c>
      <c r="V37" s="777" t="s">
        <v>17</v>
      </c>
      <c r="W37" s="778">
        <f t="shared" si="12"/>
        <v>100</v>
      </c>
      <c r="X37" s="779"/>
      <c r="Y37" s="3313"/>
      <c r="Z37" s="780">
        <f t="shared" si="13"/>
        <v>111</v>
      </c>
      <c r="AA37" s="1809">
        <f t="shared" si="3"/>
        <v>1</v>
      </c>
      <c r="AB37" s="1809">
        <f t="shared" si="4"/>
        <v>1</v>
      </c>
      <c r="AC37" s="1809">
        <f t="shared" si="5"/>
        <v>1</v>
      </c>
    </row>
    <row r="38" spans="1:29" ht="15">
      <c r="A38" s="472" t="s">
        <v>2549</v>
      </c>
      <c r="B38" s="456" t="s">
        <v>2737</v>
      </c>
      <c r="C38" s="679">
        <v>12465.37</v>
      </c>
      <c r="D38" s="467">
        <v>100</v>
      </c>
      <c r="E38" s="679">
        <f>土地案例!D3</f>
        <v>39744.120000000003</v>
      </c>
      <c r="F38" s="467">
        <f>LOOKUP(E38,117:117,118:118)-LOOKUP(C38,117:117,118:118)+100</f>
        <v>102</v>
      </c>
      <c r="G38" s="679">
        <f>土地案例!D5</f>
        <v>46165.91</v>
      </c>
      <c r="H38" s="467">
        <f>LOOKUP(G38,117:117,118:118)-LOOKUP(C38,117:117,118:118)+100</f>
        <v>104</v>
      </c>
      <c r="I38" s="530">
        <f>土地案例!D6</f>
        <v>38100</v>
      </c>
      <c r="J38" s="467">
        <f>LOOKUP(I38,117:117,118:118)-LOOKUP(C38,117:117,118:118)+100</f>
        <v>102</v>
      </c>
      <c r="K38" s="613"/>
      <c r="L38" s="1141"/>
      <c r="M38" s="1132"/>
      <c r="N38" s="1132"/>
      <c r="O38" s="1140"/>
      <c r="P38" s="3313"/>
      <c r="Q38" s="1808" t="str">
        <f>B38</f>
        <v>宗地面积</v>
      </c>
      <c r="R38" s="774" t="s">
        <v>17</v>
      </c>
      <c r="S38" s="775">
        <f t="shared" si="10"/>
        <v>102</v>
      </c>
      <c r="T38" s="774" t="s">
        <v>17</v>
      </c>
      <c r="U38" s="775">
        <f t="shared" si="11"/>
        <v>104</v>
      </c>
      <c r="V38" s="774" t="s">
        <v>17</v>
      </c>
      <c r="W38" s="775">
        <f t="shared" si="12"/>
        <v>102</v>
      </c>
      <c r="X38" s="1811"/>
      <c r="Y38" s="3313"/>
      <c r="Z38" s="1812" t="str">
        <f t="shared" si="13"/>
        <v>宗地面积</v>
      </c>
      <c r="AA38" s="1809">
        <f t="shared" si="3"/>
        <v>0.98039215686274506</v>
      </c>
      <c r="AB38" s="1809">
        <f t="shared" si="4"/>
        <v>0.96153846153846156</v>
      </c>
      <c r="AC38" s="1809">
        <f t="shared" si="5"/>
        <v>0.98039215686274506</v>
      </c>
    </row>
    <row r="39" spans="1:29" ht="15">
      <c r="A39" s="472"/>
      <c r="B39" s="422" t="s">
        <v>2738</v>
      </c>
      <c r="C39" s="2608" t="s">
        <v>3234</v>
      </c>
      <c r="D39" s="435">
        <v>100</v>
      </c>
      <c r="E39" s="2608" t="s">
        <v>3234</v>
      </c>
      <c r="F39" s="435">
        <f>SUMIF(119:119,E39,120:120)-SUMIF(119:119,C39,120:120)+100</f>
        <v>100</v>
      </c>
      <c r="G39" s="2608" t="s">
        <v>3234</v>
      </c>
      <c r="H39" s="435">
        <f>SUMIF(119:119,G39,120:120)-SUMIF(119:119,C39,120:120)+100</f>
        <v>100</v>
      </c>
      <c r="I39" s="2608" t="s">
        <v>3234</v>
      </c>
      <c r="J39" s="435">
        <f>SUMIF(119:119,I39,120:120)-SUMIF(119:119,C39,120:120)+100</f>
        <v>100</v>
      </c>
      <c r="K39" s="612">
        <v>1</v>
      </c>
      <c r="L39" s="1141"/>
      <c r="M39" s="1132"/>
      <c r="N39" s="1132"/>
      <c r="O39" s="1140"/>
      <c r="P39" s="3313"/>
      <c r="Q39" s="1808" t="str">
        <f t="shared" ref="Q39:Q45" si="14">B39</f>
        <v>宗地形状</v>
      </c>
      <c r="R39" s="774" t="s">
        <v>17</v>
      </c>
      <c r="S39" s="775">
        <f t="shared" si="10"/>
        <v>100</v>
      </c>
      <c r="T39" s="774" t="s">
        <v>17</v>
      </c>
      <c r="U39" s="775">
        <f t="shared" si="11"/>
        <v>100</v>
      </c>
      <c r="V39" s="774" t="s">
        <v>17</v>
      </c>
      <c r="W39" s="775">
        <f t="shared" si="12"/>
        <v>100</v>
      </c>
      <c r="X39" s="1811"/>
      <c r="Y39" s="3313"/>
      <c r="Z39" s="1812" t="str">
        <f t="shared" si="13"/>
        <v>宗地形状</v>
      </c>
      <c r="AA39" s="1809">
        <f t="shared" si="3"/>
        <v>1</v>
      </c>
      <c r="AB39" s="1809">
        <f t="shared" si="4"/>
        <v>1</v>
      </c>
      <c r="AC39" s="1809">
        <f t="shared" si="5"/>
        <v>1</v>
      </c>
    </row>
    <row r="40" spans="1:29" ht="15" hidden="1">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313"/>
      <c r="Q40" s="1808" t="str">
        <f t="shared" si="14"/>
        <v>临街宽度及深度</v>
      </c>
      <c r="R40" s="774" t="s">
        <v>17</v>
      </c>
      <c r="S40" s="775">
        <f t="shared" si="10"/>
        <v>100</v>
      </c>
      <c r="T40" s="774" t="s">
        <v>17</v>
      </c>
      <c r="U40" s="775">
        <f t="shared" si="11"/>
        <v>100</v>
      </c>
      <c r="V40" s="774" t="s">
        <v>17</v>
      </c>
      <c r="W40" s="775">
        <f t="shared" si="12"/>
        <v>100</v>
      </c>
      <c r="X40" s="1811"/>
      <c r="Y40" s="3313"/>
      <c r="Z40" s="1812" t="str">
        <f t="shared" si="13"/>
        <v>临街宽度及深度</v>
      </c>
      <c r="AA40" s="1809">
        <f t="shared" si="3"/>
        <v>1</v>
      </c>
      <c r="AB40" s="1809">
        <f t="shared" si="4"/>
        <v>1</v>
      </c>
      <c r="AC40" s="1809">
        <f t="shared" si="5"/>
        <v>1</v>
      </c>
    </row>
    <row r="41" spans="1:29" s="117" customFormat="1" ht="15">
      <c r="A41" s="473"/>
      <c r="B41" s="422" t="s">
        <v>2740</v>
      </c>
      <c r="C41" s="474" t="s">
        <v>3210</v>
      </c>
      <c r="D41" s="136">
        <v>100</v>
      </c>
      <c r="E41" s="2697" t="s">
        <v>3210</v>
      </c>
      <c r="F41" s="435">
        <f>SUMIF(123:123,E41,124:124)-SUMIF(123:123,C41,124:124)+100</f>
        <v>100</v>
      </c>
      <c r="G41" s="2697" t="s">
        <v>3210</v>
      </c>
      <c r="H41" s="435">
        <f>SUMIF(123:123,G41,124:124)-SUMIF(123:123,C41,124:124)+100</f>
        <v>100</v>
      </c>
      <c r="I41" s="2697" t="s">
        <v>3210</v>
      </c>
      <c r="J41" s="435">
        <f>SUMIF(123:123,I41,124:124)-SUMIF(123:123,C41,124:124)+100</f>
        <v>100</v>
      </c>
      <c r="K41" s="612">
        <v>1</v>
      </c>
      <c r="L41" s="1133"/>
      <c r="M41" s="1134"/>
      <c r="N41" s="1134"/>
      <c r="O41" s="1135"/>
      <c r="P41" s="3313"/>
      <c r="Q41" s="1808" t="str">
        <f t="shared" si="14"/>
        <v>宗地开发程度</v>
      </c>
      <c r="R41" s="770" t="s">
        <v>17</v>
      </c>
      <c r="S41" s="771">
        <f t="shared" si="10"/>
        <v>100</v>
      </c>
      <c r="T41" s="770" t="s">
        <v>17</v>
      </c>
      <c r="U41" s="771">
        <f t="shared" si="11"/>
        <v>100</v>
      </c>
      <c r="V41" s="770" t="s">
        <v>17</v>
      </c>
      <c r="W41" s="771">
        <f t="shared" si="12"/>
        <v>100</v>
      </c>
      <c r="X41" s="772"/>
      <c r="Y41" s="3313"/>
      <c r="Z41" s="55" t="str">
        <f t="shared" si="13"/>
        <v>宗地开发程度</v>
      </c>
      <c r="AA41" s="773">
        <f t="shared" si="3"/>
        <v>1</v>
      </c>
      <c r="AB41" s="773">
        <f t="shared" si="4"/>
        <v>1</v>
      </c>
      <c r="AC41" s="773">
        <f t="shared" si="5"/>
        <v>1</v>
      </c>
    </row>
    <row r="42" spans="1:29" ht="15.75" thickBot="1">
      <c r="A42" s="472"/>
      <c r="B42" s="422" t="s">
        <v>2741</v>
      </c>
      <c r="C42" s="2608" t="s">
        <v>3238</v>
      </c>
      <c r="D42" s="435">
        <v>100</v>
      </c>
      <c r="E42" s="2608" t="s">
        <v>3238</v>
      </c>
      <c r="F42" s="435">
        <f>SUMIF(125:125,E42,126:126)-SUMIF(125:125,C42,126:126)+100</f>
        <v>100</v>
      </c>
      <c r="G42" s="2608" t="s">
        <v>3238</v>
      </c>
      <c r="H42" s="435">
        <f>SUMIF(125:125,G42,126:126)-SUMIF(125:125,C42,126:126)+100</f>
        <v>100</v>
      </c>
      <c r="I42" s="2608" t="s">
        <v>3238</v>
      </c>
      <c r="J42" s="435">
        <f>SUMIF(125:125,I42,126:126)-SUMIF(125:125,C42,126:126)+100</f>
        <v>100</v>
      </c>
      <c r="K42" s="612">
        <v>1</v>
      </c>
      <c r="L42" s="1141"/>
      <c r="M42" s="1132"/>
      <c r="N42" s="1132"/>
      <c r="O42" s="1140"/>
      <c r="P42" s="3313" t="s">
        <v>2551</v>
      </c>
      <c r="Q42" s="1808" t="str">
        <f t="shared" si="14"/>
        <v>工程地质条件</v>
      </c>
      <c r="R42" s="774" t="s">
        <v>17</v>
      </c>
      <c r="S42" s="775">
        <f t="shared" si="10"/>
        <v>100</v>
      </c>
      <c r="T42" s="774" t="s">
        <v>17</v>
      </c>
      <c r="U42" s="775">
        <f t="shared" si="11"/>
        <v>100</v>
      </c>
      <c r="V42" s="774" t="s">
        <v>17</v>
      </c>
      <c r="W42" s="775">
        <f t="shared" si="12"/>
        <v>100</v>
      </c>
      <c r="X42" s="1811"/>
      <c r="Y42" s="3313"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313"/>
      <c r="Q43" s="1808">
        <f t="shared" si="14"/>
        <v>111</v>
      </c>
      <c r="R43" s="774" t="s">
        <v>17</v>
      </c>
      <c r="S43" s="775">
        <f t="shared" si="10"/>
        <v>100</v>
      </c>
      <c r="T43" s="774" t="s">
        <v>17</v>
      </c>
      <c r="U43" s="775">
        <f t="shared" si="11"/>
        <v>100</v>
      </c>
      <c r="V43" s="774" t="s">
        <v>17</v>
      </c>
      <c r="W43" s="775">
        <f t="shared" si="12"/>
        <v>100</v>
      </c>
      <c r="X43" s="1811"/>
      <c r="Y43" s="3313"/>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313"/>
      <c r="Q44" s="1808">
        <f t="shared" si="14"/>
        <v>111</v>
      </c>
      <c r="R44" s="774" t="s">
        <v>17</v>
      </c>
      <c r="S44" s="775">
        <f t="shared" si="10"/>
        <v>100</v>
      </c>
      <c r="T44" s="774" t="s">
        <v>17</v>
      </c>
      <c r="U44" s="775">
        <f t="shared" si="11"/>
        <v>100</v>
      </c>
      <c r="V44" s="774" t="s">
        <v>17</v>
      </c>
      <c r="W44" s="775">
        <f t="shared" si="12"/>
        <v>100</v>
      </c>
      <c r="X44" s="1811"/>
      <c r="Y44" s="3313"/>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313"/>
      <c r="Q45" s="1808">
        <f t="shared" si="14"/>
        <v>111</v>
      </c>
      <c r="R45" s="777" t="s">
        <v>17</v>
      </c>
      <c r="S45" s="778">
        <f t="shared" si="10"/>
        <v>100</v>
      </c>
      <c r="T45" s="777" t="s">
        <v>17</v>
      </c>
      <c r="U45" s="778">
        <f t="shared" si="11"/>
        <v>100</v>
      </c>
      <c r="V45" s="777" t="s">
        <v>17</v>
      </c>
      <c r="W45" s="778">
        <f t="shared" si="12"/>
        <v>100</v>
      </c>
      <c r="X45" s="779"/>
      <c r="Y45" s="3313"/>
      <c r="Z45" s="780">
        <f t="shared" si="13"/>
        <v>111</v>
      </c>
      <c r="AA45" s="1809">
        <f t="shared" si="3"/>
        <v>1</v>
      </c>
      <c r="AB45" s="1809">
        <f t="shared" si="4"/>
        <v>1</v>
      </c>
      <c r="AC45" s="1809">
        <f t="shared" si="5"/>
        <v>1</v>
      </c>
    </row>
    <row r="46" spans="1:29" ht="15">
      <c r="A46" s="479" t="s">
        <v>2706</v>
      </c>
      <c r="B46" s="2699" t="s">
        <v>2742</v>
      </c>
      <c r="C46" s="682" t="s">
        <v>1</v>
      </c>
      <c r="D46" s="481"/>
      <c r="E46" s="482">
        <f>ROUND(土地案例!K3,0)</f>
        <v>24490</v>
      </c>
      <c r="F46" s="483"/>
      <c r="G46" s="484">
        <f>ROUND(土地案例!K5,0)</f>
        <v>24369</v>
      </c>
      <c r="H46" s="485"/>
      <c r="I46" s="482">
        <f>ROUND(土地案例!K6,0)</f>
        <v>26772</v>
      </c>
      <c r="J46" s="485"/>
      <c r="K46" s="783"/>
      <c r="L46" s="1144"/>
      <c r="M46" s="1145"/>
      <c r="N46" s="1132"/>
      <c r="O46" s="1145"/>
      <c r="P46" s="3301" t="str">
        <f>A46</f>
        <v>成交单价</v>
      </c>
      <c r="Q46" s="3301"/>
      <c r="R46" s="3335">
        <f>E46</f>
        <v>24490</v>
      </c>
      <c r="S46" s="3335"/>
      <c r="T46" s="3335">
        <f>G46</f>
        <v>24369</v>
      </c>
      <c r="U46" s="3335"/>
      <c r="V46" s="3335">
        <f>I46</f>
        <v>26772</v>
      </c>
      <c r="W46" s="3335"/>
      <c r="X46" s="759"/>
      <c r="Y46" s="781"/>
      <c r="Z46" s="759"/>
      <c r="AA46" s="759"/>
      <c r="AB46" s="759"/>
      <c r="AC46" s="759"/>
    </row>
    <row r="47" spans="1:29" ht="15.75" thickBot="1">
      <c r="A47" s="486" t="s">
        <v>2655</v>
      </c>
      <c r="B47" s="683"/>
      <c r="C47" s="490">
        <f>R48</f>
        <v>30656</v>
      </c>
      <c r="D47" s="489"/>
      <c r="E47" s="490">
        <f>R47</f>
        <v>30763</v>
      </c>
      <c r="F47" s="491"/>
      <c r="G47" s="488">
        <f>T47</f>
        <v>28868</v>
      </c>
      <c r="H47" s="489"/>
      <c r="I47" s="490">
        <f>V47</f>
        <v>32336</v>
      </c>
      <c r="J47" s="489"/>
      <c r="K47" s="784"/>
      <c r="L47" s="1144"/>
      <c r="M47" s="1145"/>
      <c r="N47" s="1145"/>
      <c r="O47" s="1145"/>
      <c r="P47" s="3301" t="str">
        <f>A47</f>
        <v>比较价值（元/平方米）</v>
      </c>
      <c r="Q47" s="3301"/>
      <c r="R47" s="3351">
        <f>ROUND(PRODUCT(R46,AA7:AA45),0)</f>
        <v>30763</v>
      </c>
      <c r="S47" s="3351"/>
      <c r="T47" s="3351">
        <f>ROUND(PRODUCT(T46,AB7:AB45),0)</f>
        <v>28868</v>
      </c>
      <c r="U47" s="3351"/>
      <c r="V47" s="3351">
        <f>ROUND(PRODUCT(V46,AC7:AC45),0)</f>
        <v>32336</v>
      </c>
      <c r="W47" s="3351"/>
      <c r="X47" s="759"/>
      <c r="Y47" s="759"/>
      <c r="Z47" s="759"/>
      <c r="AA47" s="759"/>
      <c r="AB47" s="759"/>
      <c r="AC47" s="759"/>
    </row>
    <row r="48" spans="1:29" ht="15.75" thickBot="1">
      <c r="A48" s="492" t="s">
        <v>3253</v>
      </c>
      <c r="B48" s="493"/>
      <c r="C48" s="494">
        <f>R48</f>
        <v>30656</v>
      </c>
      <c r="D48" s="494"/>
      <c r="E48" s="494"/>
      <c r="F48" s="494"/>
      <c r="G48" s="494"/>
      <c r="H48" s="494"/>
      <c r="I48" s="494"/>
      <c r="J48" s="494"/>
      <c r="K48" s="785"/>
      <c r="L48" s="1144"/>
      <c r="M48" s="1145"/>
      <c r="N48" s="1145"/>
      <c r="O48" s="1145"/>
      <c r="P48" s="3352" t="str">
        <f>A48</f>
        <v>估价对象商业用地的比较价值（楼面单价，元/平方米）</v>
      </c>
      <c r="Q48" s="3353"/>
      <c r="R48" s="3354">
        <f>ROUND(AVERAGE(R47:V47),0)</f>
        <v>30656</v>
      </c>
      <c r="S48" s="3354"/>
      <c r="T48" s="3354"/>
      <c r="U48" s="3354"/>
      <c r="V48" s="3354"/>
      <c r="W48" s="3354"/>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2657</v>
      </c>
      <c r="D51" s="498"/>
      <c r="E51" s="499">
        <f>IF(E46&lt;E47,E47/E46-1,E46/E47-1)</f>
        <v>0.25614536545528788</v>
      </c>
      <c r="F51" s="500" t="str">
        <f>IF(OR(E51&gt;=0.3,E51&lt;=-0.3),"超过30%","")</f>
        <v/>
      </c>
      <c r="G51" s="499">
        <f>IF(G46&lt;G47,G47/G46-1,G46/G47-1)</f>
        <v>0.18461980384915266</v>
      </c>
      <c r="H51" s="500" t="str">
        <f>IF(OR(G51&gt;=0.3,G51&lt;=-0.3),"超过30%","")</f>
        <v/>
      </c>
      <c r="I51" s="499">
        <f>IF(I46&lt;I47,I47/I46-1,I46/I47-1)</f>
        <v>0.20782907515314508</v>
      </c>
      <c r="J51" s="500" t="str">
        <f>IF(OR(I51&gt;=0.3,I51&lt;=-0.3),"超过30%","")</f>
        <v/>
      </c>
      <c r="K51" s="1106"/>
      <c r="L51" s="1107"/>
      <c r="M51" s="1145"/>
      <c r="N51" s="1145"/>
      <c r="O51" s="1145"/>
    </row>
    <row r="52" spans="1:15" ht="13.5" customHeight="1">
      <c r="A52" s="1145"/>
      <c r="B52" s="1145"/>
      <c r="C52" s="497" t="s">
        <v>2658</v>
      </c>
      <c r="D52" s="501"/>
      <c r="E52" s="499">
        <f>IF(E47&lt;G47,G47/E47-1,E47/G47-1)</f>
        <v>6.5643619232367945E-2</v>
      </c>
      <c r="F52" s="500" t="str">
        <f>IF(OR(E52&gt;=0.2,E52&lt;=-0.2),"超过20%","")</f>
        <v/>
      </c>
      <c r="G52" s="499">
        <f>IF(G47&lt;I47,I47/G47-1,G47/I47-1)</f>
        <v>0.12013301926008046</v>
      </c>
      <c r="H52" s="500" t="str">
        <f>IF(OR(G52&gt;=0.2,G52&lt;=-0.2),"超过20%","")</f>
        <v/>
      </c>
      <c r="I52" s="499">
        <f>IF(I47&lt;E47,E47/I47-1,I47/E47-1)</f>
        <v>5.1132854403016514E-2</v>
      </c>
      <c r="J52" s="500" t="str">
        <f>IF(OR(I52&gt;=0.2,I52&lt;=-0.2),"超过20%","")</f>
        <v/>
      </c>
      <c r="K52" s="1106"/>
      <c r="L52" s="1107"/>
      <c r="M52" s="1145"/>
      <c r="N52" s="1145"/>
      <c r="O52" s="1145"/>
    </row>
    <row r="53" spans="1:15" s="502" customFormat="1" ht="13.5" customHeight="1">
      <c r="A53" s="1146"/>
      <c r="B53" s="1146"/>
      <c r="C53" s="497" t="s">
        <v>2659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2743</v>
      </c>
      <c r="B55" s="685" t="s">
        <v>2744</v>
      </c>
      <c r="C55" s="2700" t="s">
        <v>2745</v>
      </c>
      <c r="D55" s="2701" t="s">
        <v>2746</v>
      </c>
      <c r="E55" s="686" t="s">
        <v>2747</v>
      </c>
      <c r="F55" s="1108" t="s">
        <v>2748</v>
      </c>
      <c r="G55" s="3318" t="s">
        <v>2749</v>
      </c>
      <c r="H55" s="3355"/>
      <c r="I55" s="144" t="s">
        <v>2750</v>
      </c>
      <c r="J55" s="2702">
        <f>项目基本情况!F35</f>
        <v>0</v>
      </c>
      <c r="K55" s="2703" t="s">
        <v>2751</v>
      </c>
      <c r="L55" s="1107"/>
      <c r="M55" s="1145"/>
      <c r="N55" s="1145"/>
      <c r="O55" s="1145"/>
    </row>
    <row r="56" spans="1:15" s="692" customFormat="1">
      <c r="A56" s="688" t="s">
        <v>2752</v>
      </c>
      <c r="B56" s="689">
        <f>C48</f>
        <v>30656</v>
      </c>
      <c r="C56" s="690">
        <v>1</v>
      </c>
      <c r="D56" s="1164">
        <v>1</v>
      </c>
      <c r="E56" s="690">
        <f>'数据-汇总表'!E8+'数据-汇总表'!E9</f>
        <v>75908.19</v>
      </c>
      <c r="F56" s="1104">
        <f t="shared" ref="F56:F65" si="15">ROUND(B56*E56/10000,0)</f>
        <v>232704</v>
      </c>
      <c r="G56" s="3300"/>
      <c r="H56" s="3301"/>
      <c r="I56" s="1109">
        <v>1</v>
      </c>
      <c r="J56" s="1112">
        <v>1</v>
      </c>
      <c r="K56" s="1146"/>
      <c r="L56" s="942"/>
      <c r="M56" s="942"/>
      <c r="N56" s="942"/>
      <c r="O56" s="942"/>
    </row>
    <row r="57" spans="1:15" s="692" customFormat="1">
      <c r="A57" s="693" t="s">
        <v>2753</v>
      </c>
      <c r="B57" s="262">
        <f>ROUND($C$48*C57*D57,0)</f>
        <v>6131</v>
      </c>
      <c r="C57" s="200">
        <f t="shared" ref="C57:C65" si="16">IF($C$55="北京市系数",I57,J57)</f>
        <v>0.8</v>
      </c>
      <c r="D57" s="1165">
        <v>0.25</v>
      </c>
      <c r="E57" s="694"/>
      <c r="F57" s="1104">
        <f t="shared" si="15"/>
        <v>0</v>
      </c>
      <c r="G57" s="3356" t="s">
        <v>2754</v>
      </c>
      <c r="H57" s="1105" t="str">
        <f>项目基本情况!B37</f>
        <v>二级</v>
      </c>
      <c r="I57" s="1109">
        <f>SUMIF(修正!A45:A56,H57,修正!B45:B56)</f>
        <v>0.8</v>
      </c>
      <c r="J57" s="1113"/>
      <c r="K57" s="1145"/>
      <c r="L57" s="942"/>
      <c r="M57" s="942"/>
      <c r="N57" s="942"/>
      <c r="O57" s="942"/>
    </row>
    <row r="58" spans="1:15" s="692" customFormat="1">
      <c r="A58" s="693" t="s">
        <v>2755</v>
      </c>
      <c r="B58" s="262">
        <f t="shared" ref="B58:B65" si="17">ROUND($C$48*C58*D58,0)</f>
        <v>3832</v>
      </c>
      <c r="C58" s="200">
        <f t="shared" si="16"/>
        <v>0.5</v>
      </c>
      <c r="D58" s="1165">
        <v>0.25</v>
      </c>
      <c r="E58" s="694"/>
      <c r="F58" s="1104">
        <f t="shared" si="15"/>
        <v>0</v>
      </c>
      <c r="G58" s="3356"/>
      <c r="H58" s="1105" t="str">
        <f>项目基本情况!B37</f>
        <v>二级</v>
      </c>
      <c r="I58" s="1109">
        <f>SUMIF(修正!A45:A56,H58,修正!C45:C56)</f>
        <v>0.5</v>
      </c>
      <c r="J58" s="1113"/>
      <c r="K58" s="1146"/>
      <c r="L58" s="942"/>
      <c r="M58" s="942"/>
      <c r="N58" s="942"/>
      <c r="O58" s="942"/>
    </row>
    <row r="59" spans="1:15" s="692" customFormat="1">
      <c r="A59" s="693" t="s">
        <v>2756</v>
      </c>
      <c r="B59" s="262">
        <f t="shared" si="17"/>
        <v>2759</v>
      </c>
      <c r="C59" s="200">
        <f t="shared" si="16"/>
        <v>0.36</v>
      </c>
      <c r="D59" s="1165">
        <v>0.25</v>
      </c>
      <c r="E59" s="694"/>
      <c r="F59" s="1104">
        <f t="shared" si="15"/>
        <v>0</v>
      </c>
      <c r="G59" s="3356"/>
      <c r="H59" s="1105" t="str">
        <f>项目基本情况!B37</f>
        <v>二级</v>
      </c>
      <c r="I59" s="1109">
        <f>SUMIF(修正!A45:A56,H59,修正!D45:D56)</f>
        <v>0.36</v>
      </c>
      <c r="J59" s="1113"/>
      <c r="K59" s="1145"/>
      <c r="L59" s="942"/>
      <c r="M59" s="942"/>
      <c r="N59" s="942"/>
      <c r="O59" s="942"/>
    </row>
    <row r="60" spans="1:15" s="692" customFormat="1">
      <c r="A60" s="693" t="s">
        <v>2757</v>
      </c>
      <c r="B60" s="262">
        <f t="shared" si="17"/>
        <v>2299</v>
      </c>
      <c r="C60" s="200">
        <f t="shared" si="16"/>
        <v>0.3</v>
      </c>
      <c r="D60" s="1165">
        <v>0.25</v>
      </c>
      <c r="E60" s="694"/>
      <c r="F60" s="1104">
        <f t="shared" si="15"/>
        <v>0</v>
      </c>
      <c r="G60" s="3356"/>
      <c r="H60" s="1105" t="str">
        <f>项目基本情况!B37</f>
        <v>二级</v>
      </c>
      <c r="I60" s="1109">
        <f>SUMIF(修正!A45:A56,H60,修正!E45:E56)</f>
        <v>0.3</v>
      </c>
      <c r="J60" s="1113"/>
      <c r="K60" s="1146"/>
      <c r="L60" s="942"/>
      <c r="M60" s="942"/>
      <c r="N60" s="942"/>
      <c r="O60" s="942"/>
    </row>
    <row r="61" spans="1:15" s="692" customFormat="1">
      <c r="A61" s="693" t="s">
        <v>2758</v>
      </c>
      <c r="B61" s="262">
        <f t="shared" si="17"/>
        <v>2299</v>
      </c>
      <c r="C61" s="200">
        <f t="shared" si="16"/>
        <v>0.3</v>
      </c>
      <c r="D61" s="1165">
        <v>0.25</v>
      </c>
      <c r="E61" s="261">
        <f>'数据-汇总表'!E11</f>
        <v>0</v>
      </c>
      <c r="F61" s="1104">
        <f t="shared" si="15"/>
        <v>0</v>
      </c>
      <c r="G61" s="2704" t="s">
        <v>2759</v>
      </c>
      <c r="H61" s="1105" t="str">
        <f>项目基本情况!C37</f>
        <v>二级</v>
      </c>
      <c r="I61" s="1109">
        <f>SUMIF(修正!A45:A56,H61,修正!F45:F56)</f>
        <v>0.3</v>
      </c>
      <c r="J61" s="1113"/>
      <c r="K61" s="1145"/>
      <c r="L61" s="942"/>
      <c r="M61" s="942"/>
      <c r="N61" s="942"/>
      <c r="O61" s="942"/>
    </row>
    <row r="62" spans="1:15" s="692" customFormat="1">
      <c r="A62" s="693" t="s">
        <v>2760</v>
      </c>
      <c r="B62" s="262">
        <f t="shared" si="17"/>
        <v>2299</v>
      </c>
      <c r="C62" s="200">
        <f t="shared" si="16"/>
        <v>0.3</v>
      </c>
      <c r="D62" s="1165">
        <v>0.25</v>
      </c>
      <c r="E62" s="261">
        <f>'数据-汇总表'!E12</f>
        <v>6914.72</v>
      </c>
      <c r="F62" s="1104">
        <f t="shared" si="15"/>
        <v>1590</v>
      </c>
      <c r="G62" s="1110" t="s">
        <v>2761</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2" customFormat="1">
      <c r="A63" s="693" t="s">
        <v>2762</v>
      </c>
      <c r="B63" s="262">
        <f t="shared" si="17"/>
        <v>0</v>
      </c>
      <c r="C63" s="200">
        <f t="shared" si="16"/>
        <v>0</v>
      </c>
      <c r="D63" s="1165">
        <v>0.25</v>
      </c>
      <c r="E63" s="261">
        <f>'数据-汇总表'!E13</f>
        <v>0</v>
      </c>
      <c r="F63" s="1104">
        <f t="shared" si="15"/>
        <v>0</v>
      </c>
      <c r="G63" s="1110" t="s">
        <v>2763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2764</v>
      </c>
      <c r="B64" s="262">
        <f t="shared" si="17"/>
        <v>1916</v>
      </c>
      <c r="C64" s="200">
        <f t="shared" si="16"/>
        <v>0.25</v>
      </c>
      <c r="D64" s="1165">
        <v>0.25</v>
      </c>
      <c r="E64" s="261">
        <f>'数据-汇总表'!E14</f>
        <v>15987.419999999998</v>
      </c>
      <c r="F64" s="1104">
        <f t="shared" si="15"/>
        <v>3063</v>
      </c>
      <c r="G64" s="2704" t="s">
        <v>2754</v>
      </c>
      <c r="H64" s="1105" t="str">
        <f>项目基本情况!B37</f>
        <v>二级</v>
      </c>
      <c r="I64" s="1109">
        <f>SUMIF(修正!A45:A56,H64,修正!H45:H56)</f>
        <v>0.25</v>
      </c>
      <c r="J64" s="1113"/>
      <c r="K64" s="1146"/>
      <c r="L64" s="942"/>
      <c r="M64" s="942"/>
      <c r="N64" s="942"/>
      <c r="O64" s="942"/>
    </row>
    <row r="65" spans="1:17" s="692" customFormat="1" ht="15" thickBot="1">
      <c r="A65" s="693" t="s">
        <v>2765</v>
      </c>
      <c r="B65" s="262">
        <f t="shared" si="17"/>
        <v>1916</v>
      </c>
      <c r="C65" s="200">
        <f t="shared" si="16"/>
        <v>0.25</v>
      </c>
      <c r="D65" s="1165">
        <v>0.25</v>
      </c>
      <c r="E65" s="261">
        <f>'数据-汇总表'!E15</f>
        <v>0</v>
      </c>
      <c r="F65" s="1104">
        <f t="shared" si="15"/>
        <v>0</v>
      </c>
      <c r="G65" s="2705" t="s">
        <v>2759</v>
      </c>
      <c r="H65" s="1115" t="str">
        <f>项目基本情况!C37</f>
        <v>二级</v>
      </c>
      <c r="I65" s="1111">
        <f>SUMIF(修正!A45:A56,H65,修正!H45:H56)</f>
        <v>0.25</v>
      </c>
      <c r="J65" s="1114"/>
      <c r="K65" s="1145"/>
      <c r="L65" s="942"/>
      <c r="M65" s="942"/>
      <c r="N65" s="942"/>
      <c r="O65" s="942"/>
    </row>
    <row r="66" spans="1:17" s="692" customFormat="1" ht="13.5" thickBot="1">
      <c r="A66" s="695" t="s">
        <v>2766</v>
      </c>
      <c r="B66" s="696" t="s">
        <v>28</v>
      </c>
      <c r="C66" s="696" t="s">
        <v>29</v>
      </c>
      <c r="D66" s="696" t="s">
        <v>1029</v>
      </c>
      <c r="E66" s="696">
        <f>IF(B46="楼面地价",SUM(E56:E65),'数据-汇总表'!D3)</f>
        <v>98810.33</v>
      </c>
      <c r="F66" s="697">
        <f>IF(B46="楼面地价",SUM(F56:F65),ROUND(C48*E66/10000,0))</f>
        <v>237357</v>
      </c>
      <c r="G66" s="787"/>
      <c r="H66" s="787"/>
      <c r="I66" s="787"/>
      <c r="J66" s="787"/>
      <c r="K66" s="1159"/>
      <c r="L66" s="942"/>
      <c r="M66" s="942"/>
      <c r="N66" s="942"/>
      <c r="O66" s="942"/>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2660</v>
      </c>
      <c r="B69" s="759"/>
      <c r="C69" s="764"/>
      <c r="D69" s="764"/>
      <c r="E69" s="764"/>
      <c r="F69" s="765"/>
      <c r="G69" s="765"/>
      <c r="H69" s="764"/>
      <c r="I69" s="764"/>
      <c r="J69" s="1160"/>
      <c r="K69" s="1161"/>
      <c r="L69" s="1162"/>
      <c r="M69" s="1160"/>
      <c r="N69" s="1160"/>
      <c r="O69" s="1160"/>
      <c r="P69" s="503"/>
      <c r="Q69" s="504"/>
    </row>
    <row r="70" spans="1:17" s="508" customFormat="1" ht="15">
      <c r="A70" s="2706" t="s">
        <v>2767</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7" t="s">
        <v>1371</v>
      </c>
      <c r="B71" s="332" t="str">
        <f>"北京市平均增长率"&amp;TEXT(SUMIF('基准地价修正（商业）'!N21:N25,A71,'基准地价修正（商业）'!P21:P25),"0.00%")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2571</v>
      </c>
      <c r="B72" s="516"/>
      <c r="C72" s="517">
        <v>0.5</v>
      </c>
      <c r="D72" s="518"/>
      <c r="E72" s="518"/>
      <c r="F72" s="518"/>
      <c r="G72" s="518"/>
      <c r="H72" s="518"/>
      <c r="I72" s="518"/>
      <c r="J72" s="518"/>
      <c r="K72" s="518"/>
      <c r="L72" s="518"/>
      <c r="M72" s="519"/>
      <c r="N72" s="518"/>
      <c r="O72" s="1163"/>
      <c r="P72" s="504"/>
      <c r="Q72" s="504"/>
    </row>
    <row r="73" spans="1:17" s="117" customFormat="1" ht="15">
      <c r="A73" s="521" t="s">
        <v>2536</v>
      </c>
      <c r="B73" s="510"/>
      <c r="C73" s="522" t="s">
        <v>2638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2574</v>
      </c>
      <c r="B75" s="528" t="s">
        <v>2540</v>
      </c>
      <c r="C75" s="3011" t="s">
        <v>3203</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2543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c r="J80" s="549"/>
      <c r="K80" s="550"/>
      <c r="L80" s="551"/>
      <c r="M80" s="552"/>
      <c r="N80" s="1153"/>
      <c r="O80" s="1153"/>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t="str">
        <f>B13</f>
        <v>限制自持</v>
      </c>
      <c r="C84" s="3012" t="s">
        <v>3201</v>
      </c>
      <c r="D84" s="3012" t="s">
        <v>3200</v>
      </c>
      <c r="E84" s="554"/>
      <c r="F84" s="554"/>
      <c r="G84" s="554"/>
      <c r="H84" s="555"/>
      <c r="I84" s="555"/>
      <c r="J84" s="555"/>
      <c r="K84" s="555"/>
      <c r="L84" s="556"/>
      <c r="M84" s="557"/>
      <c r="N84" s="1155"/>
      <c r="O84" s="1155"/>
      <c r="P84" s="470"/>
      <c r="Q84" s="561"/>
    </row>
    <row r="85" spans="1:17" s="471" customFormat="1" ht="15.75" thickBot="1">
      <c r="A85" s="553"/>
      <c r="B85" s="543"/>
      <c r="C85" s="560">
        <v>90</v>
      </c>
      <c r="D85" s="560">
        <v>100</v>
      </c>
      <c r="E85" s="560"/>
      <c r="F85" s="560"/>
      <c r="G85" s="560"/>
      <c r="H85" s="562"/>
      <c r="I85" s="562"/>
      <c r="J85" s="562"/>
      <c r="K85" s="562"/>
      <c r="L85" s="562"/>
      <c r="M85" s="563"/>
      <c r="N85" s="1155"/>
      <c r="O85" s="1155"/>
      <c r="P85" s="558"/>
      <c r="Q85" s="559"/>
    </row>
    <row r="86" spans="1:17" s="471" customFormat="1" ht="15.75" thickTop="1">
      <c r="A86" s="553"/>
      <c r="B86" s="546">
        <f>B14</f>
        <v>0</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3"/>
      <c r="O90" s="1153"/>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4"/>
      <c r="O91" s="1154"/>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3"/>
      <c r="O92" s="1153"/>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4"/>
      <c r="O93" s="1154"/>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3"/>
      <c r="O94" s="1153"/>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4"/>
      <c r="O95" s="1154"/>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2"/>
      <c r="O98" s="1152"/>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4"/>
      <c r="O99" s="1154"/>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5"/>
      <c r="O100" s="1155"/>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5"/>
      <c r="O101" s="1155"/>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5"/>
      <c r="O102" s="1155"/>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5"/>
      <c r="O103" s="1155"/>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3"/>
      <c r="O104" s="1153"/>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4"/>
      <c r="O105" s="1154"/>
      <c r="P105" s="45"/>
      <c r="Q105" s="504"/>
    </row>
    <row r="106" spans="1:17" ht="27.75" thickTop="1">
      <c r="A106" s="534"/>
      <c r="B106" s="538" t="s">
        <v>2677</v>
      </c>
      <c r="C106" s="3012" t="s">
        <v>3205</v>
      </c>
      <c r="D106" s="3012" t="s">
        <v>3206</v>
      </c>
      <c r="E106" s="3012" t="s">
        <v>3207</v>
      </c>
      <c r="F106" s="3012" t="s">
        <v>3209</v>
      </c>
      <c r="G106" s="554"/>
      <c r="H106" s="583"/>
      <c r="I106" s="583"/>
      <c r="J106" s="583"/>
      <c r="K106" s="584"/>
      <c r="L106" s="585"/>
      <c r="M106" s="586"/>
      <c r="N106" s="1153"/>
      <c r="O106" s="1153"/>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4"/>
      <c r="O107" s="1154"/>
      <c r="P107" s="45"/>
      <c r="Q107" s="504"/>
    </row>
    <row r="108" spans="1:17" ht="15.75" thickTop="1">
      <c r="A108" s="534"/>
      <c r="B108" s="538" t="s">
        <v>2736</v>
      </c>
      <c r="C108" s="3016" t="s">
        <v>3224</v>
      </c>
      <c r="D108" s="3016" t="s">
        <v>3225</v>
      </c>
      <c r="E108" s="3016" t="s">
        <v>3226</v>
      </c>
      <c r="F108" s="3016" t="s">
        <v>3227</v>
      </c>
      <c r="G108" s="3016" t="s">
        <v>3228</v>
      </c>
      <c r="H108" s="3016" t="s">
        <v>3229</v>
      </c>
      <c r="I108" s="3016" t="s">
        <v>3243</v>
      </c>
      <c r="J108" s="583"/>
      <c r="K108" s="584"/>
      <c r="L108" s="585"/>
      <c r="M108" s="586"/>
      <c r="N108" s="1153"/>
      <c r="O108" s="1153"/>
      <c r="P108" s="45"/>
      <c r="Q108" s="504"/>
    </row>
    <row r="109" spans="1:17" ht="15.75" thickBot="1">
      <c r="A109" s="534"/>
      <c r="B109" s="543"/>
      <c r="C109" s="544">
        <v>100</v>
      </c>
      <c r="D109" s="544">
        <f>C109-$K34</f>
        <v>99.5</v>
      </c>
      <c r="E109" s="544">
        <f t="shared" ref="E109:M109" si="25">D109-$K34</f>
        <v>99</v>
      </c>
      <c r="F109" s="544">
        <f t="shared" si="25"/>
        <v>98.5</v>
      </c>
      <c r="G109" s="544">
        <f t="shared" si="25"/>
        <v>98</v>
      </c>
      <c r="H109" s="544">
        <f t="shared" si="25"/>
        <v>97.5</v>
      </c>
      <c r="I109" s="544">
        <f t="shared" si="25"/>
        <v>97</v>
      </c>
      <c r="J109" s="544">
        <f t="shared" si="25"/>
        <v>96.5</v>
      </c>
      <c r="K109" s="544">
        <f t="shared" si="25"/>
        <v>96</v>
      </c>
      <c r="L109" s="544">
        <f t="shared" si="25"/>
        <v>95.5</v>
      </c>
      <c r="M109" s="544">
        <f t="shared" si="25"/>
        <v>95</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2549</v>
      </c>
      <c r="B116" s="528" t="s">
        <v>2775</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100000(含)-120000</v>
      </c>
      <c r="I116" s="529" t="str">
        <f t="shared" si="26"/>
        <v>120000(含)-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3"/>
      <c r="O117" s="1153"/>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4"/>
      <c r="O118" s="1154"/>
      <c r="P118" s="45"/>
      <c r="Q118" s="504"/>
    </row>
    <row r="119" spans="1:17" ht="15" thickTop="1">
      <c r="A119" s="599"/>
      <c r="B119" s="538" t="s">
        <v>2776</v>
      </c>
      <c r="C119" s="3016" t="s">
        <v>3233</v>
      </c>
      <c r="D119" s="3016" t="s">
        <v>3235</v>
      </c>
      <c r="E119" s="3016" t="s">
        <v>3236</v>
      </c>
      <c r="F119" s="3016" t="s">
        <v>3237</v>
      </c>
      <c r="G119" s="583"/>
      <c r="H119" s="583"/>
      <c r="I119" s="583"/>
      <c r="J119" s="583"/>
      <c r="K119" s="584"/>
      <c r="L119" s="585"/>
      <c r="M119" s="586"/>
      <c r="N119" s="1153"/>
      <c r="O119" s="1153"/>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4"/>
      <c r="O120" s="1154"/>
      <c r="P120" s="45"/>
      <c r="Q120" s="504"/>
    </row>
    <row r="121" spans="1:17" ht="15" thickTop="1">
      <c r="A121" s="599"/>
      <c r="B121" s="538" t="s">
        <v>2777</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4"/>
      <c r="O122" s="1154"/>
      <c r="P122" s="45"/>
      <c r="Q122" s="504"/>
    </row>
    <row r="123" spans="1:17" s="471" customFormat="1" ht="15" thickTop="1">
      <c r="A123" s="593"/>
      <c r="B123" s="538" t="s">
        <v>2778</v>
      </c>
      <c r="C123" s="3012" t="s">
        <v>3231</v>
      </c>
      <c r="D123" s="3012" t="s">
        <v>3232</v>
      </c>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5"/>
      <c r="O124" s="1155"/>
      <c r="P124" s="558"/>
      <c r="Q124" s="559"/>
    </row>
    <row r="125" spans="1:17" ht="15" thickTop="1">
      <c r="A125" s="599"/>
      <c r="B125" s="538" t="s">
        <v>2779</v>
      </c>
      <c r="C125" s="3012" t="s">
        <v>3239</v>
      </c>
      <c r="D125" s="3012" t="s">
        <v>3240</v>
      </c>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C17" sqref="C17"/>
    </sheetView>
  </sheetViews>
  <sheetFormatPr defaultRowHeight="13.5"/>
  <cols>
    <col min="1" max="1" width="39.5" style="1634" customWidth="1"/>
    <col min="2" max="2" width="6.25" style="1634" customWidth="1"/>
    <col min="3" max="3" width="11.75" style="1634" customWidth="1"/>
    <col min="4" max="5" width="13.875" style="1634" customWidth="1"/>
    <col min="6" max="6" width="10.875" style="1634" customWidth="1"/>
    <col min="7" max="7" width="7.875" style="1634" customWidth="1"/>
    <col min="8" max="8" width="11.75" style="1634" customWidth="1"/>
    <col min="9" max="10" width="10.625" style="1634" customWidth="1"/>
    <col min="11" max="11" width="14.375" style="1634" customWidth="1"/>
    <col min="12" max="12" width="6.25" style="1634" customWidth="1"/>
    <col min="13" max="13" width="80.875" style="1634" customWidth="1"/>
    <col min="14" max="256" width="9" style="1634"/>
    <col min="257" max="257" width="63.375" style="1634" customWidth="1"/>
    <col min="258" max="258" width="6.25" style="1634" customWidth="1"/>
    <col min="259" max="259" width="11.75" style="1634" customWidth="1"/>
    <col min="260" max="261" width="13.875" style="1634" customWidth="1"/>
    <col min="262" max="262" width="10.875" style="1634" customWidth="1"/>
    <col min="263" max="263" width="7.875" style="1634" customWidth="1"/>
    <col min="264" max="264" width="9" style="1634" customWidth="1"/>
    <col min="265" max="266" width="10.625" style="1634" customWidth="1"/>
    <col min="267" max="267" width="14.375" style="1634" customWidth="1"/>
    <col min="268" max="268" width="6.25" style="1634" customWidth="1"/>
    <col min="269" max="269" width="80.875" style="1634" customWidth="1"/>
    <col min="270" max="512" width="9" style="1634"/>
    <col min="513" max="513" width="63.375" style="1634" customWidth="1"/>
    <col min="514" max="514" width="6.25" style="1634" customWidth="1"/>
    <col min="515" max="515" width="11.75" style="1634" customWidth="1"/>
    <col min="516" max="517" width="13.875" style="1634" customWidth="1"/>
    <col min="518" max="518" width="10.875" style="1634" customWidth="1"/>
    <col min="519" max="519" width="7.875" style="1634" customWidth="1"/>
    <col min="520" max="520" width="9" style="1634" customWidth="1"/>
    <col min="521" max="522" width="10.625" style="1634" customWidth="1"/>
    <col min="523" max="523" width="14.375" style="1634" customWidth="1"/>
    <col min="524" max="524" width="6.25" style="1634" customWidth="1"/>
    <col min="525" max="525" width="80.875" style="1634" customWidth="1"/>
    <col min="526" max="768" width="9" style="1634"/>
    <col min="769" max="769" width="63.375" style="1634" customWidth="1"/>
    <col min="770" max="770" width="6.25" style="1634" customWidth="1"/>
    <col min="771" max="771" width="11.75" style="1634" customWidth="1"/>
    <col min="772" max="773" width="13.875" style="1634" customWidth="1"/>
    <col min="774" max="774" width="10.875" style="1634" customWidth="1"/>
    <col min="775" max="775" width="7.875" style="1634" customWidth="1"/>
    <col min="776" max="776" width="9" style="1634" customWidth="1"/>
    <col min="777" max="778" width="10.625" style="1634" customWidth="1"/>
    <col min="779" max="779" width="14.375" style="1634" customWidth="1"/>
    <col min="780" max="780" width="6.25" style="1634" customWidth="1"/>
    <col min="781" max="781" width="80.875" style="1634" customWidth="1"/>
    <col min="782" max="1024" width="9" style="1634"/>
    <col min="1025" max="1025" width="63.375" style="1634" customWidth="1"/>
    <col min="1026" max="1026" width="6.25" style="1634" customWidth="1"/>
    <col min="1027" max="1027" width="11.75" style="1634" customWidth="1"/>
    <col min="1028" max="1029" width="13.875" style="1634" customWidth="1"/>
    <col min="1030" max="1030" width="10.875" style="1634" customWidth="1"/>
    <col min="1031" max="1031" width="7.875" style="1634" customWidth="1"/>
    <col min="1032" max="1032" width="9" style="1634" customWidth="1"/>
    <col min="1033" max="1034" width="10.625" style="1634" customWidth="1"/>
    <col min="1035" max="1035" width="14.375" style="1634" customWidth="1"/>
    <col min="1036" max="1036" width="6.25" style="1634" customWidth="1"/>
    <col min="1037" max="1037" width="80.875" style="1634" customWidth="1"/>
    <col min="1038" max="1280" width="9" style="1634"/>
    <col min="1281" max="1281" width="63.375" style="1634" customWidth="1"/>
    <col min="1282" max="1282" width="6.25" style="1634" customWidth="1"/>
    <col min="1283" max="1283" width="11.75" style="1634" customWidth="1"/>
    <col min="1284" max="1285" width="13.875" style="1634" customWidth="1"/>
    <col min="1286" max="1286" width="10.875" style="1634" customWidth="1"/>
    <col min="1287" max="1287" width="7.875" style="1634" customWidth="1"/>
    <col min="1288" max="1288" width="9" style="1634" customWidth="1"/>
    <col min="1289" max="1290" width="10.625" style="1634" customWidth="1"/>
    <col min="1291" max="1291" width="14.375" style="1634" customWidth="1"/>
    <col min="1292" max="1292" width="6.25" style="1634" customWidth="1"/>
    <col min="1293" max="1293" width="80.875" style="1634" customWidth="1"/>
    <col min="1294" max="1536" width="9" style="1634"/>
    <col min="1537" max="1537" width="63.375" style="1634" customWidth="1"/>
    <col min="1538" max="1538" width="6.25" style="1634" customWidth="1"/>
    <col min="1539" max="1539" width="11.75" style="1634" customWidth="1"/>
    <col min="1540" max="1541" width="13.875" style="1634" customWidth="1"/>
    <col min="1542" max="1542" width="10.875" style="1634" customWidth="1"/>
    <col min="1543" max="1543" width="7.875" style="1634" customWidth="1"/>
    <col min="1544" max="1544" width="9" style="1634" customWidth="1"/>
    <col min="1545" max="1546" width="10.625" style="1634" customWidth="1"/>
    <col min="1547" max="1547" width="14.375" style="1634" customWidth="1"/>
    <col min="1548" max="1548" width="6.25" style="1634" customWidth="1"/>
    <col min="1549" max="1549" width="80.875" style="1634" customWidth="1"/>
    <col min="1550" max="1792" width="9" style="1634"/>
    <col min="1793" max="1793" width="63.375" style="1634" customWidth="1"/>
    <col min="1794" max="1794" width="6.25" style="1634" customWidth="1"/>
    <col min="1795" max="1795" width="11.75" style="1634" customWidth="1"/>
    <col min="1796" max="1797" width="13.875" style="1634" customWidth="1"/>
    <col min="1798" max="1798" width="10.875" style="1634" customWidth="1"/>
    <col min="1799" max="1799" width="7.875" style="1634" customWidth="1"/>
    <col min="1800" max="1800" width="9" style="1634" customWidth="1"/>
    <col min="1801" max="1802" width="10.625" style="1634" customWidth="1"/>
    <col min="1803" max="1803" width="14.375" style="1634" customWidth="1"/>
    <col min="1804" max="1804" width="6.25" style="1634" customWidth="1"/>
    <col min="1805" max="1805" width="80.875" style="1634" customWidth="1"/>
    <col min="1806" max="2048" width="9" style="1634"/>
    <col min="2049" max="2049" width="63.375" style="1634" customWidth="1"/>
    <col min="2050" max="2050" width="6.25" style="1634" customWidth="1"/>
    <col min="2051" max="2051" width="11.75" style="1634" customWidth="1"/>
    <col min="2052" max="2053" width="13.875" style="1634" customWidth="1"/>
    <col min="2054" max="2054" width="10.875" style="1634" customWidth="1"/>
    <col min="2055" max="2055" width="7.875" style="1634" customWidth="1"/>
    <col min="2056" max="2056" width="9" style="1634" customWidth="1"/>
    <col min="2057" max="2058" width="10.625" style="1634" customWidth="1"/>
    <col min="2059" max="2059" width="14.375" style="1634" customWidth="1"/>
    <col min="2060" max="2060" width="6.25" style="1634" customWidth="1"/>
    <col min="2061" max="2061" width="80.875" style="1634" customWidth="1"/>
    <col min="2062" max="2304" width="9" style="1634"/>
    <col min="2305" max="2305" width="63.375" style="1634" customWidth="1"/>
    <col min="2306" max="2306" width="6.25" style="1634" customWidth="1"/>
    <col min="2307" max="2307" width="11.75" style="1634" customWidth="1"/>
    <col min="2308" max="2309" width="13.875" style="1634" customWidth="1"/>
    <col min="2310" max="2310" width="10.875" style="1634" customWidth="1"/>
    <col min="2311" max="2311" width="7.875" style="1634" customWidth="1"/>
    <col min="2312" max="2312" width="9" style="1634" customWidth="1"/>
    <col min="2313" max="2314" width="10.625" style="1634" customWidth="1"/>
    <col min="2315" max="2315" width="14.375" style="1634" customWidth="1"/>
    <col min="2316" max="2316" width="6.25" style="1634" customWidth="1"/>
    <col min="2317" max="2317" width="80.875" style="1634" customWidth="1"/>
    <col min="2318" max="2560" width="9" style="1634"/>
    <col min="2561" max="2561" width="63.375" style="1634" customWidth="1"/>
    <col min="2562" max="2562" width="6.25" style="1634" customWidth="1"/>
    <col min="2563" max="2563" width="11.75" style="1634" customWidth="1"/>
    <col min="2564" max="2565" width="13.875" style="1634" customWidth="1"/>
    <col min="2566" max="2566" width="10.875" style="1634" customWidth="1"/>
    <col min="2567" max="2567" width="7.875" style="1634" customWidth="1"/>
    <col min="2568" max="2568" width="9" style="1634" customWidth="1"/>
    <col min="2569" max="2570" width="10.625" style="1634" customWidth="1"/>
    <col min="2571" max="2571" width="14.375" style="1634" customWidth="1"/>
    <col min="2572" max="2572" width="6.25" style="1634" customWidth="1"/>
    <col min="2573" max="2573" width="80.875" style="1634" customWidth="1"/>
    <col min="2574" max="2816" width="9" style="1634"/>
    <col min="2817" max="2817" width="63.375" style="1634" customWidth="1"/>
    <col min="2818" max="2818" width="6.25" style="1634" customWidth="1"/>
    <col min="2819" max="2819" width="11.75" style="1634" customWidth="1"/>
    <col min="2820" max="2821" width="13.875" style="1634" customWidth="1"/>
    <col min="2822" max="2822" width="10.875" style="1634" customWidth="1"/>
    <col min="2823" max="2823" width="7.875" style="1634" customWidth="1"/>
    <col min="2824" max="2824" width="9" style="1634" customWidth="1"/>
    <col min="2825" max="2826" width="10.625" style="1634" customWidth="1"/>
    <col min="2827" max="2827" width="14.375" style="1634" customWidth="1"/>
    <col min="2828" max="2828" width="6.25" style="1634" customWidth="1"/>
    <col min="2829" max="2829" width="80.875" style="1634" customWidth="1"/>
    <col min="2830" max="3072" width="9" style="1634"/>
    <col min="3073" max="3073" width="63.375" style="1634" customWidth="1"/>
    <col min="3074" max="3074" width="6.25" style="1634" customWidth="1"/>
    <col min="3075" max="3075" width="11.75" style="1634" customWidth="1"/>
    <col min="3076" max="3077" width="13.875" style="1634" customWidth="1"/>
    <col min="3078" max="3078" width="10.875" style="1634" customWidth="1"/>
    <col min="3079" max="3079" width="7.875" style="1634" customWidth="1"/>
    <col min="3080" max="3080" width="9" style="1634" customWidth="1"/>
    <col min="3081" max="3082" width="10.625" style="1634" customWidth="1"/>
    <col min="3083" max="3083" width="14.375" style="1634" customWidth="1"/>
    <col min="3084" max="3084" width="6.25" style="1634" customWidth="1"/>
    <col min="3085" max="3085" width="80.875" style="1634" customWidth="1"/>
    <col min="3086" max="3328" width="9" style="1634"/>
    <col min="3329" max="3329" width="63.375" style="1634" customWidth="1"/>
    <col min="3330" max="3330" width="6.25" style="1634" customWidth="1"/>
    <col min="3331" max="3331" width="11.75" style="1634" customWidth="1"/>
    <col min="3332" max="3333" width="13.875" style="1634" customWidth="1"/>
    <col min="3334" max="3334" width="10.875" style="1634" customWidth="1"/>
    <col min="3335" max="3335" width="7.875" style="1634" customWidth="1"/>
    <col min="3336" max="3336" width="9" style="1634" customWidth="1"/>
    <col min="3337" max="3338" width="10.625" style="1634" customWidth="1"/>
    <col min="3339" max="3339" width="14.375" style="1634" customWidth="1"/>
    <col min="3340" max="3340" width="6.25" style="1634" customWidth="1"/>
    <col min="3341" max="3341" width="80.875" style="1634" customWidth="1"/>
    <col min="3342" max="3584" width="9" style="1634"/>
    <col min="3585" max="3585" width="63.375" style="1634" customWidth="1"/>
    <col min="3586" max="3586" width="6.25" style="1634" customWidth="1"/>
    <col min="3587" max="3587" width="11.75" style="1634" customWidth="1"/>
    <col min="3588" max="3589" width="13.875" style="1634" customWidth="1"/>
    <col min="3590" max="3590" width="10.875" style="1634" customWidth="1"/>
    <col min="3591" max="3591" width="7.875" style="1634" customWidth="1"/>
    <col min="3592" max="3592" width="9" style="1634" customWidth="1"/>
    <col min="3593" max="3594" width="10.625" style="1634" customWidth="1"/>
    <col min="3595" max="3595" width="14.375" style="1634" customWidth="1"/>
    <col min="3596" max="3596" width="6.25" style="1634" customWidth="1"/>
    <col min="3597" max="3597" width="80.875" style="1634" customWidth="1"/>
    <col min="3598" max="3840" width="9" style="1634"/>
    <col min="3841" max="3841" width="63.375" style="1634" customWidth="1"/>
    <col min="3842" max="3842" width="6.25" style="1634" customWidth="1"/>
    <col min="3843" max="3843" width="11.75" style="1634" customWidth="1"/>
    <col min="3844" max="3845" width="13.875" style="1634" customWidth="1"/>
    <col min="3846" max="3846" width="10.875" style="1634" customWidth="1"/>
    <col min="3847" max="3847" width="7.875" style="1634" customWidth="1"/>
    <col min="3848" max="3848" width="9" style="1634" customWidth="1"/>
    <col min="3849" max="3850" width="10.625" style="1634" customWidth="1"/>
    <col min="3851" max="3851" width="14.375" style="1634" customWidth="1"/>
    <col min="3852" max="3852" width="6.25" style="1634" customWidth="1"/>
    <col min="3853" max="3853" width="80.875" style="1634" customWidth="1"/>
    <col min="3854" max="4096" width="9" style="1634"/>
    <col min="4097" max="4097" width="63.375" style="1634" customWidth="1"/>
    <col min="4098" max="4098" width="6.25" style="1634" customWidth="1"/>
    <col min="4099" max="4099" width="11.75" style="1634" customWidth="1"/>
    <col min="4100" max="4101" width="13.875" style="1634" customWidth="1"/>
    <col min="4102" max="4102" width="10.875" style="1634" customWidth="1"/>
    <col min="4103" max="4103" width="7.875" style="1634" customWidth="1"/>
    <col min="4104" max="4104" width="9" style="1634" customWidth="1"/>
    <col min="4105" max="4106" width="10.625" style="1634" customWidth="1"/>
    <col min="4107" max="4107" width="14.375" style="1634" customWidth="1"/>
    <col min="4108" max="4108" width="6.25" style="1634" customWidth="1"/>
    <col min="4109" max="4109" width="80.875" style="1634" customWidth="1"/>
    <col min="4110" max="4352" width="9" style="1634"/>
    <col min="4353" max="4353" width="63.375" style="1634" customWidth="1"/>
    <col min="4354" max="4354" width="6.25" style="1634" customWidth="1"/>
    <col min="4355" max="4355" width="11.75" style="1634" customWidth="1"/>
    <col min="4356" max="4357" width="13.875" style="1634" customWidth="1"/>
    <col min="4358" max="4358" width="10.875" style="1634" customWidth="1"/>
    <col min="4359" max="4359" width="7.875" style="1634" customWidth="1"/>
    <col min="4360" max="4360" width="9" style="1634" customWidth="1"/>
    <col min="4361" max="4362" width="10.625" style="1634" customWidth="1"/>
    <col min="4363" max="4363" width="14.375" style="1634" customWidth="1"/>
    <col min="4364" max="4364" width="6.25" style="1634" customWidth="1"/>
    <col min="4365" max="4365" width="80.875" style="1634" customWidth="1"/>
    <col min="4366" max="4608" width="9" style="1634"/>
    <col min="4609" max="4609" width="63.375" style="1634" customWidth="1"/>
    <col min="4610" max="4610" width="6.25" style="1634" customWidth="1"/>
    <col min="4611" max="4611" width="11.75" style="1634" customWidth="1"/>
    <col min="4612" max="4613" width="13.875" style="1634" customWidth="1"/>
    <col min="4614" max="4614" width="10.875" style="1634" customWidth="1"/>
    <col min="4615" max="4615" width="7.875" style="1634" customWidth="1"/>
    <col min="4616" max="4616" width="9" style="1634" customWidth="1"/>
    <col min="4617" max="4618" width="10.625" style="1634" customWidth="1"/>
    <col min="4619" max="4619" width="14.375" style="1634" customWidth="1"/>
    <col min="4620" max="4620" width="6.25" style="1634" customWidth="1"/>
    <col min="4621" max="4621" width="80.875" style="1634" customWidth="1"/>
    <col min="4622" max="4864" width="9" style="1634"/>
    <col min="4865" max="4865" width="63.375" style="1634" customWidth="1"/>
    <col min="4866" max="4866" width="6.25" style="1634" customWidth="1"/>
    <col min="4867" max="4867" width="11.75" style="1634" customWidth="1"/>
    <col min="4868" max="4869" width="13.875" style="1634" customWidth="1"/>
    <col min="4870" max="4870" width="10.875" style="1634" customWidth="1"/>
    <col min="4871" max="4871" width="7.875" style="1634" customWidth="1"/>
    <col min="4872" max="4872" width="9" style="1634" customWidth="1"/>
    <col min="4873" max="4874" width="10.625" style="1634" customWidth="1"/>
    <col min="4875" max="4875" width="14.375" style="1634" customWidth="1"/>
    <col min="4876" max="4876" width="6.25" style="1634" customWidth="1"/>
    <col min="4877" max="4877" width="80.875" style="1634" customWidth="1"/>
    <col min="4878" max="5120" width="9" style="1634"/>
    <col min="5121" max="5121" width="63.375" style="1634" customWidth="1"/>
    <col min="5122" max="5122" width="6.25" style="1634" customWidth="1"/>
    <col min="5123" max="5123" width="11.75" style="1634" customWidth="1"/>
    <col min="5124" max="5125" width="13.875" style="1634" customWidth="1"/>
    <col min="5126" max="5126" width="10.875" style="1634" customWidth="1"/>
    <col min="5127" max="5127" width="7.875" style="1634" customWidth="1"/>
    <col min="5128" max="5128" width="9" style="1634" customWidth="1"/>
    <col min="5129" max="5130" width="10.625" style="1634" customWidth="1"/>
    <col min="5131" max="5131" width="14.375" style="1634" customWidth="1"/>
    <col min="5132" max="5132" width="6.25" style="1634" customWidth="1"/>
    <col min="5133" max="5133" width="80.875" style="1634" customWidth="1"/>
    <col min="5134" max="5376" width="9" style="1634"/>
    <col min="5377" max="5377" width="63.375" style="1634" customWidth="1"/>
    <col min="5378" max="5378" width="6.25" style="1634" customWidth="1"/>
    <col min="5379" max="5379" width="11.75" style="1634" customWidth="1"/>
    <col min="5380" max="5381" width="13.875" style="1634" customWidth="1"/>
    <col min="5382" max="5382" width="10.875" style="1634" customWidth="1"/>
    <col min="5383" max="5383" width="7.875" style="1634" customWidth="1"/>
    <col min="5384" max="5384" width="9" style="1634" customWidth="1"/>
    <col min="5385" max="5386" width="10.625" style="1634" customWidth="1"/>
    <col min="5387" max="5387" width="14.375" style="1634" customWidth="1"/>
    <col min="5388" max="5388" width="6.25" style="1634" customWidth="1"/>
    <col min="5389" max="5389" width="80.875" style="1634" customWidth="1"/>
    <col min="5390" max="5632" width="9" style="1634"/>
    <col min="5633" max="5633" width="63.375" style="1634" customWidth="1"/>
    <col min="5634" max="5634" width="6.25" style="1634" customWidth="1"/>
    <col min="5635" max="5635" width="11.75" style="1634" customWidth="1"/>
    <col min="5636" max="5637" width="13.875" style="1634" customWidth="1"/>
    <col min="5638" max="5638" width="10.875" style="1634" customWidth="1"/>
    <col min="5639" max="5639" width="7.875" style="1634" customWidth="1"/>
    <col min="5640" max="5640" width="9" style="1634" customWidth="1"/>
    <col min="5641" max="5642" width="10.625" style="1634" customWidth="1"/>
    <col min="5643" max="5643" width="14.375" style="1634" customWidth="1"/>
    <col min="5644" max="5644" width="6.25" style="1634" customWidth="1"/>
    <col min="5645" max="5645" width="80.875" style="1634" customWidth="1"/>
    <col min="5646" max="5888" width="9" style="1634"/>
    <col min="5889" max="5889" width="63.375" style="1634" customWidth="1"/>
    <col min="5890" max="5890" width="6.25" style="1634" customWidth="1"/>
    <col min="5891" max="5891" width="11.75" style="1634" customWidth="1"/>
    <col min="5892" max="5893" width="13.875" style="1634" customWidth="1"/>
    <col min="5894" max="5894" width="10.875" style="1634" customWidth="1"/>
    <col min="5895" max="5895" width="7.875" style="1634" customWidth="1"/>
    <col min="5896" max="5896" width="9" style="1634" customWidth="1"/>
    <col min="5897" max="5898" width="10.625" style="1634" customWidth="1"/>
    <col min="5899" max="5899" width="14.375" style="1634" customWidth="1"/>
    <col min="5900" max="5900" width="6.25" style="1634" customWidth="1"/>
    <col min="5901" max="5901" width="80.875" style="1634" customWidth="1"/>
    <col min="5902" max="6144" width="9" style="1634"/>
    <col min="6145" max="6145" width="63.375" style="1634" customWidth="1"/>
    <col min="6146" max="6146" width="6.25" style="1634" customWidth="1"/>
    <col min="6147" max="6147" width="11.75" style="1634" customWidth="1"/>
    <col min="6148" max="6149" width="13.875" style="1634" customWidth="1"/>
    <col min="6150" max="6150" width="10.875" style="1634" customWidth="1"/>
    <col min="6151" max="6151" width="7.875" style="1634" customWidth="1"/>
    <col min="6152" max="6152" width="9" style="1634" customWidth="1"/>
    <col min="6153" max="6154" width="10.625" style="1634" customWidth="1"/>
    <col min="6155" max="6155" width="14.375" style="1634" customWidth="1"/>
    <col min="6156" max="6156" width="6.25" style="1634" customWidth="1"/>
    <col min="6157" max="6157" width="80.875" style="1634" customWidth="1"/>
    <col min="6158" max="6400" width="9" style="1634"/>
    <col min="6401" max="6401" width="63.375" style="1634" customWidth="1"/>
    <col min="6402" max="6402" width="6.25" style="1634" customWidth="1"/>
    <col min="6403" max="6403" width="11.75" style="1634" customWidth="1"/>
    <col min="6404" max="6405" width="13.875" style="1634" customWidth="1"/>
    <col min="6406" max="6406" width="10.875" style="1634" customWidth="1"/>
    <col min="6407" max="6407" width="7.875" style="1634" customWidth="1"/>
    <col min="6408" max="6408" width="9" style="1634" customWidth="1"/>
    <col min="6409" max="6410" width="10.625" style="1634" customWidth="1"/>
    <col min="6411" max="6411" width="14.375" style="1634" customWidth="1"/>
    <col min="6412" max="6412" width="6.25" style="1634" customWidth="1"/>
    <col min="6413" max="6413" width="80.875" style="1634" customWidth="1"/>
    <col min="6414" max="6656" width="9" style="1634"/>
    <col min="6657" max="6657" width="63.375" style="1634" customWidth="1"/>
    <col min="6658" max="6658" width="6.25" style="1634" customWidth="1"/>
    <col min="6659" max="6659" width="11.75" style="1634" customWidth="1"/>
    <col min="6660" max="6661" width="13.875" style="1634" customWidth="1"/>
    <col min="6662" max="6662" width="10.875" style="1634" customWidth="1"/>
    <col min="6663" max="6663" width="7.875" style="1634" customWidth="1"/>
    <col min="6664" max="6664" width="9" style="1634" customWidth="1"/>
    <col min="6665" max="6666" width="10.625" style="1634" customWidth="1"/>
    <col min="6667" max="6667" width="14.375" style="1634" customWidth="1"/>
    <col min="6668" max="6668" width="6.25" style="1634" customWidth="1"/>
    <col min="6669" max="6669" width="80.875" style="1634" customWidth="1"/>
    <col min="6670" max="6912" width="9" style="1634"/>
    <col min="6913" max="6913" width="63.375" style="1634" customWidth="1"/>
    <col min="6914" max="6914" width="6.25" style="1634" customWidth="1"/>
    <col min="6915" max="6915" width="11.75" style="1634" customWidth="1"/>
    <col min="6916" max="6917" width="13.875" style="1634" customWidth="1"/>
    <col min="6918" max="6918" width="10.875" style="1634" customWidth="1"/>
    <col min="6919" max="6919" width="7.875" style="1634" customWidth="1"/>
    <col min="6920" max="6920" width="9" style="1634" customWidth="1"/>
    <col min="6921" max="6922" width="10.625" style="1634" customWidth="1"/>
    <col min="6923" max="6923" width="14.375" style="1634" customWidth="1"/>
    <col min="6924" max="6924" width="6.25" style="1634" customWidth="1"/>
    <col min="6925" max="6925" width="80.875" style="1634" customWidth="1"/>
    <col min="6926" max="7168" width="9" style="1634"/>
    <col min="7169" max="7169" width="63.375" style="1634" customWidth="1"/>
    <col min="7170" max="7170" width="6.25" style="1634" customWidth="1"/>
    <col min="7171" max="7171" width="11.75" style="1634" customWidth="1"/>
    <col min="7172" max="7173" width="13.875" style="1634" customWidth="1"/>
    <col min="7174" max="7174" width="10.875" style="1634" customWidth="1"/>
    <col min="7175" max="7175" width="7.875" style="1634" customWidth="1"/>
    <col min="7176" max="7176" width="9" style="1634" customWidth="1"/>
    <col min="7177" max="7178" width="10.625" style="1634" customWidth="1"/>
    <col min="7179" max="7179" width="14.375" style="1634" customWidth="1"/>
    <col min="7180" max="7180" width="6.25" style="1634" customWidth="1"/>
    <col min="7181" max="7181" width="80.875" style="1634" customWidth="1"/>
    <col min="7182" max="7424" width="9" style="1634"/>
    <col min="7425" max="7425" width="63.375" style="1634" customWidth="1"/>
    <col min="7426" max="7426" width="6.25" style="1634" customWidth="1"/>
    <col min="7427" max="7427" width="11.75" style="1634" customWidth="1"/>
    <col min="7428" max="7429" width="13.875" style="1634" customWidth="1"/>
    <col min="7430" max="7430" width="10.875" style="1634" customWidth="1"/>
    <col min="7431" max="7431" width="7.875" style="1634" customWidth="1"/>
    <col min="7432" max="7432" width="9" style="1634" customWidth="1"/>
    <col min="7433" max="7434" width="10.625" style="1634" customWidth="1"/>
    <col min="7435" max="7435" width="14.375" style="1634" customWidth="1"/>
    <col min="7436" max="7436" width="6.25" style="1634" customWidth="1"/>
    <col min="7437" max="7437" width="80.875" style="1634" customWidth="1"/>
    <col min="7438" max="7680" width="9" style="1634"/>
    <col min="7681" max="7681" width="63.375" style="1634" customWidth="1"/>
    <col min="7682" max="7682" width="6.25" style="1634" customWidth="1"/>
    <col min="7683" max="7683" width="11.75" style="1634" customWidth="1"/>
    <col min="7684" max="7685" width="13.875" style="1634" customWidth="1"/>
    <col min="7686" max="7686" width="10.875" style="1634" customWidth="1"/>
    <col min="7687" max="7687" width="7.875" style="1634" customWidth="1"/>
    <col min="7688" max="7688" width="9" style="1634" customWidth="1"/>
    <col min="7689" max="7690" width="10.625" style="1634" customWidth="1"/>
    <col min="7691" max="7691" width="14.375" style="1634" customWidth="1"/>
    <col min="7692" max="7692" width="6.25" style="1634" customWidth="1"/>
    <col min="7693" max="7693" width="80.875" style="1634" customWidth="1"/>
    <col min="7694" max="7936" width="9" style="1634"/>
    <col min="7937" max="7937" width="63.375" style="1634" customWidth="1"/>
    <col min="7938" max="7938" width="6.25" style="1634" customWidth="1"/>
    <col min="7939" max="7939" width="11.75" style="1634" customWidth="1"/>
    <col min="7940" max="7941" width="13.875" style="1634" customWidth="1"/>
    <col min="7942" max="7942" width="10.875" style="1634" customWidth="1"/>
    <col min="7943" max="7943" width="7.875" style="1634" customWidth="1"/>
    <col min="7944" max="7944" width="9" style="1634" customWidth="1"/>
    <col min="7945" max="7946" width="10.625" style="1634" customWidth="1"/>
    <col min="7947" max="7947" width="14.375" style="1634" customWidth="1"/>
    <col min="7948" max="7948" width="6.25" style="1634" customWidth="1"/>
    <col min="7949" max="7949" width="80.875" style="1634" customWidth="1"/>
    <col min="7950" max="8192" width="9" style="1634"/>
    <col min="8193" max="8193" width="63.375" style="1634" customWidth="1"/>
    <col min="8194" max="8194" width="6.25" style="1634" customWidth="1"/>
    <col min="8195" max="8195" width="11.75" style="1634" customWidth="1"/>
    <col min="8196" max="8197" width="13.875" style="1634" customWidth="1"/>
    <col min="8198" max="8198" width="10.875" style="1634" customWidth="1"/>
    <col min="8199" max="8199" width="7.875" style="1634" customWidth="1"/>
    <col min="8200" max="8200" width="9" style="1634" customWidth="1"/>
    <col min="8201" max="8202" width="10.625" style="1634" customWidth="1"/>
    <col min="8203" max="8203" width="14.375" style="1634" customWidth="1"/>
    <col min="8204" max="8204" width="6.25" style="1634" customWidth="1"/>
    <col min="8205" max="8205" width="80.875" style="1634" customWidth="1"/>
    <col min="8206" max="8448" width="9" style="1634"/>
    <col min="8449" max="8449" width="63.375" style="1634" customWidth="1"/>
    <col min="8450" max="8450" width="6.25" style="1634" customWidth="1"/>
    <col min="8451" max="8451" width="11.75" style="1634" customWidth="1"/>
    <col min="8452" max="8453" width="13.875" style="1634" customWidth="1"/>
    <col min="8454" max="8454" width="10.875" style="1634" customWidth="1"/>
    <col min="8455" max="8455" width="7.875" style="1634" customWidth="1"/>
    <col min="8456" max="8456" width="9" style="1634" customWidth="1"/>
    <col min="8457" max="8458" width="10.625" style="1634" customWidth="1"/>
    <col min="8459" max="8459" width="14.375" style="1634" customWidth="1"/>
    <col min="8460" max="8460" width="6.25" style="1634" customWidth="1"/>
    <col min="8461" max="8461" width="80.875" style="1634" customWidth="1"/>
    <col min="8462" max="8704" width="9" style="1634"/>
    <col min="8705" max="8705" width="63.375" style="1634" customWidth="1"/>
    <col min="8706" max="8706" width="6.25" style="1634" customWidth="1"/>
    <col min="8707" max="8707" width="11.75" style="1634" customWidth="1"/>
    <col min="8708" max="8709" width="13.875" style="1634" customWidth="1"/>
    <col min="8710" max="8710" width="10.875" style="1634" customWidth="1"/>
    <col min="8711" max="8711" width="7.875" style="1634" customWidth="1"/>
    <col min="8712" max="8712" width="9" style="1634" customWidth="1"/>
    <col min="8713" max="8714" width="10.625" style="1634" customWidth="1"/>
    <col min="8715" max="8715" width="14.375" style="1634" customWidth="1"/>
    <col min="8716" max="8716" width="6.25" style="1634" customWidth="1"/>
    <col min="8717" max="8717" width="80.875" style="1634" customWidth="1"/>
    <col min="8718" max="8960" width="9" style="1634"/>
    <col min="8961" max="8961" width="63.375" style="1634" customWidth="1"/>
    <col min="8962" max="8962" width="6.25" style="1634" customWidth="1"/>
    <col min="8963" max="8963" width="11.75" style="1634" customWidth="1"/>
    <col min="8964" max="8965" width="13.875" style="1634" customWidth="1"/>
    <col min="8966" max="8966" width="10.875" style="1634" customWidth="1"/>
    <col min="8967" max="8967" width="7.875" style="1634" customWidth="1"/>
    <col min="8968" max="8968" width="9" style="1634" customWidth="1"/>
    <col min="8969" max="8970" width="10.625" style="1634" customWidth="1"/>
    <col min="8971" max="8971" width="14.375" style="1634" customWidth="1"/>
    <col min="8972" max="8972" width="6.25" style="1634" customWidth="1"/>
    <col min="8973" max="8973" width="80.875" style="1634" customWidth="1"/>
    <col min="8974" max="9216" width="9" style="1634"/>
    <col min="9217" max="9217" width="63.375" style="1634" customWidth="1"/>
    <col min="9218" max="9218" width="6.25" style="1634" customWidth="1"/>
    <col min="9219" max="9219" width="11.75" style="1634" customWidth="1"/>
    <col min="9220" max="9221" width="13.875" style="1634" customWidth="1"/>
    <col min="9222" max="9222" width="10.875" style="1634" customWidth="1"/>
    <col min="9223" max="9223" width="7.875" style="1634" customWidth="1"/>
    <col min="9224" max="9224" width="9" style="1634" customWidth="1"/>
    <col min="9225" max="9226" width="10.625" style="1634" customWidth="1"/>
    <col min="9227" max="9227" width="14.375" style="1634" customWidth="1"/>
    <col min="9228" max="9228" width="6.25" style="1634" customWidth="1"/>
    <col min="9229" max="9229" width="80.875" style="1634" customWidth="1"/>
    <col min="9230" max="9472" width="9" style="1634"/>
    <col min="9473" max="9473" width="63.375" style="1634" customWidth="1"/>
    <col min="9474" max="9474" width="6.25" style="1634" customWidth="1"/>
    <col min="9475" max="9475" width="11.75" style="1634" customWidth="1"/>
    <col min="9476" max="9477" width="13.875" style="1634" customWidth="1"/>
    <col min="9478" max="9478" width="10.875" style="1634" customWidth="1"/>
    <col min="9479" max="9479" width="7.875" style="1634" customWidth="1"/>
    <col min="9480" max="9480" width="9" style="1634" customWidth="1"/>
    <col min="9481" max="9482" width="10.625" style="1634" customWidth="1"/>
    <col min="9483" max="9483" width="14.375" style="1634" customWidth="1"/>
    <col min="9484" max="9484" width="6.25" style="1634" customWidth="1"/>
    <col min="9485" max="9485" width="80.875" style="1634" customWidth="1"/>
    <col min="9486" max="9728" width="9" style="1634"/>
    <col min="9729" max="9729" width="63.375" style="1634" customWidth="1"/>
    <col min="9730" max="9730" width="6.25" style="1634" customWidth="1"/>
    <col min="9731" max="9731" width="11.75" style="1634" customWidth="1"/>
    <col min="9732" max="9733" width="13.875" style="1634" customWidth="1"/>
    <col min="9734" max="9734" width="10.875" style="1634" customWidth="1"/>
    <col min="9735" max="9735" width="7.875" style="1634" customWidth="1"/>
    <col min="9736" max="9736" width="9" style="1634" customWidth="1"/>
    <col min="9737" max="9738" width="10.625" style="1634" customWidth="1"/>
    <col min="9739" max="9739" width="14.375" style="1634" customWidth="1"/>
    <col min="9740" max="9740" width="6.25" style="1634" customWidth="1"/>
    <col min="9741" max="9741" width="80.875" style="1634" customWidth="1"/>
    <col min="9742" max="9984" width="9" style="1634"/>
    <col min="9985" max="9985" width="63.375" style="1634" customWidth="1"/>
    <col min="9986" max="9986" width="6.25" style="1634" customWidth="1"/>
    <col min="9987" max="9987" width="11.75" style="1634" customWidth="1"/>
    <col min="9988" max="9989" width="13.875" style="1634" customWidth="1"/>
    <col min="9990" max="9990" width="10.875" style="1634" customWidth="1"/>
    <col min="9991" max="9991" width="7.875" style="1634" customWidth="1"/>
    <col min="9992" max="9992" width="9" style="1634" customWidth="1"/>
    <col min="9993" max="9994" width="10.625" style="1634" customWidth="1"/>
    <col min="9995" max="9995" width="14.375" style="1634" customWidth="1"/>
    <col min="9996" max="9996" width="6.25" style="1634" customWidth="1"/>
    <col min="9997" max="9997" width="80.875" style="1634" customWidth="1"/>
    <col min="9998" max="10240" width="9" style="1634"/>
    <col min="10241" max="10241" width="63.375" style="1634" customWidth="1"/>
    <col min="10242" max="10242" width="6.25" style="1634" customWidth="1"/>
    <col min="10243" max="10243" width="11.75" style="1634" customWidth="1"/>
    <col min="10244" max="10245" width="13.875" style="1634" customWidth="1"/>
    <col min="10246" max="10246" width="10.875" style="1634" customWidth="1"/>
    <col min="10247" max="10247" width="7.875" style="1634" customWidth="1"/>
    <col min="10248" max="10248" width="9" style="1634" customWidth="1"/>
    <col min="10249" max="10250" width="10.625" style="1634" customWidth="1"/>
    <col min="10251" max="10251" width="14.375" style="1634" customWidth="1"/>
    <col min="10252" max="10252" width="6.25" style="1634" customWidth="1"/>
    <col min="10253" max="10253" width="80.875" style="1634" customWidth="1"/>
    <col min="10254" max="10496" width="9" style="1634"/>
    <col min="10497" max="10497" width="63.375" style="1634" customWidth="1"/>
    <col min="10498" max="10498" width="6.25" style="1634" customWidth="1"/>
    <col min="10499" max="10499" width="11.75" style="1634" customWidth="1"/>
    <col min="10500" max="10501" width="13.875" style="1634" customWidth="1"/>
    <col min="10502" max="10502" width="10.875" style="1634" customWidth="1"/>
    <col min="10503" max="10503" width="7.875" style="1634" customWidth="1"/>
    <col min="10504" max="10504" width="9" style="1634" customWidth="1"/>
    <col min="10505" max="10506" width="10.625" style="1634" customWidth="1"/>
    <col min="10507" max="10507" width="14.375" style="1634" customWidth="1"/>
    <col min="10508" max="10508" width="6.25" style="1634" customWidth="1"/>
    <col min="10509" max="10509" width="80.875" style="1634" customWidth="1"/>
    <col min="10510" max="10752" width="9" style="1634"/>
    <col min="10753" max="10753" width="63.375" style="1634" customWidth="1"/>
    <col min="10754" max="10754" width="6.25" style="1634" customWidth="1"/>
    <col min="10755" max="10755" width="11.75" style="1634" customWidth="1"/>
    <col min="10756" max="10757" width="13.875" style="1634" customWidth="1"/>
    <col min="10758" max="10758" width="10.875" style="1634" customWidth="1"/>
    <col min="10759" max="10759" width="7.875" style="1634" customWidth="1"/>
    <col min="10760" max="10760" width="9" style="1634" customWidth="1"/>
    <col min="10761" max="10762" width="10.625" style="1634" customWidth="1"/>
    <col min="10763" max="10763" width="14.375" style="1634" customWidth="1"/>
    <col min="10764" max="10764" width="6.25" style="1634" customWidth="1"/>
    <col min="10765" max="10765" width="80.875" style="1634" customWidth="1"/>
    <col min="10766" max="11008" width="9" style="1634"/>
    <col min="11009" max="11009" width="63.375" style="1634" customWidth="1"/>
    <col min="11010" max="11010" width="6.25" style="1634" customWidth="1"/>
    <col min="11011" max="11011" width="11.75" style="1634" customWidth="1"/>
    <col min="11012" max="11013" width="13.875" style="1634" customWidth="1"/>
    <col min="11014" max="11014" width="10.875" style="1634" customWidth="1"/>
    <col min="11015" max="11015" width="7.875" style="1634" customWidth="1"/>
    <col min="11016" max="11016" width="9" style="1634" customWidth="1"/>
    <col min="11017" max="11018" width="10.625" style="1634" customWidth="1"/>
    <col min="11019" max="11019" width="14.375" style="1634" customWidth="1"/>
    <col min="11020" max="11020" width="6.25" style="1634" customWidth="1"/>
    <col min="11021" max="11021" width="80.875" style="1634" customWidth="1"/>
    <col min="11022" max="11264" width="9" style="1634"/>
    <col min="11265" max="11265" width="63.375" style="1634" customWidth="1"/>
    <col min="11266" max="11266" width="6.25" style="1634" customWidth="1"/>
    <col min="11267" max="11267" width="11.75" style="1634" customWidth="1"/>
    <col min="11268" max="11269" width="13.875" style="1634" customWidth="1"/>
    <col min="11270" max="11270" width="10.875" style="1634" customWidth="1"/>
    <col min="11271" max="11271" width="7.875" style="1634" customWidth="1"/>
    <col min="11272" max="11272" width="9" style="1634" customWidth="1"/>
    <col min="11273" max="11274" width="10.625" style="1634" customWidth="1"/>
    <col min="11275" max="11275" width="14.375" style="1634" customWidth="1"/>
    <col min="11276" max="11276" width="6.25" style="1634" customWidth="1"/>
    <col min="11277" max="11277" width="80.875" style="1634" customWidth="1"/>
    <col min="11278" max="11520" width="9" style="1634"/>
    <col min="11521" max="11521" width="63.375" style="1634" customWidth="1"/>
    <col min="11522" max="11522" width="6.25" style="1634" customWidth="1"/>
    <col min="11523" max="11523" width="11.75" style="1634" customWidth="1"/>
    <col min="11524" max="11525" width="13.875" style="1634" customWidth="1"/>
    <col min="11526" max="11526" width="10.875" style="1634" customWidth="1"/>
    <col min="11527" max="11527" width="7.875" style="1634" customWidth="1"/>
    <col min="11528" max="11528" width="9" style="1634" customWidth="1"/>
    <col min="11529" max="11530" width="10.625" style="1634" customWidth="1"/>
    <col min="11531" max="11531" width="14.375" style="1634" customWidth="1"/>
    <col min="11532" max="11532" width="6.25" style="1634" customWidth="1"/>
    <col min="11533" max="11533" width="80.875" style="1634" customWidth="1"/>
    <col min="11534" max="11776" width="9" style="1634"/>
    <col min="11777" max="11777" width="63.375" style="1634" customWidth="1"/>
    <col min="11778" max="11778" width="6.25" style="1634" customWidth="1"/>
    <col min="11779" max="11779" width="11.75" style="1634" customWidth="1"/>
    <col min="11780" max="11781" width="13.875" style="1634" customWidth="1"/>
    <col min="11782" max="11782" width="10.875" style="1634" customWidth="1"/>
    <col min="11783" max="11783" width="7.875" style="1634" customWidth="1"/>
    <col min="11784" max="11784" width="9" style="1634" customWidth="1"/>
    <col min="11785" max="11786" width="10.625" style="1634" customWidth="1"/>
    <col min="11787" max="11787" width="14.375" style="1634" customWidth="1"/>
    <col min="11788" max="11788" width="6.25" style="1634" customWidth="1"/>
    <col min="11789" max="11789" width="80.875" style="1634" customWidth="1"/>
    <col min="11790" max="12032" width="9" style="1634"/>
    <col min="12033" max="12033" width="63.375" style="1634" customWidth="1"/>
    <col min="12034" max="12034" width="6.25" style="1634" customWidth="1"/>
    <col min="12035" max="12035" width="11.75" style="1634" customWidth="1"/>
    <col min="12036" max="12037" width="13.875" style="1634" customWidth="1"/>
    <col min="12038" max="12038" width="10.875" style="1634" customWidth="1"/>
    <col min="12039" max="12039" width="7.875" style="1634" customWidth="1"/>
    <col min="12040" max="12040" width="9" style="1634" customWidth="1"/>
    <col min="12041" max="12042" width="10.625" style="1634" customWidth="1"/>
    <col min="12043" max="12043" width="14.375" style="1634" customWidth="1"/>
    <col min="12044" max="12044" width="6.25" style="1634" customWidth="1"/>
    <col min="12045" max="12045" width="80.875" style="1634" customWidth="1"/>
    <col min="12046" max="12288" width="9" style="1634"/>
    <col min="12289" max="12289" width="63.375" style="1634" customWidth="1"/>
    <col min="12290" max="12290" width="6.25" style="1634" customWidth="1"/>
    <col min="12291" max="12291" width="11.75" style="1634" customWidth="1"/>
    <col min="12292" max="12293" width="13.875" style="1634" customWidth="1"/>
    <col min="12294" max="12294" width="10.875" style="1634" customWidth="1"/>
    <col min="12295" max="12295" width="7.875" style="1634" customWidth="1"/>
    <col min="12296" max="12296" width="9" style="1634" customWidth="1"/>
    <col min="12297" max="12298" width="10.625" style="1634" customWidth="1"/>
    <col min="12299" max="12299" width="14.375" style="1634" customWidth="1"/>
    <col min="12300" max="12300" width="6.25" style="1634" customWidth="1"/>
    <col min="12301" max="12301" width="80.875" style="1634" customWidth="1"/>
    <col min="12302" max="12544" width="9" style="1634"/>
    <col min="12545" max="12545" width="63.375" style="1634" customWidth="1"/>
    <col min="12546" max="12546" width="6.25" style="1634" customWidth="1"/>
    <col min="12547" max="12547" width="11.75" style="1634" customWidth="1"/>
    <col min="12548" max="12549" width="13.875" style="1634" customWidth="1"/>
    <col min="12550" max="12550" width="10.875" style="1634" customWidth="1"/>
    <col min="12551" max="12551" width="7.875" style="1634" customWidth="1"/>
    <col min="12552" max="12552" width="9" style="1634" customWidth="1"/>
    <col min="12553" max="12554" width="10.625" style="1634" customWidth="1"/>
    <col min="12555" max="12555" width="14.375" style="1634" customWidth="1"/>
    <col min="12556" max="12556" width="6.25" style="1634" customWidth="1"/>
    <col min="12557" max="12557" width="80.875" style="1634" customWidth="1"/>
    <col min="12558" max="12800" width="9" style="1634"/>
    <col min="12801" max="12801" width="63.375" style="1634" customWidth="1"/>
    <col min="12802" max="12802" width="6.25" style="1634" customWidth="1"/>
    <col min="12803" max="12803" width="11.75" style="1634" customWidth="1"/>
    <col min="12804" max="12805" width="13.875" style="1634" customWidth="1"/>
    <col min="12806" max="12806" width="10.875" style="1634" customWidth="1"/>
    <col min="12807" max="12807" width="7.875" style="1634" customWidth="1"/>
    <col min="12808" max="12808" width="9" style="1634" customWidth="1"/>
    <col min="12809" max="12810" width="10.625" style="1634" customWidth="1"/>
    <col min="12811" max="12811" width="14.375" style="1634" customWidth="1"/>
    <col min="12812" max="12812" width="6.25" style="1634" customWidth="1"/>
    <col min="12813" max="12813" width="80.875" style="1634" customWidth="1"/>
    <col min="12814" max="13056" width="9" style="1634"/>
    <col min="13057" max="13057" width="63.375" style="1634" customWidth="1"/>
    <col min="13058" max="13058" width="6.25" style="1634" customWidth="1"/>
    <col min="13059" max="13059" width="11.75" style="1634" customWidth="1"/>
    <col min="13060" max="13061" width="13.875" style="1634" customWidth="1"/>
    <col min="13062" max="13062" width="10.875" style="1634" customWidth="1"/>
    <col min="13063" max="13063" width="7.875" style="1634" customWidth="1"/>
    <col min="13064" max="13064" width="9" style="1634" customWidth="1"/>
    <col min="13065" max="13066" width="10.625" style="1634" customWidth="1"/>
    <col min="13067" max="13067" width="14.375" style="1634" customWidth="1"/>
    <col min="13068" max="13068" width="6.25" style="1634" customWidth="1"/>
    <col min="13069" max="13069" width="80.875" style="1634" customWidth="1"/>
    <col min="13070" max="13312" width="9" style="1634"/>
    <col min="13313" max="13313" width="63.375" style="1634" customWidth="1"/>
    <col min="13314" max="13314" width="6.25" style="1634" customWidth="1"/>
    <col min="13315" max="13315" width="11.75" style="1634" customWidth="1"/>
    <col min="13316" max="13317" width="13.875" style="1634" customWidth="1"/>
    <col min="13318" max="13318" width="10.875" style="1634" customWidth="1"/>
    <col min="13319" max="13319" width="7.875" style="1634" customWidth="1"/>
    <col min="13320" max="13320" width="9" style="1634" customWidth="1"/>
    <col min="13321" max="13322" width="10.625" style="1634" customWidth="1"/>
    <col min="13323" max="13323" width="14.375" style="1634" customWidth="1"/>
    <col min="13324" max="13324" width="6.25" style="1634" customWidth="1"/>
    <col min="13325" max="13325" width="80.875" style="1634" customWidth="1"/>
    <col min="13326" max="13568" width="9" style="1634"/>
    <col min="13569" max="13569" width="63.375" style="1634" customWidth="1"/>
    <col min="13570" max="13570" width="6.25" style="1634" customWidth="1"/>
    <col min="13571" max="13571" width="11.75" style="1634" customWidth="1"/>
    <col min="13572" max="13573" width="13.875" style="1634" customWidth="1"/>
    <col min="13574" max="13574" width="10.875" style="1634" customWidth="1"/>
    <col min="13575" max="13575" width="7.875" style="1634" customWidth="1"/>
    <col min="13576" max="13576" width="9" style="1634" customWidth="1"/>
    <col min="13577" max="13578" width="10.625" style="1634" customWidth="1"/>
    <col min="13579" max="13579" width="14.375" style="1634" customWidth="1"/>
    <col min="13580" max="13580" width="6.25" style="1634" customWidth="1"/>
    <col min="13581" max="13581" width="80.875" style="1634" customWidth="1"/>
    <col min="13582" max="13824" width="9" style="1634"/>
    <col min="13825" max="13825" width="63.375" style="1634" customWidth="1"/>
    <col min="13826" max="13826" width="6.25" style="1634" customWidth="1"/>
    <col min="13827" max="13827" width="11.75" style="1634" customWidth="1"/>
    <col min="13828" max="13829" width="13.875" style="1634" customWidth="1"/>
    <col min="13830" max="13830" width="10.875" style="1634" customWidth="1"/>
    <col min="13831" max="13831" width="7.875" style="1634" customWidth="1"/>
    <col min="13832" max="13832" width="9" style="1634" customWidth="1"/>
    <col min="13833" max="13834" width="10.625" style="1634" customWidth="1"/>
    <col min="13835" max="13835" width="14.375" style="1634" customWidth="1"/>
    <col min="13836" max="13836" width="6.25" style="1634" customWidth="1"/>
    <col min="13837" max="13837" width="80.875" style="1634" customWidth="1"/>
    <col min="13838" max="14080" width="9" style="1634"/>
    <col min="14081" max="14081" width="63.375" style="1634" customWidth="1"/>
    <col min="14082" max="14082" width="6.25" style="1634" customWidth="1"/>
    <col min="14083" max="14083" width="11.75" style="1634" customWidth="1"/>
    <col min="14084" max="14085" width="13.875" style="1634" customWidth="1"/>
    <col min="14086" max="14086" width="10.875" style="1634" customWidth="1"/>
    <col min="14087" max="14087" width="7.875" style="1634" customWidth="1"/>
    <col min="14088" max="14088" width="9" style="1634" customWidth="1"/>
    <col min="14089" max="14090" width="10.625" style="1634" customWidth="1"/>
    <col min="14091" max="14091" width="14.375" style="1634" customWidth="1"/>
    <col min="14092" max="14092" width="6.25" style="1634" customWidth="1"/>
    <col min="14093" max="14093" width="80.875" style="1634" customWidth="1"/>
    <col min="14094" max="14336" width="9" style="1634"/>
    <col min="14337" max="14337" width="63.375" style="1634" customWidth="1"/>
    <col min="14338" max="14338" width="6.25" style="1634" customWidth="1"/>
    <col min="14339" max="14339" width="11.75" style="1634" customWidth="1"/>
    <col min="14340" max="14341" width="13.875" style="1634" customWidth="1"/>
    <col min="14342" max="14342" width="10.875" style="1634" customWidth="1"/>
    <col min="14343" max="14343" width="7.875" style="1634" customWidth="1"/>
    <col min="14344" max="14344" width="9" style="1634" customWidth="1"/>
    <col min="14345" max="14346" width="10.625" style="1634" customWidth="1"/>
    <col min="14347" max="14347" width="14.375" style="1634" customWidth="1"/>
    <col min="14348" max="14348" width="6.25" style="1634" customWidth="1"/>
    <col min="14349" max="14349" width="80.875" style="1634" customWidth="1"/>
    <col min="14350" max="14592" width="9" style="1634"/>
    <col min="14593" max="14593" width="63.375" style="1634" customWidth="1"/>
    <col min="14594" max="14594" width="6.25" style="1634" customWidth="1"/>
    <col min="14595" max="14595" width="11.75" style="1634" customWidth="1"/>
    <col min="14596" max="14597" width="13.875" style="1634" customWidth="1"/>
    <col min="14598" max="14598" width="10.875" style="1634" customWidth="1"/>
    <col min="14599" max="14599" width="7.875" style="1634" customWidth="1"/>
    <col min="14600" max="14600" width="9" style="1634" customWidth="1"/>
    <col min="14601" max="14602" width="10.625" style="1634" customWidth="1"/>
    <col min="14603" max="14603" width="14.375" style="1634" customWidth="1"/>
    <col min="14604" max="14604" width="6.25" style="1634" customWidth="1"/>
    <col min="14605" max="14605" width="80.875" style="1634" customWidth="1"/>
    <col min="14606" max="14848" width="9" style="1634"/>
    <col min="14849" max="14849" width="63.375" style="1634" customWidth="1"/>
    <col min="14850" max="14850" width="6.25" style="1634" customWidth="1"/>
    <col min="14851" max="14851" width="11.75" style="1634" customWidth="1"/>
    <col min="14852" max="14853" width="13.875" style="1634" customWidth="1"/>
    <col min="14854" max="14854" width="10.875" style="1634" customWidth="1"/>
    <col min="14855" max="14855" width="7.875" style="1634" customWidth="1"/>
    <col min="14856" max="14856" width="9" style="1634" customWidth="1"/>
    <col min="14857" max="14858" width="10.625" style="1634" customWidth="1"/>
    <col min="14859" max="14859" width="14.375" style="1634" customWidth="1"/>
    <col min="14860" max="14860" width="6.25" style="1634" customWidth="1"/>
    <col min="14861" max="14861" width="80.875" style="1634" customWidth="1"/>
    <col min="14862" max="15104" width="9" style="1634"/>
    <col min="15105" max="15105" width="63.375" style="1634" customWidth="1"/>
    <col min="15106" max="15106" width="6.25" style="1634" customWidth="1"/>
    <col min="15107" max="15107" width="11.75" style="1634" customWidth="1"/>
    <col min="15108" max="15109" width="13.875" style="1634" customWidth="1"/>
    <col min="15110" max="15110" width="10.875" style="1634" customWidth="1"/>
    <col min="15111" max="15111" width="7.875" style="1634" customWidth="1"/>
    <col min="15112" max="15112" width="9" style="1634" customWidth="1"/>
    <col min="15113" max="15114" width="10.625" style="1634" customWidth="1"/>
    <col min="15115" max="15115" width="14.375" style="1634" customWidth="1"/>
    <col min="15116" max="15116" width="6.25" style="1634" customWidth="1"/>
    <col min="15117" max="15117" width="80.875" style="1634" customWidth="1"/>
    <col min="15118" max="15360" width="9" style="1634"/>
    <col min="15361" max="15361" width="63.375" style="1634" customWidth="1"/>
    <col min="15362" max="15362" width="6.25" style="1634" customWidth="1"/>
    <col min="15363" max="15363" width="11.75" style="1634" customWidth="1"/>
    <col min="15364" max="15365" width="13.875" style="1634" customWidth="1"/>
    <col min="15366" max="15366" width="10.875" style="1634" customWidth="1"/>
    <col min="15367" max="15367" width="7.875" style="1634" customWidth="1"/>
    <col min="15368" max="15368" width="9" style="1634" customWidth="1"/>
    <col min="15369" max="15370" width="10.625" style="1634" customWidth="1"/>
    <col min="15371" max="15371" width="14.375" style="1634" customWidth="1"/>
    <col min="15372" max="15372" width="6.25" style="1634" customWidth="1"/>
    <col min="15373" max="15373" width="80.875" style="1634" customWidth="1"/>
    <col min="15374" max="15616" width="9" style="1634"/>
    <col min="15617" max="15617" width="63.375" style="1634" customWidth="1"/>
    <col min="15618" max="15618" width="6.25" style="1634" customWidth="1"/>
    <col min="15619" max="15619" width="11.75" style="1634" customWidth="1"/>
    <col min="15620" max="15621" width="13.875" style="1634" customWidth="1"/>
    <col min="15622" max="15622" width="10.875" style="1634" customWidth="1"/>
    <col min="15623" max="15623" width="7.875" style="1634" customWidth="1"/>
    <col min="15624" max="15624" width="9" style="1634" customWidth="1"/>
    <col min="15625" max="15626" width="10.625" style="1634" customWidth="1"/>
    <col min="15627" max="15627" width="14.375" style="1634" customWidth="1"/>
    <col min="15628" max="15628" width="6.25" style="1634" customWidth="1"/>
    <col min="15629" max="15629" width="80.875" style="1634" customWidth="1"/>
    <col min="15630" max="15872" width="9" style="1634"/>
    <col min="15873" max="15873" width="63.375" style="1634" customWidth="1"/>
    <col min="15874" max="15874" width="6.25" style="1634" customWidth="1"/>
    <col min="15875" max="15875" width="11.75" style="1634" customWidth="1"/>
    <col min="15876" max="15877" width="13.875" style="1634" customWidth="1"/>
    <col min="15878" max="15878" width="10.875" style="1634" customWidth="1"/>
    <col min="15879" max="15879" width="7.875" style="1634" customWidth="1"/>
    <col min="15880" max="15880" width="9" style="1634" customWidth="1"/>
    <col min="15881" max="15882" width="10.625" style="1634" customWidth="1"/>
    <col min="15883" max="15883" width="14.375" style="1634" customWidth="1"/>
    <col min="15884" max="15884" width="6.25" style="1634" customWidth="1"/>
    <col min="15885" max="15885" width="80.875" style="1634" customWidth="1"/>
    <col min="15886" max="16128" width="9" style="1634"/>
    <col min="16129" max="16129" width="63.375" style="1634" customWidth="1"/>
    <col min="16130" max="16130" width="6.25" style="1634" customWidth="1"/>
    <col min="16131" max="16131" width="11.75" style="1634" customWidth="1"/>
    <col min="16132" max="16133" width="13.875" style="1634" customWidth="1"/>
    <col min="16134" max="16134" width="10.875" style="1634" customWidth="1"/>
    <col min="16135" max="16135" width="7.875" style="1634" customWidth="1"/>
    <col min="16136" max="16136" width="9" style="1634" customWidth="1"/>
    <col min="16137" max="16138" width="10.625" style="1634" customWidth="1"/>
    <col min="16139" max="16139" width="14.375" style="1634" customWidth="1"/>
    <col min="16140" max="16140" width="6.25" style="1634" customWidth="1"/>
    <col min="16141" max="16141" width="80.875" style="1634" customWidth="1"/>
    <col min="16142" max="16384" width="9" style="1634"/>
  </cols>
  <sheetData>
    <row r="1" spans="1:13">
      <c r="A1" s="1634" t="s">
        <v>3166</v>
      </c>
      <c r="B1" s="1634" t="s">
        <v>3167</v>
      </c>
      <c r="C1" s="1634" t="s">
        <v>3168</v>
      </c>
      <c r="D1" s="1634" t="s">
        <v>3169</v>
      </c>
      <c r="E1" s="1634" t="s">
        <v>3170</v>
      </c>
      <c r="F1" s="1634" t="s">
        <v>3171</v>
      </c>
      <c r="G1" s="1634" t="s">
        <v>3172</v>
      </c>
      <c r="H1" s="1634" t="s">
        <v>3173</v>
      </c>
      <c r="I1" s="1634" t="s">
        <v>3174</v>
      </c>
      <c r="J1" s="1634" t="s">
        <v>3175</v>
      </c>
      <c r="K1" s="1634" t="s">
        <v>3176</v>
      </c>
      <c r="L1" s="1634" t="s">
        <v>3177</v>
      </c>
      <c r="M1" s="1634" t="s">
        <v>3178</v>
      </c>
    </row>
    <row r="2" spans="1:13">
      <c r="A2" s="1634" t="s">
        <v>3179</v>
      </c>
      <c r="B2" s="1634" t="s">
        <v>3053</v>
      </c>
      <c r="C2" s="1634" t="s">
        <v>3180</v>
      </c>
      <c r="D2" s="1634">
        <v>33133.96</v>
      </c>
      <c r="E2" s="1634">
        <v>129222</v>
      </c>
      <c r="F2" s="1634">
        <v>3.899986599851029</v>
      </c>
      <c r="G2" s="1634" t="s">
        <v>3181</v>
      </c>
      <c r="H2" s="1634" t="s">
        <v>3182</v>
      </c>
      <c r="I2" s="1634">
        <v>360400</v>
      </c>
      <c r="J2" s="1634" t="s">
        <v>1325</v>
      </c>
      <c r="K2" s="1634" t="s">
        <v>1325</v>
      </c>
      <c r="L2" s="1634" t="s">
        <v>1325</v>
      </c>
      <c r="M2" s="1634" t="s">
        <v>1325</v>
      </c>
    </row>
    <row r="3" spans="1:13" s="3006" customFormat="1">
      <c r="A3" s="3006" t="s">
        <v>3183</v>
      </c>
      <c r="B3" s="3006" t="s">
        <v>3053</v>
      </c>
      <c r="C3" s="3017" t="s">
        <v>3241</v>
      </c>
      <c r="D3" s="3006">
        <v>39744.120000000003</v>
      </c>
      <c r="E3" s="3006">
        <v>119232</v>
      </c>
      <c r="F3" s="3006">
        <v>3</v>
      </c>
      <c r="G3" s="3006" t="s">
        <v>3181</v>
      </c>
      <c r="H3" s="3006" t="s">
        <v>3184</v>
      </c>
      <c r="I3" s="3006">
        <v>227000</v>
      </c>
      <c r="J3" s="3006">
        <v>292000</v>
      </c>
      <c r="K3" s="3006">
        <v>24490.06</v>
      </c>
      <c r="L3" s="3006">
        <v>28.63</v>
      </c>
      <c r="M3" s="3006" t="s">
        <v>3185</v>
      </c>
    </row>
    <row r="4" spans="1:13">
      <c r="A4" s="1634" t="s">
        <v>3186</v>
      </c>
      <c r="B4" s="1634" t="s">
        <v>3053</v>
      </c>
      <c r="C4" s="1634" t="s">
        <v>3180</v>
      </c>
      <c r="D4" s="1634">
        <v>92055.95</v>
      </c>
      <c r="E4" s="1634">
        <v>92056</v>
      </c>
      <c r="F4" s="1634">
        <v>1</v>
      </c>
      <c r="G4" s="1634" t="s">
        <v>3187</v>
      </c>
      <c r="H4" s="1634" t="s">
        <v>3188</v>
      </c>
      <c r="I4" s="1634" t="s">
        <v>1325</v>
      </c>
      <c r="J4" s="1634">
        <v>285373.59000000003</v>
      </c>
      <c r="K4" s="1634">
        <v>31000</v>
      </c>
      <c r="L4" s="1634" t="s">
        <v>1325</v>
      </c>
      <c r="M4" s="1634" t="s">
        <v>3189</v>
      </c>
    </row>
    <row r="5" spans="1:13" s="3006" customFormat="1">
      <c r="A5" s="3006" t="s">
        <v>3190</v>
      </c>
      <c r="B5" s="3006" t="s">
        <v>3053</v>
      </c>
      <c r="C5" s="3006" t="s">
        <v>3180</v>
      </c>
      <c r="D5" s="3006">
        <v>46165.91</v>
      </c>
      <c r="E5" s="3006">
        <v>92332</v>
      </c>
      <c r="F5" s="3006">
        <v>2</v>
      </c>
      <c r="G5" s="3006" t="s">
        <v>3181</v>
      </c>
      <c r="H5" s="3006" t="s">
        <v>3191</v>
      </c>
      <c r="I5" s="3006">
        <v>176000</v>
      </c>
      <c r="J5" s="3006">
        <v>225000</v>
      </c>
      <c r="K5" s="3006">
        <v>24368.58</v>
      </c>
      <c r="L5" s="3006">
        <v>27.84</v>
      </c>
      <c r="M5" s="3006" t="s">
        <v>3192</v>
      </c>
    </row>
    <row r="6" spans="1:13" s="3006" customFormat="1">
      <c r="A6" s="3006" t="s">
        <v>3193</v>
      </c>
      <c r="B6" s="3006" t="s">
        <v>3053</v>
      </c>
      <c r="C6" s="3006" t="s">
        <v>3180</v>
      </c>
      <c r="D6" s="3006">
        <v>38100</v>
      </c>
      <c r="E6" s="3006">
        <v>76200</v>
      </c>
      <c r="F6" s="3006">
        <v>2</v>
      </c>
      <c r="G6" s="3006" t="s">
        <v>3181</v>
      </c>
      <c r="H6" s="3006" t="s">
        <v>3191</v>
      </c>
      <c r="I6" s="3006">
        <v>145000</v>
      </c>
      <c r="J6" s="3006">
        <v>204000</v>
      </c>
      <c r="K6" s="3006">
        <v>26771.65</v>
      </c>
      <c r="L6" s="3006">
        <v>40.69</v>
      </c>
      <c r="M6" s="3006" t="s">
        <v>3194</v>
      </c>
    </row>
    <row r="7" spans="1:13">
      <c r="A7" s="1634" t="s">
        <v>3195</v>
      </c>
      <c r="B7" s="1634" t="s">
        <v>3053</v>
      </c>
      <c r="C7" s="1634" t="s">
        <v>3180</v>
      </c>
      <c r="D7" s="1634">
        <v>18313.7</v>
      </c>
      <c r="E7" s="1634">
        <v>119400</v>
      </c>
      <c r="F7" s="1634">
        <v>6.52</v>
      </c>
      <c r="G7" s="1634" t="s">
        <v>3187</v>
      </c>
      <c r="H7" s="1634" t="s">
        <v>3196</v>
      </c>
      <c r="I7" s="1634" t="s">
        <v>1325</v>
      </c>
      <c r="J7" s="1634">
        <v>415000</v>
      </c>
      <c r="K7" s="1634">
        <v>34757.120000000003</v>
      </c>
      <c r="L7" s="1634" t="s">
        <v>1325</v>
      </c>
      <c r="M7" s="1634" t="s">
        <v>3197</v>
      </c>
    </row>
    <row r="14" spans="1:13">
      <c r="C14" s="3018"/>
    </row>
    <row r="15" spans="1:13">
      <c r="C15" s="3018"/>
    </row>
  </sheetData>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42" sqref="E4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84510.23</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1371</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Ⅱ—10</v>
      </c>
      <c r="J2" s="2720"/>
      <c r="K2" s="1370"/>
      <c r="L2" s="2721" t="s">
        <v>2801</v>
      </c>
      <c r="M2" s="1082">
        <f>SUMPRODUCT((区片价!B10:B28=I2)*(区片价!C3:F3=E2)*(区片价!C10:F28))</f>
        <v>23430</v>
      </c>
      <c r="N2" s="1084">
        <f>SUMPRODUCT((因素修正幅度!B10:B28=I2)*(因素修正幅度!C3:F3=E2)*(因素修正幅度!C10:F28))</f>
        <v>9.9000000000000005E-2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f>面积!D6</f>
        <v>4137.24</v>
      </c>
      <c r="V2" s="1601">
        <f ca="1">ROUND(T2*U2/10000,0)</f>
        <v>0</v>
      </c>
      <c r="W2" s="1605"/>
      <c r="X2" s="1605"/>
      <c r="Y2" s="1605"/>
      <c r="Z2" s="1605"/>
      <c r="AA2" s="1605"/>
      <c r="AB2" s="1605"/>
      <c r="AC2" s="1606"/>
      <c r="AD2" s="1607"/>
      <c r="AE2" s="1607"/>
      <c r="AF2" s="1607"/>
      <c r="AG2" s="1607"/>
      <c r="AH2" s="1607"/>
      <c r="AI2" s="1607"/>
      <c r="AJ2" s="1608"/>
    </row>
    <row r="3" spans="1:36" ht="15.75">
      <c r="A3" s="247" t="s">
        <v>2802</v>
      </c>
      <c r="B3" s="248">
        <f ca="1">ROUND(B2*10000/D1,0)</f>
        <v>0</v>
      </c>
      <c r="C3" s="2716" t="s">
        <v>2803</v>
      </c>
      <c r="D3" s="2717" t="s">
        <v>2804</v>
      </c>
      <c r="E3" s="2722" t="s">
        <v>3139</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f>面积!D7</f>
        <v>6804.7</v>
      </c>
      <c r="V3" s="1601">
        <f t="shared" ref="V3:V16" ca="1" si="1">ROUND(T3*U3/10000,0)</f>
        <v>0</v>
      </c>
      <c r="W3" s="1605"/>
      <c r="X3" s="1605"/>
      <c r="Y3" s="1605"/>
      <c r="Z3" s="1605"/>
      <c r="AA3" s="1605"/>
      <c r="AB3" s="1605"/>
      <c r="AC3" s="1606"/>
      <c r="AD3" s="1607"/>
      <c r="AE3" s="1607"/>
      <c r="AF3" s="1607"/>
      <c r="AG3" s="1607"/>
      <c r="AH3" s="1607"/>
      <c r="AI3" s="1607"/>
      <c r="AJ3" s="1608"/>
    </row>
    <row r="4" spans="1:36" ht="15.75">
      <c r="A4" s="3376"/>
      <c r="B4" s="3377"/>
      <c r="C4" s="3377"/>
      <c r="D4" s="3378"/>
      <c r="E4" s="3378"/>
      <c r="F4" s="3378"/>
      <c r="G4" s="3378"/>
      <c r="H4" s="3378"/>
      <c r="I4" s="3378"/>
      <c r="J4" s="3379"/>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23399</v>
      </c>
      <c r="D5" s="1785">
        <f>ROUND(IF(E2="商业",IF(F16="增加",C6+C16,C6-C16)),0)</f>
        <v>23399</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23430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75" thickBot="1">
      <c r="A7" s="3380"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1814" t="s">
        <v>2819</v>
      </c>
      <c r="X7" s="1603" t="str">
        <f>G2</f>
        <v>二级</v>
      </c>
      <c r="Y7" s="1603" t="s">
        <v>2820</v>
      </c>
      <c r="Z7" s="1604">
        <f>G3</f>
        <v>6.81</v>
      </c>
      <c r="AA7" s="1605"/>
      <c r="AB7" s="1605"/>
      <c r="AC7" s="1606"/>
      <c r="AD7" s="1607"/>
      <c r="AE7" s="1607"/>
      <c r="AF7" s="1607"/>
      <c r="AG7" s="1607"/>
      <c r="AH7" s="1607"/>
      <c r="AI7" s="1607"/>
      <c r="AJ7" s="1608"/>
    </row>
    <row r="8" spans="1:36" ht="25.5" hidden="1">
      <c r="A8" s="3381"/>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73" t="s">
        <v>2824</v>
      </c>
      <c r="X8" s="3374"/>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81"/>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75"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81"/>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7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81"/>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75" t="s">
        <v>2848</v>
      </c>
      <c r="X11" s="1613" t="s">
        <v>2849</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80"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75"/>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82"/>
      <c r="B13" s="2759" t="s">
        <v>2855</v>
      </c>
      <c r="C13" s="2760" t="s">
        <v>2856</v>
      </c>
      <c r="D13" s="1806" t="s">
        <v>2857</v>
      </c>
      <c r="E13" s="1806"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75"/>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82"/>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83"/>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80" t="s">
        <v>2867</v>
      </c>
      <c r="B16" s="2740" t="s">
        <v>2868</v>
      </c>
      <c r="C16" s="1799">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81"/>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3141</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0.7994</v>
      </c>
      <c r="D20" s="2801" t="s">
        <v>2883</v>
      </c>
      <c r="E20" s="1766">
        <f ca="1">存贷款利率!D4/100</f>
        <v>4.3499999999999997E-2</v>
      </c>
      <c r="F20" s="2801" t="s">
        <v>2874</v>
      </c>
      <c r="G20" s="935">
        <f ca="1">SUMIF(M15:P15,E2,M17:P17)</f>
        <v>5.3999999999999999E-2</v>
      </c>
      <c r="H20" s="2801" t="s">
        <v>2884</v>
      </c>
      <c r="I20" s="936">
        <f>SUMIF('数据-取费表'!C6:C15,E2,'数据-取费表'!F6:F15)/COUNTIF('数据-取费表'!C6:C15,E2)</f>
        <v>23.01</v>
      </c>
      <c r="J20" s="937">
        <f>IF(E2="住宅",70,IF(E2="商业",40,50))</f>
        <v>40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938">
        <f>IF(B21="容积率修正",IF(G3&lt;=10,D22,J22),C23)</f>
        <v>0.88170000000000004</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1808" t="s">
        <v>2892</v>
      </c>
      <c r="D22" s="1808">
        <f>IF(E22=G22,F22,IF(G3&lt;=10,ROUND(F22+(H22-F22)*(G3-E22)/(G22-E22),4),"——"))</f>
        <v>0.88170000000000004</v>
      </c>
      <c r="E22" s="914">
        <f>ROUNDDOWN(G3,1)</f>
        <v>6.8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0.88190000000000002</v>
      </c>
      <c r="G22" s="914">
        <f>ROUNDUP(G3,1)</f>
        <v>6.8999999999999995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v>
      </c>
      <c r="I22" s="180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1.0538000000000001</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'数据-汇总表'!F21</f>
        <v>61608.09</v>
      </c>
      <c r="E29" s="943">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943">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90"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91"/>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91"/>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92"/>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f>'数据-汇总表'!G23</f>
        <v>6914.72</v>
      </c>
      <c r="E38" s="200">
        <f t="shared" ca="1" si="7"/>
        <v>0</v>
      </c>
      <c r="F38" s="206">
        <f>SUMIF(修正!A45:A56,G2,修正!G45:G56)</f>
        <v>0.3</v>
      </c>
      <c r="G38" s="200">
        <f ca="1">ROUND(IF(E2="工业",C38*$M$39,C38*$M$38),0)</f>
        <v>0</v>
      </c>
      <c r="H38" s="200">
        <f t="shared" si="8"/>
        <v>6914.72</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f>'数据-汇总表'!G22</f>
        <v>15987.419999999998</v>
      </c>
      <c r="E39" s="229">
        <f t="shared" ca="1" si="7"/>
        <v>0</v>
      </c>
      <c r="F39" s="933">
        <f>SUMIF(修正!A45:A56,G2,修正!H45:H56)</f>
        <v>0.25</v>
      </c>
      <c r="G39" s="229">
        <f ca="1">ROUND(IF(E2="工业",C39*$M$39,C39*$M$38),0)</f>
        <v>0</v>
      </c>
      <c r="H39" s="229">
        <f t="shared" si="8"/>
        <v>15987.419999999998</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E41" s="1370">
        <f ca="1">E29+E38+E39+'基准地价修正 (办公)'!E29</f>
        <v>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1.0538000000000001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1807" t="s">
        <v>2928</v>
      </c>
      <c r="C47" s="1807" t="s">
        <v>2929</v>
      </c>
      <c r="D47" s="1807" t="s">
        <v>2930</v>
      </c>
      <c r="E47" s="817" t="s">
        <v>2931</v>
      </c>
      <c r="F47" s="2874" t="s">
        <v>2932</v>
      </c>
      <c r="G47" s="1807" t="s">
        <v>754</v>
      </c>
      <c r="H47" s="2875" t="s">
        <v>2933</v>
      </c>
      <c r="I47" s="1807"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t="s">
        <v>3143</v>
      </c>
      <c r="D48" s="1287">
        <f t="shared" ref="D48:D56" si="10">SUMIF($J$47:$N$47,C48,J48:N48)</f>
        <v>1.6299999999999999E-2</v>
      </c>
      <c r="E48" s="819">
        <f>ROUND(SUM(D48:D56),4)</f>
        <v>5.3800000000000001E-2</v>
      </c>
      <c r="F48" s="2496">
        <f>IF(E2="商业",SUMIF(L1:L12,G2,N1:N12),"——")</f>
        <v>9.9000000000000005E-2</v>
      </c>
      <c r="G48" s="1285">
        <f>H48</f>
        <v>1.6299999999999999E-2</v>
      </c>
      <c r="H48" s="1289">
        <f t="shared" ref="H48:H56" si="11">IFERROR(ROUNDDOWN($F$48*I48/2,4),"——")</f>
        <v>1.6299999999999999E-2</v>
      </c>
      <c r="I48" s="818">
        <v>0.33</v>
      </c>
      <c r="J48" s="1286">
        <f t="shared" ref="J48:J56" si="12">K48+$G48</f>
        <v>3.2599999999999997E-2</v>
      </c>
      <c r="K48" s="1286">
        <f t="shared" ref="K48:K56" si="13">$L48+$G48</f>
        <v>1.6299999999999999E-2</v>
      </c>
      <c r="L48" s="1286">
        <v>0</v>
      </c>
      <c r="M48" s="1286">
        <f t="shared" ref="M48:N56" si="14">L48-$G48</f>
        <v>-1.6299999999999999E-2</v>
      </c>
      <c r="N48" s="1286">
        <f t="shared" si="14"/>
        <v>-3.2599999999999997E-2</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t="s">
        <v>3143</v>
      </c>
      <c r="D49" s="1287">
        <f t="shared" si="10"/>
        <v>1.23E-2</v>
      </c>
      <c r="E49" s="820"/>
      <c r="F49" s="2496"/>
      <c r="G49" s="1285">
        <f t="shared" ref="G49:G56" si="15">H49</f>
        <v>1.23E-2</v>
      </c>
      <c r="H49" s="1289">
        <f t="shared" si="11"/>
        <v>1.23E-2</v>
      </c>
      <c r="I49" s="818">
        <v>0.25</v>
      </c>
      <c r="J49" s="1286">
        <f t="shared" si="12"/>
        <v>2.46E-2</v>
      </c>
      <c r="K49" s="1286">
        <f t="shared" si="13"/>
        <v>1.23E-2</v>
      </c>
      <c r="L49" s="1286">
        <v>0</v>
      </c>
      <c r="M49" s="1286">
        <f t="shared" si="14"/>
        <v>-1.23E-2</v>
      </c>
      <c r="N49" s="1286">
        <f t="shared" si="14"/>
        <v>-2.46E-2</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t="s">
        <v>3143</v>
      </c>
      <c r="D50" s="1287">
        <f t="shared" si="10"/>
        <v>2.3999999999999998E-3</v>
      </c>
      <c r="E50" s="820"/>
      <c r="F50" s="2496"/>
      <c r="G50" s="1285">
        <f t="shared" si="15"/>
        <v>2.3999999999999998E-3</v>
      </c>
      <c r="H50" s="1289">
        <f t="shared" si="11"/>
        <v>2.3999999999999998E-3</v>
      </c>
      <c r="I50" s="818">
        <v>0.05</v>
      </c>
      <c r="J50" s="1286">
        <f t="shared" si="12"/>
        <v>4.7999999999999996E-3</v>
      </c>
      <c r="K50" s="1286">
        <f t="shared" si="13"/>
        <v>2.3999999999999998E-3</v>
      </c>
      <c r="L50" s="1286">
        <v>0</v>
      </c>
      <c r="M50" s="1286">
        <f t="shared" si="14"/>
        <v>-2.3999999999999998E-3</v>
      </c>
      <c r="N50" s="1286">
        <f t="shared" si="14"/>
        <v>-4.7999999999999996E-3</v>
      </c>
      <c r="AA50" s="1371"/>
      <c r="AB50" s="1371"/>
      <c r="AC50" s="1371"/>
      <c r="AD50" s="1371"/>
      <c r="AE50" s="1371"/>
      <c r="AF50" s="1371"/>
      <c r="AG50" s="1371"/>
      <c r="AH50" s="1371"/>
      <c r="AI50" s="1371"/>
      <c r="AJ50" s="1371"/>
      <c r="AK50" s="1371"/>
    </row>
    <row r="51" spans="1:37" s="1370" customFormat="1" ht="36.75">
      <c r="A51" s="2873" t="s">
        <v>2938</v>
      </c>
      <c r="B51" s="2878" t="s">
        <v>2939</v>
      </c>
      <c r="C51" s="2765" t="s">
        <v>3143</v>
      </c>
      <c r="D51" s="1287">
        <f t="shared" si="10"/>
        <v>2.3999999999999998E-3</v>
      </c>
      <c r="E51" s="820"/>
      <c r="F51" s="2496"/>
      <c r="G51" s="1285">
        <f t="shared" si="15"/>
        <v>2.3999999999999998E-3</v>
      </c>
      <c r="H51" s="1289">
        <f t="shared" si="11"/>
        <v>2.3999999999999998E-3</v>
      </c>
      <c r="I51" s="818">
        <v>0.05</v>
      </c>
      <c r="J51" s="1286">
        <f t="shared" si="12"/>
        <v>4.7999999999999996E-3</v>
      </c>
      <c r="K51" s="1286">
        <f t="shared" si="13"/>
        <v>2.3999999999999998E-3</v>
      </c>
      <c r="L51" s="1286">
        <v>0</v>
      </c>
      <c r="M51" s="1286">
        <f t="shared" si="14"/>
        <v>-2.3999999999999998E-3</v>
      </c>
      <c r="N51" s="1286">
        <f t="shared" si="14"/>
        <v>-4.7999999999999996E-3</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t="s">
        <v>3143</v>
      </c>
      <c r="D52" s="1287">
        <f t="shared" si="10"/>
        <v>3.8999999999999998E-3</v>
      </c>
      <c r="E52" s="820"/>
      <c r="F52" s="2496"/>
      <c r="G52" s="1285">
        <f t="shared" si="15"/>
        <v>3.8999999999999998E-3</v>
      </c>
      <c r="H52" s="1289">
        <f t="shared" si="11"/>
        <v>3.8999999999999998E-3</v>
      </c>
      <c r="I52" s="818">
        <v>0.08</v>
      </c>
      <c r="J52" s="1286">
        <f t="shared" si="12"/>
        <v>7.7999999999999996E-3</v>
      </c>
      <c r="K52" s="1286">
        <f t="shared" si="13"/>
        <v>3.8999999999999998E-3</v>
      </c>
      <c r="L52" s="1286">
        <v>0</v>
      </c>
      <c r="M52" s="1286">
        <f t="shared" si="14"/>
        <v>-3.8999999999999998E-3</v>
      </c>
      <c r="N52" s="1286">
        <f t="shared" si="14"/>
        <v>-7.7999999999999996E-3</v>
      </c>
      <c r="AA52" s="1371"/>
      <c r="AB52" s="1371"/>
      <c r="AC52" s="1371"/>
      <c r="AD52" s="1371"/>
      <c r="AE52" s="1371"/>
      <c r="AF52" s="1371"/>
      <c r="AG52" s="1371"/>
      <c r="AH52" s="1371"/>
      <c r="AI52" s="1371"/>
      <c r="AJ52" s="1371"/>
      <c r="AK52" s="1371"/>
    </row>
    <row r="53" spans="1:37" s="1370" customFormat="1" ht="24">
      <c r="A53" s="2873" t="s">
        <v>2941</v>
      </c>
      <c r="B53" s="2879" t="s">
        <v>2942</v>
      </c>
      <c r="C53" s="2765" t="s">
        <v>3143</v>
      </c>
      <c r="D53" s="1287">
        <f t="shared" si="10"/>
        <v>1.4E-3</v>
      </c>
      <c r="E53" s="820"/>
      <c r="F53" s="2496"/>
      <c r="G53" s="1285">
        <f t="shared" si="15"/>
        <v>1.4E-3</v>
      </c>
      <c r="H53" s="1289">
        <f t="shared" si="11"/>
        <v>1.4E-3</v>
      </c>
      <c r="I53" s="818">
        <v>0.03</v>
      </c>
      <c r="J53" s="1286">
        <f t="shared" si="12"/>
        <v>2.8E-3</v>
      </c>
      <c r="K53" s="1286">
        <f t="shared" si="13"/>
        <v>1.4E-3</v>
      </c>
      <c r="L53" s="1286">
        <v>0</v>
      </c>
      <c r="M53" s="1286">
        <f t="shared" si="14"/>
        <v>-1.4E-3</v>
      </c>
      <c r="N53" s="1286">
        <f t="shared" si="14"/>
        <v>-2.8E-3</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t="s">
        <v>3143</v>
      </c>
      <c r="D54" s="1287">
        <f t="shared" si="10"/>
        <v>2.3999999999999998E-3</v>
      </c>
      <c r="E54" s="820"/>
      <c r="F54" s="2496"/>
      <c r="G54" s="1285">
        <f t="shared" si="15"/>
        <v>2.3999999999999998E-3</v>
      </c>
      <c r="H54" s="1289">
        <f t="shared" si="11"/>
        <v>2.3999999999999998E-3</v>
      </c>
      <c r="I54" s="818">
        <v>0.05</v>
      </c>
      <c r="J54" s="1286">
        <f t="shared" si="12"/>
        <v>4.7999999999999996E-3</v>
      </c>
      <c r="K54" s="1286">
        <f t="shared" si="13"/>
        <v>2.3999999999999998E-3</v>
      </c>
      <c r="L54" s="1286">
        <v>0</v>
      </c>
      <c r="M54" s="1286">
        <f t="shared" si="14"/>
        <v>-2.3999999999999998E-3</v>
      </c>
      <c r="N54" s="1286">
        <f t="shared" si="14"/>
        <v>-4.7999999999999996E-3</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t="s">
        <v>3144</v>
      </c>
      <c r="D55" s="1287">
        <f t="shared" si="10"/>
        <v>9.7999999999999997E-3</v>
      </c>
      <c r="E55" s="820"/>
      <c r="F55" s="2496"/>
      <c r="G55" s="1285">
        <f t="shared" si="15"/>
        <v>4.8999999999999998E-3</v>
      </c>
      <c r="H55" s="1289">
        <f t="shared" si="11"/>
        <v>4.8999999999999998E-3</v>
      </c>
      <c r="I55" s="818">
        <v>0.1</v>
      </c>
      <c r="J55" s="1286">
        <f t="shared" si="12"/>
        <v>9.7999999999999997E-3</v>
      </c>
      <c r="K55" s="1286">
        <f t="shared" si="13"/>
        <v>4.8999999999999998E-3</v>
      </c>
      <c r="L55" s="1286">
        <v>0</v>
      </c>
      <c r="M55" s="1286">
        <f t="shared" si="14"/>
        <v>-4.8999999999999998E-3</v>
      </c>
      <c r="N55" s="1286">
        <f t="shared" si="14"/>
        <v>-9.7999999999999997E-3</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t="s">
        <v>3143</v>
      </c>
      <c r="D56" s="1287">
        <f t="shared" si="10"/>
        <v>2.8999999999999998E-3</v>
      </c>
      <c r="E56" s="823"/>
      <c r="F56" s="2496"/>
      <c r="G56" s="1285">
        <f t="shared" si="15"/>
        <v>2.8999999999999998E-3</v>
      </c>
      <c r="H56" s="1289">
        <f t="shared" si="11"/>
        <v>2.8999999999999998E-3</v>
      </c>
      <c r="I56" s="822">
        <v>0.06</v>
      </c>
      <c r="J56" s="1286">
        <f t="shared" si="12"/>
        <v>5.7999999999999996E-3</v>
      </c>
      <c r="K56" s="1286">
        <f t="shared" si="13"/>
        <v>2.8999999999999998E-3</v>
      </c>
      <c r="L56" s="1286">
        <v>0</v>
      </c>
      <c r="M56" s="1286">
        <f t="shared" si="14"/>
        <v>-2.8999999999999998E-3</v>
      </c>
      <c r="N56" s="1286">
        <f t="shared" si="14"/>
        <v>-5.7999999999999996E-3</v>
      </c>
      <c r="AA56" s="1371"/>
      <c r="AB56" s="1371"/>
      <c r="AC56" s="1371"/>
      <c r="AD56" s="1371"/>
      <c r="AE56" s="1371"/>
      <c r="AF56" s="1371"/>
      <c r="AG56" s="1371"/>
      <c r="AH56" s="1371"/>
      <c r="AI56" s="1371"/>
      <c r="AJ56" s="1371"/>
      <c r="AK56" s="1371"/>
    </row>
    <row r="57" spans="1:37" s="1370" customFormat="1" ht="15">
      <c r="A57" s="2869" t="s">
        <v>2946</v>
      </c>
      <c r="B57" s="2870">
        <f>1+E59</f>
        <v>1</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1807"/>
      <c r="C58" s="1807" t="s">
        <v>2929</v>
      </c>
      <c r="D58" s="1807" t="s">
        <v>2930</v>
      </c>
      <c r="E58" s="817" t="s">
        <v>2931</v>
      </c>
      <c r="F58" s="2874" t="s">
        <v>2947</v>
      </c>
      <c r="G58" s="1807" t="s">
        <v>754</v>
      </c>
      <c r="H58" s="2875" t="s">
        <v>2933</v>
      </c>
      <c r="I58" s="1807"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c r="D59" s="1287">
        <f t="shared" ref="D59:D67" si="16">SUMIF($J$58:$N$58,C59,J59:N59)</f>
        <v>0</v>
      </c>
      <c r="E59" s="819">
        <f>ROUND(SUM(D59:D67),4)</f>
        <v>0</v>
      </c>
      <c r="F59" s="2496" t="str">
        <f>IF(E2="办公",SUMIF(L1:L12,G2,N1:N12),"——")</f>
        <v>——</v>
      </c>
      <c r="G59" s="1285"/>
      <c r="H59" s="1289" t="str">
        <f t="shared" ref="H59:H67" si="17">IFERROR(ROUNDDOWN($F$59*I59/2,4),"——")</f>
        <v>——</v>
      </c>
      <c r="I59" s="818">
        <v>0.24</v>
      </c>
      <c r="J59" s="1286">
        <f t="shared" ref="J59:J67" si="18">K59+$G59</f>
        <v>0</v>
      </c>
      <c r="K59" s="1286">
        <f t="shared" ref="K59:K67" si="19">$L59+$G59</f>
        <v>0</v>
      </c>
      <c r="L59" s="1286">
        <v>0</v>
      </c>
      <c r="M59" s="1286">
        <f t="shared" ref="M59:N67" si="20">L59-$G59</f>
        <v>0</v>
      </c>
      <c r="N59" s="1286">
        <f t="shared" si="20"/>
        <v>0</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c r="D60" s="1287">
        <f t="shared" si="16"/>
        <v>0</v>
      </c>
      <c r="E60" s="820"/>
      <c r="F60" s="2496"/>
      <c r="G60" s="1285"/>
      <c r="H60" s="1289" t="str">
        <f t="shared" si="17"/>
        <v>——</v>
      </c>
      <c r="I60" s="818">
        <v>0.3</v>
      </c>
      <c r="J60" s="1286">
        <f t="shared" si="18"/>
        <v>0</v>
      </c>
      <c r="K60" s="1286">
        <f t="shared" si="19"/>
        <v>0</v>
      </c>
      <c r="L60" s="1286">
        <v>0</v>
      </c>
      <c r="M60" s="1286">
        <f t="shared" si="20"/>
        <v>0</v>
      </c>
      <c r="N60" s="1286">
        <f t="shared" si="20"/>
        <v>0</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c r="D61" s="1287">
        <f t="shared" si="16"/>
        <v>0</v>
      </c>
      <c r="E61" s="820"/>
      <c r="F61" s="2496"/>
      <c r="G61" s="1285"/>
      <c r="H61" s="1289" t="str">
        <f t="shared" si="17"/>
        <v>——</v>
      </c>
      <c r="I61" s="818">
        <v>0.08</v>
      </c>
      <c r="J61" s="1286">
        <f t="shared" si="18"/>
        <v>0</v>
      </c>
      <c r="K61" s="1286">
        <f t="shared" si="19"/>
        <v>0</v>
      </c>
      <c r="L61" s="1286">
        <v>0</v>
      </c>
      <c r="M61" s="1286">
        <f t="shared" si="20"/>
        <v>0</v>
      </c>
      <c r="N61" s="1286">
        <f t="shared" si="20"/>
        <v>0</v>
      </c>
      <c r="AA61" s="1371"/>
      <c r="AB61" s="1371"/>
      <c r="AC61" s="1371"/>
      <c r="AD61" s="1371"/>
      <c r="AE61" s="1371"/>
      <c r="AF61" s="1371"/>
      <c r="AG61" s="1371"/>
      <c r="AH61" s="1371"/>
      <c r="AI61" s="1371"/>
      <c r="AJ61" s="1371"/>
      <c r="AK61" s="1371"/>
    </row>
    <row r="62" spans="1:37" s="1370" customFormat="1" ht="36.75">
      <c r="A62" s="2873" t="s">
        <v>2938</v>
      </c>
      <c r="B62" s="2878" t="s">
        <v>2939</v>
      </c>
      <c r="C62" s="2765"/>
      <c r="D62" s="1287">
        <f t="shared" si="16"/>
        <v>0</v>
      </c>
      <c r="E62" s="820"/>
      <c r="F62" s="2496"/>
      <c r="G62" s="1285"/>
      <c r="H62" s="1289" t="str">
        <f t="shared" si="17"/>
        <v>——</v>
      </c>
      <c r="I62" s="818">
        <v>0.04</v>
      </c>
      <c r="J62" s="1286">
        <f t="shared" si="18"/>
        <v>0</v>
      </c>
      <c r="K62" s="1286">
        <f t="shared" si="19"/>
        <v>0</v>
      </c>
      <c r="L62" s="1286">
        <v>0</v>
      </c>
      <c r="M62" s="1286">
        <f t="shared" si="20"/>
        <v>0</v>
      </c>
      <c r="N62" s="1286">
        <f t="shared" si="20"/>
        <v>0</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c r="D63" s="1287">
        <f t="shared" si="16"/>
        <v>0</v>
      </c>
      <c r="E63" s="820"/>
      <c r="F63" s="2496"/>
      <c r="G63" s="1285"/>
      <c r="H63" s="1289" t="str">
        <f t="shared" si="17"/>
        <v>——</v>
      </c>
      <c r="I63" s="818">
        <v>0.05</v>
      </c>
      <c r="J63" s="1286">
        <f t="shared" si="18"/>
        <v>0</v>
      </c>
      <c r="K63" s="1286">
        <f t="shared" si="19"/>
        <v>0</v>
      </c>
      <c r="L63" s="1286">
        <v>0</v>
      </c>
      <c r="M63" s="1286">
        <f t="shared" si="20"/>
        <v>0</v>
      </c>
      <c r="N63" s="1286">
        <f t="shared" si="20"/>
        <v>0</v>
      </c>
      <c r="AA63" s="1371"/>
      <c r="AB63" s="1371"/>
      <c r="AC63" s="1371"/>
      <c r="AD63" s="1371"/>
      <c r="AE63" s="1371"/>
      <c r="AF63" s="1371"/>
      <c r="AG63" s="1371"/>
      <c r="AH63" s="1371"/>
      <c r="AI63" s="1371"/>
      <c r="AJ63" s="1371"/>
      <c r="AK63" s="1371"/>
    </row>
    <row r="64" spans="1:37" s="1370" customFormat="1" ht="24">
      <c r="A64" s="2873" t="s">
        <v>2941</v>
      </c>
      <c r="B64" s="2879" t="s">
        <v>2942</v>
      </c>
      <c r="C64" s="2765"/>
      <c r="D64" s="1287">
        <f t="shared" si="16"/>
        <v>0</v>
      </c>
      <c r="E64" s="820"/>
      <c r="F64" s="2496"/>
      <c r="G64" s="1285"/>
      <c r="H64" s="1289" t="str">
        <f t="shared" si="17"/>
        <v>——</v>
      </c>
      <c r="I64" s="818">
        <v>0.05</v>
      </c>
      <c r="J64" s="1286">
        <f t="shared" si="18"/>
        <v>0</v>
      </c>
      <c r="K64" s="1286">
        <f t="shared" si="19"/>
        <v>0</v>
      </c>
      <c r="L64" s="1286">
        <v>0</v>
      </c>
      <c r="M64" s="1286">
        <f t="shared" si="20"/>
        <v>0</v>
      </c>
      <c r="N64" s="1286">
        <f t="shared" si="20"/>
        <v>0</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c r="D65" s="1287">
        <f t="shared" si="16"/>
        <v>0</v>
      </c>
      <c r="E65" s="820"/>
      <c r="F65" s="2496"/>
      <c r="G65" s="1285"/>
      <c r="H65" s="1289" t="str">
        <f t="shared" si="17"/>
        <v>——</v>
      </c>
      <c r="I65" s="818">
        <v>0.06</v>
      </c>
      <c r="J65" s="1286">
        <f t="shared" si="18"/>
        <v>0</v>
      </c>
      <c r="K65" s="1286">
        <f t="shared" si="19"/>
        <v>0</v>
      </c>
      <c r="L65" s="1286">
        <v>0</v>
      </c>
      <c r="M65" s="1286">
        <f t="shared" si="20"/>
        <v>0</v>
      </c>
      <c r="N65" s="1286">
        <f t="shared" si="20"/>
        <v>0</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c r="D66" s="1287">
        <f t="shared" si="16"/>
        <v>0</v>
      </c>
      <c r="E66" s="820"/>
      <c r="F66" s="2496"/>
      <c r="G66" s="1285"/>
      <c r="H66" s="1289" t="str">
        <f t="shared" si="17"/>
        <v>——</v>
      </c>
      <c r="I66" s="818">
        <v>0.12</v>
      </c>
      <c r="J66" s="1286">
        <f t="shared" si="18"/>
        <v>0</v>
      </c>
      <c r="K66" s="1286">
        <f t="shared" si="19"/>
        <v>0</v>
      </c>
      <c r="L66" s="1286">
        <v>0</v>
      </c>
      <c r="M66" s="1286">
        <f t="shared" si="20"/>
        <v>0</v>
      </c>
      <c r="N66" s="1286">
        <f t="shared" si="20"/>
        <v>0</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c r="D67" s="1287">
        <f t="shared" si="16"/>
        <v>0</v>
      </c>
      <c r="E67" s="823"/>
      <c r="F67" s="2496"/>
      <c r="G67" s="1285"/>
      <c r="H67" s="1289" t="str">
        <f t="shared" si="17"/>
        <v>——</v>
      </c>
      <c r="I67" s="822">
        <v>0.06</v>
      </c>
      <c r="J67" s="1286">
        <f t="shared" si="18"/>
        <v>0</v>
      </c>
      <c r="K67" s="1286">
        <f t="shared" si="19"/>
        <v>0</v>
      </c>
      <c r="L67" s="1286">
        <v>0</v>
      </c>
      <c r="M67" s="1286">
        <f t="shared" si="20"/>
        <v>0</v>
      </c>
      <c r="N67" s="1286">
        <f t="shared" si="20"/>
        <v>0</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1807"/>
      <c r="C69" s="1807" t="s">
        <v>2929</v>
      </c>
      <c r="D69" s="1807" t="s">
        <v>2930</v>
      </c>
      <c r="E69" s="817" t="s">
        <v>2931</v>
      </c>
      <c r="F69" s="2874" t="s">
        <v>2947</v>
      </c>
      <c r="G69" s="1807" t="s">
        <v>754</v>
      </c>
      <c r="H69" s="2875" t="s">
        <v>2933</v>
      </c>
      <c r="I69" s="1807"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1807"/>
      <c r="C80" s="1807" t="s">
        <v>2929</v>
      </c>
      <c r="D80" s="1807" t="s">
        <v>2930</v>
      </c>
      <c r="E80" s="817" t="s">
        <v>2931</v>
      </c>
      <c r="F80" s="2874" t="s">
        <v>2947</v>
      </c>
      <c r="G80" s="1807" t="s">
        <v>754</v>
      </c>
      <c r="H80" s="2875" t="s">
        <v>2933</v>
      </c>
      <c r="I80" s="1807"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84" t="s">
        <v>2957</v>
      </c>
      <c r="B90" s="3384"/>
      <c r="C90" s="3384"/>
      <c r="D90" s="3384"/>
      <c r="E90" s="3384"/>
      <c r="F90" s="3384"/>
      <c r="G90" s="3384"/>
      <c r="H90" s="3384"/>
      <c r="I90" s="3384"/>
      <c r="J90" s="3384"/>
      <c r="K90" s="2887"/>
      <c r="L90" s="2887"/>
      <c r="M90" s="2887"/>
      <c r="N90" s="2887"/>
    </row>
    <row r="91" spans="1:37">
      <c r="A91" s="3386" t="s">
        <v>2958</v>
      </c>
      <c r="B91" s="3386" t="s">
        <v>2959</v>
      </c>
      <c r="C91" s="2841" t="s">
        <v>2960</v>
      </c>
      <c r="D91" s="2842"/>
      <c r="E91" s="2842"/>
      <c r="F91" s="2842"/>
      <c r="G91" s="2842"/>
      <c r="H91" s="2842"/>
      <c r="I91" s="2842"/>
      <c r="J91" s="2888"/>
      <c r="K91" s="2889"/>
      <c r="L91" s="2889"/>
      <c r="M91" s="2889"/>
      <c r="N91" s="2889"/>
    </row>
    <row r="92" spans="1:37">
      <c r="A92" s="3386"/>
      <c r="B92" s="3386"/>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387"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8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8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8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8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8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88"/>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8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87"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88"/>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88"/>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88"/>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88"/>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88"/>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88"/>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88"/>
      <c r="B108" s="3254" t="s">
        <v>2964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89"/>
      <c r="B109" s="3255"/>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85" t="s">
        <v>2965</v>
      </c>
      <c r="B110" s="3385"/>
      <c r="C110" s="3385"/>
      <c r="D110" s="3385"/>
      <c r="E110" s="3385"/>
      <c r="F110" s="3385"/>
      <c r="G110" s="3385"/>
      <c r="H110" s="3385"/>
      <c r="I110" s="3385"/>
      <c r="J110" s="3385"/>
      <c r="K110" s="2896"/>
      <c r="L110" s="2896"/>
      <c r="M110" s="2896"/>
      <c r="N110" s="2896"/>
    </row>
    <row r="112" spans="1:14" ht="13.5" thickBot="1"/>
    <row r="113" spans="1:13" ht="25.5" thickBot="1">
      <c r="A113" s="901" t="s">
        <v>2966</v>
      </c>
      <c r="B113" s="1288">
        <f>G3</f>
        <v>6.81</v>
      </c>
      <c r="C113" s="902" t="s">
        <v>2967</v>
      </c>
      <c r="D113" s="903">
        <f>SUMPRODUCT((A115:A118=F113)*(B114:M114=H113)*B115:M118)</f>
        <v>0.86950000000000005</v>
      </c>
      <c r="E113" s="2719" t="s">
        <v>2798</v>
      </c>
      <c r="F113" s="2898" t="str">
        <f>E2</f>
        <v>商业</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3358.16</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27</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Ⅱ—13</v>
      </c>
      <c r="J2" s="2720"/>
      <c r="K2" s="1370"/>
      <c r="L2" s="2721" t="s">
        <v>2801</v>
      </c>
      <c r="M2" s="1082">
        <f>SUMPRODUCT((区片价!B10:B28=I2)*(区片价!C3:F3=E2)*(区片价!C10:F28))</f>
        <v>22980</v>
      </c>
      <c r="N2" s="1084">
        <f>SUMPRODUCT((因素修正幅度!B10:B28=I2)*(因素修正幅度!C3:F3=E2)*(因素修正幅度!C10:F28))</f>
        <v>9.8000000000000004E-2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25.5">
      <c r="A3" s="247" t="s">
        <v>2802</v>
      </c>
      <c r="B3" s="248">
        <f ca="1">ROUND(B2*10000/D1,0)</f>
        <v>0</v>
      </c>
      <c r="C3" s="2716" t="s">
        <v>2803</v>
      </c>
      <c r="D3" s="2717" t="s">
        <v>2804</v>
      </c>
      <c r="E3" s="2722" t="s">
        <v>3145</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76"/>
      <c r="B4" s="3377"/>
      <c r="C4" s="3377"/>
      <c r="D4" s="3378"/>
      <c r="E4" s="3378"/>
      <c r="F4" s="3378"/>
      <c r="G4" s="3378"/>
      <c r="H4" s="3378"/>
      <c r="I4" s="3378"/>
      <c r="J4" s="3379"/>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22949</v>
      </c>
      <c r="D5" s="1785">
        <f>ROUND(IF(E2="商业",IF(F16="增加",C6+C16,C6-C16)),0)</f>
        <v>0</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22980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 hidden="1">
      <c r="A7" s="3380"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2963" t="s">
        <v>2819</v>
      </c>
      <c r="X7" s="1603" t="str">
        <f>G2</f>
        <v>二级</v>
      </c>
      <c r="Y7" s="1603" t="s">
        <v>2820</v>
      </c>
      <c r="Z7" s="1604">
        <f>G3</f>
        <v>6.81</v>
      </c>
      <c r="AA7" s="1605"/>
      <c r="AB7" s="1605"/>
      <c r="AC7" s="1606"/>
      <c r="AD7" s="1607"/>
      <c r="AE7" s="1607"/>
      <c r="AF7" s="1607"/>
      <c r="AG7" s="1607"/>
      <c r="AH7" s="1607"/>
      <c r="AI7" s="1607"/>
      <c r="AJ7" s="1608"/>
    </row>
    <row r="8" spans="1:36" ht="25.5" hidden="1">
      <c r="A8" s="3381"/>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73" t="s">
        <v>2824</v>
      </c>
      <c r="X8" s="3374"/>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81"/>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75"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81"/>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7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81"/>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75" t="s">
        <v>2848</v>
      </c>
      <c r="X11" s="1613" t="s">
        <v>2820</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80"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75"/>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82"/>
      <c r="B13" s="2759" t="s">
        <v>2855</v>
      </c>
      <c r="C13" s="2760" t="s">
        <v>2856</v>
      </c>
      <c r="D13" s="2948" t="s">
        <v>2857</v>
      </c>
      <c r="E13" s="2948"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75"/>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82"/>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83"/>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80" t="s">
        <v>2867</v>
      </c>
      <c r="B16" s="2740" t="s">
        <v>2868</v>
      </c>
      <c r="C16" s="2952">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81"/>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2879</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0.88229999999999997</v>
      </c>
      <c r="D20" s="2801" t="s">
        <v>2883</v>
      </c>
      <c r="E20" s="1766">
        <f ca="1">存贷款利率!D4/100</f>
        <v>4.3499999999999997E-2</v>
      </c>
      <c r="F20" s="2801" t="s">
        <v>2874</v>
      </c>
      <c r="G20" s="935">
        <f ca="1">SUMIF(M15:P15,E2,M17:P17)</f>
        <v>5.1999999999999998E-2</v>
      </c>
      <c r="H20" s="2801" t="s">
        <v>2884</v>
      </c>
      <c r="I20" s="936">
        <f>SUMIF('数据-取费表'!C6:C15,E2,'数据-取费表'!F6:F15)/COUNTIF('数据-取费表'!C6:C15,E2)</f>
        <v>33.01</v>
      </c>
      <c r="J20" s="937">
        <f>IF(E2="住宅",70,IF(E2="商业",40,50))</f>
        <v>50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2959">
        <f>IF(B21="容积率修正",IF(G3&lt;=10,D22,J22),C23)</f>
        <v>0.87429999999999997</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2958" t="s">
        <v>2892</v>
      </c>
      <c r="D22" s="2958">
        <f>IF(E22=G22,F22,IF(G3&lt;=10,ROUND(F22+(H22-F22)*(G3-E22)/(G22-E22),4),"——"))</f>
        <v>0.87429999999999997</v>
      </c>
      <c r="E22" s="914">
        <f>ROUNDDOWN(G3,1)</f>
        <v>6.8</v>
      </c>
      <c r="F22" s="29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0.87450000000000006</v>
      </c>
      <c r="G22" s="914">
        <f>ROUNDUP(G3,1)</f>
        <v>6.8999999999999995</v>
      </c>
      <c r="H22" s="2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0.87280000000000002</v>
      </c>
      <c r="I22" s="295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1.0544</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'数据-汇总表'!F20</f>
        <v>3358.16</v>
      </c>
      <c r="E29" s="2962">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2962">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90"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91"/>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91"/>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92"/>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c r="E38" s="200">
        <f t="shared" ca="1" si="7"/>
        <v>0</v>
      </c>
      <c r="F38" s="206">
        <f>SUMIF(修正!A45:A56,G2,修正!G45:G56)</f>
        <v>0.3</v>
      </c>
      <c r="G38" s="200">
        <f ca="1">ROUND(IF(E2="工业",C38*$M$39,C38*$M$38),0)</f>
        <v>0</v>
      </c>
      <c r="H38" s="200">
        <f t="shared" si="8"/>
        <v>0</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c r="E39" s="229">
        <f t="shared" ca="1" si="7"/>
        <v>0</v>
      </c>
      <c r="F39" s="933">
        <f>SUMIF(修正!A45:A56,G2,修正!H45:H56)</f>
        <v>0.25</v>
      </c>
      <c r="G39" s="229">
        <f ca="1">ROUND(IF(E2="工业",C39*$M$39,C39*$M$38),0)</f>
        <v>0</v>
      </c>
      <c r="H39" s="229">
        <f t="shared" si="8"/>
        <v>0</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2946" t="s">
        <v>2928</v>
      </c>
      <c r="C47" s="2946" t="s">
        <v>2929</v>
      </c>
      <c r="D47" s="2946" t="s">
        <v>2930</v>
      </c>
      <c r="E47" s="817" t="s">
        <v>2931</v>
      </c>
      <c r="F47" s="2874" t="s">
        <v>2932</v>
      </c>
      <c r="G47" s="2946" t="s">
        <v>754</v>
      </c>
      <c r="H47" s="2875" t="s">
        <v>2933</v>
      </c>
      <c r="I47" s="2946"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c r="D48" s="1287">
        <f t="shared" ref="D48:D56" si="10">SUMIF($J$47:$N$47,C48,J48:N48)</f>
        <v>0</v>
      </c>
      <c r="E48" s="819">
        <f>ROUND(SUM(D48:D56),4)</f>
        <v>0</v>
      </c>
      <c r="F48" s="2496"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c r="D49" s="1287">
        <f t="shared" si="10"/>
        <v>0</v>
      </c>
      <c r="E49" s="820"/>
      <c r="F49" s="2496"/>
      <c r="G49" s="1285"/>
      <c r="H49" s="1289" t="str">
        <f t="shared" si="11"/>
        <v>——</v>
      </c>
      <c r="I49" s="818">
        <v>0.25</v>
      </c>
      <c r="J49" s="1286">
        <f t="shared" si="12"/>
        <v>0</v>
      </c>
      <c r="K49" s="1286">
        <f t="shared" si="13"/>
        <v>0</v>
      </c>
      <c r="L49" s="1286">
        <v>0</v>
      </c>
      <c r="M49" s="1286">
        <f t="shared" si="14"/>
        <v>0</v>
      </c>
      <c r="N49" s="1286">
        <f t="shared" si="14"/>
        <v>0</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c r="D50" s="1287">
        <f t="shared" si="10"/>
        <v>0</v>
      </c>
      <c r="E50" s="820"/>
      <c r="F50" s="2496"/>
      <c r="G50" s="1285"/>
      <c r="H50" s="1289" t="str">
        <f t="shared" si="11"/>
        <v>——</v>
      </c>
      <c r="I50" s="818">
        <v>0.05</v>
      </c>
      <c r="J50" s="1286">
        <f t="shared" si="12"/>
        <v>0</v>
      </c>
      <c r="K50" s="1286">
        <f t="shared" si="13"/>
        <v>0</v>
      </c>
      <c r="L50" s="1286">
        <v>0</v>
      </c>
      <c r="M50" s="1286">
        <f t="shared" si="14"/>
        <v>0</v>
      </c>
      <c r="N50" s="1286">
        <f t="shared" si="14"/>
        <v>0</v>
      </c>
      <c r="AA50" s="1371"/>
      <c r="AB50" s="1371"/>
      <c r="AC50" s="1371"/>
      <c r="AD50" s="1371"/>
      <c r="AE50" s="1371"/>
      <c r="AF50" s="1371"/>
      <c r="AG50" s="1371"/>
      <c r="AH50" s="1371"/>
      <c r="AI50" s="1371"/>
      <c r="AJ50" s="1371"/>
      <c r="AK50" s="1371"/>
    </row>
    <row r="51" spans="1:37" s="1370" customFormat="1" ht="36.75">
      <c r="A51" s="2873" t="s">
        <v>2938</v>
      </c>
      <c r="B51" s="2878" t="s">
        <v>2939</v>
      </c>
      <c r="C51" s="2765"/>
      <c r="D51" s="1287">
        <f t="shared" si="10"/>
        <v>0</v>
      </c>
      <c r="E51" s="820"/>
      <c r="F51" s="2496"/>
      <c r="G51" s="1285"/>
      <c r="H51" s="1289" t="str">
        <f t="shared" si="11"/>
        <v>——</v>
      </c>
      <c r="I51" s="818">
        <v>0.05</v>
      </c>
      <c r="J51" s="1286">
        <f t="shared" si="12"/>
        <v>0</v>
      </c>
      <c r="K51" s="1286">
        <f t="shared" si="13"/>
        <v>0</v>
      </c>
      <c r="L51" s="1286">
        <v>0</v>
      </c>
      <c r="M51" s="1286">
        <f t="shared" si="14"/>
        <v>0</v>
      </c>
      <c r="N51" s="1286">
        <f t="shared" si="14"/>
        <v>0</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c r="D52" s="1287">
        <f t="shared" si="10"/>
        <v>0</v>
      </c>
      <c r="E52" s="820"/>
      <c r="F52" s="2496"/>
      <c r="G52" s="1285"/>
      <c r="H52" s="1289" t="str">
        <f t="shared" si="11"/>
        <v>——</v>
      </c>
      <c r="I52" s="818">
        <v>0.08</v>
      </c>
      <c r="J52" s="1286">
        <f t="shared" si="12"/>
        <v>0</v>
      </c>
      <c r="K52" s="1286">
        <f t="shared" si="13"/>
        <v>0</v>
      </c>
      <c r="L52" s="1286">
        <v>0</v>
      </c>
      <c r="M52" s="1286">
        <f t="shared" si="14"/>
        <v>0</v>
      </c>
      <c r="N52" s="1286">
        <f t="shared" si="14"/>
        <v>0</v>
      </c>
      <c r="AA52" s="1371"/>
      <c r="AB52" s="1371"/>
      <c r="AC52" s="1371"/>
      <c r="AD52" s="1371"/>
      <c r="AE52" s="1371"/>
      <c r="AF52" s="1371"/>
      <c r="AG52" s="1371"/>
      <c r="AH52" s="1371"/>
      <c r="AI52" s="1371"/>
      <c r="AJ52" s="1371"/>
      <c r="AK52" s="1371"/>
    </row>
    <row r="53" spans="1:37" s="1370" customFormat="1" ht="24">
      <c r="A53" s="2873" t="s">
        <v>2941</v>
      </c>
      <c r="B53" s="2879" t="s">
        <v>2942</v>
      </c>
      <c r="C53" s="2765"/>
      <c r="D53" s="1287">
        <f t="shared" si="10"/>
        <v>0</v>
      </c>
      <c r="E53" s="820"/>
      <c r="F53" s="2496"/>
      <c r="G53" s="1285"/>
      <c r="H53" s="1289" t="str">
        <f t="shared" si="11"/>
        <v>——</v>
      </c>
      <c r="I53" s="818">
        <v>0.03</v>
      </c>
      <c r="J53" s="1286">
        <f t="shared" si="12"/>
        <v>0</v>
      </c>
      <c r="K53" s="1286">
        <f t="shared" si="13"/>
        <v>0</v>
      </c>
      <c r="L53" s="1286">
        <v>0</v>
      </c>
      <c r="M53" s="1286">
        <f t="shared" si="14"/>
        <v>0</v>
      </c>
      <c r="N53" s="1286">
        <f t="shared" si="14"/>
        <v>0</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c r="D54" s="1287">
        <f t="shared" si="10"/>
        <v>0</v>
      </c>
      <c r="E54" s="820"/>
      <c r="F54" s="2496"/>
      <c r="G54" s="1285"/>
      <c r="H54" s="1289" t="str">
        <f t="shared" si="11"/>
        <v>——</v>
      </c>
      <c r="I54" s="818">
        <v>0.05</v>
      </c>
      <c r="J54" s="1286">
        <f t="shared" si="12"/>
        <v>0</v>
      </c>
      <c r="K54" s="1286">
        <f t="shared" si="13"/>
        <v>0</v>
      </c>
      <c r="L54" s="1286">
        <v>0</v>
      </c>
      <c r="M54" s="1286">
        <f t="shared" si="14"/>
        <v>0</v>
      </c>
      <c r="N54" s="1286">
        <f t="shared" si="14"/>
        <v>0</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c r="D55" s="1287">
        <f t="shared" si="10"/>
        <v>0</v>
      </c>
      <c r="E55" s="820"/>
      <c r="F55" s="2496"/>
      <c r="G55" s="1285"/>
      <c r="H55" s="1289" t="str">
        <f t="shared" si="11"/>
        <v>——</v>
      </c>
      <c r="I55" s="818">
        <v>0.1</v>
      </c>
      <c r="J55" s="1286">
        <f t="shared" si="12"/>
        <v>0</v>
      </c>
      <c r="K55" s="1286">
        <f t="shared" si="13"/>
        <v>0</v>
      </c>
      <c r="L55" s="1286">
        <v>0</v>
      </c>
      <c r="M55" s="1286">
        <f t="shared" si="14"/>
        <v>0</v>
      </c>
      <c r="N55" s="1286">
        <f t="shared" si="14"/>
        <v>0</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c r="D56" s="1287">
        <f t="shared" si="10"/>
        <v>0</v>
      </c>
      <c r="E56" s="823"/>
      <c r="F56" s="2496"/>
      <c r="G56" s="1285"/>
      <c r="H56" s="1289" t="str">
        <f t="shared" si="11"/>
        <v>——</v>
      </c>
      <c r="I56" s="822">
        <v>0.06</v>
      </c>
      <c r="J56" s="1286">
        <f t="shared" si="12"/>
        <v>0</v>
      </c>
      <c r="K56" s="1286">
        <f t="shared" si="13"/>
        <v>0</v>
      </c>
      <c r="L56" s="1286">
        <v>0</v>
      </c>
      <c r="M56" s="1286">
        <f t="shared" si="14"/>
        <v>0</v>
      </c>
      <c r="N56" s="1286">
        <f t="shared" si="14"/>
        <v>0</v>
      </c>
      <c r="AA56" s="1371"/>
      <c r="AB56" s="1371"/>
      <c r="AC56" s="1371"/>
      <c r="AD56" s="1371"/>
      <c r="AE56" s="1371"/>
      <c r="AF56" s="1371"/>
      <c r="AG56" s="1371"/>
      <c r="AH56" s="1371"/>
      <c r="AI56" s="1371"/>
      <c r="AJ56" s="1371"/>
      <c r="AK56" s="1371"/>
    </row>
    <row r="57" spans="1:37" s="1370" customFormat="1" ht="15">
      <c r="A57" s="2869" t="s">
        <v>2946</v>
      </c>
      <c r="B57" s="2870">
        <f>1+E59</f>
        <v>1.0544</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2946"/>
      <c r="C58" s="2946" t="s">
        <v>2929</v>
      </c>
      <c r="D58" s="2946" t="s">
        <v>2930</v>
      </c>
      <c r="E58" s="817" t="s">
        <v>2931</v>
      </c>
      <c r="F58" s="2874" t="s">
        <v>2947</v>
      </c>
      <c r="G58" s="2946" t="s">
        <v>754</v>
      </c>
      <c r="H58" s="2875" t="s">
        <v>2933</v>
      </c>
      <c r="I58" s="2946"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t="s">
        <v>3143</v>
      </c>
      <c r="D59" s="1287">
        <f t="shared" ref="D59:D67" si="15">SUMIF($J$58:$N$58,C59,J59:N59)</f>
        <v>1.17E-2</v>
      </c>
      <c r="E59" s="819">
        <f>ROUND(SUM(D59:D67),4)</f>
        <v>5.4399999999999997E-2</v>
      </c>
      <c r="F59" s="2496">
        <f>IF(E2="办公",SUMIF(L1:L12,G2,N1:N12),"——")</f>
        <v>9.8000000000000004E-2</v>
      </c>
      <c r="G59" s="1285">
        <f>H59</f>
        <v>1.17E-2</v>
      </c>
      <c r="H59" s="1289">
        <f t="shared" ref="H59:H67" si="16">IFERROR(ROUNDDOWN($F$59*I59/2,4),"——")</f>
        <v>1.17E-2</v>
      </c>
      <c r="I59" s="818">
        <v>0.24</v>
      </c>
      <c r="J59" s="1286">
        <f t="shared" ref="J59:J67" si="17">K59+$G59</f>
        <v>2.3400000000000001E-2</v>
      </c>
      <c r="K59" s="1286">
        <f t="shared" ref="K59:K67" si="18">$L59+$G59</f>
        <v>1.17E-2</v>
      </c>
      <c r="L59" s="1286">
        <v>0</v>
      </c>
      <c r="M59" s="1286">
        <f t="shared" ref="M59:N67" si="19">L59-$G59</f>
        <v>-1.17E-2</v>
      </c>
      <c r="N59" s="1286">
        <f t="shared" si="19"/>
        <v>-2.3400000000000001E-2</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t="s">
        <v>3143</v>
      </c>
      <c r="D60" s="1287">
        <f t="shared" si="15"/>
        <v>1.47E-2</v>
      </c>
      <c r="E60" s="820"/>
      <c r="F60" s="2496"/>
      <c r="G60" s="1285">
        <f t="shared" ref="G60:G67" si="20">H60</f>
        <v>1.47E-2</v>
      </c>
      <c r="H60" s="1289">
        <f t="shared" si="16"/>
        <v>1.47E-2</v>
      </c>
      <c r="I60" s="818">
        <v>0.3</v>
      </c>
      <c r="J60" s="1286">
        <f t="shared" si="17"/>
        <v>2.9399999999999999E-2</v>
      </c>
      <c r="K60" s="1286">
        <f t="shared" si="18"/>
        <v>1.47E-2</v>
      </c>
      <c r="L60" s="1286">
        <v>0</v>
      </c>
      <c r="M60" s="1286">
        <f t="shared" si="19"/>
        <v>-1.47E-2</v>
      </c>
      <c r="N60" s="1286">
        <f t="shared" si="19"/>
        <v>-2.9399999999999999E-2</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t="s">
        <v>3143</v>
      </c>
      <c r="D61" s="1287">
        <f t="shared" si="15"/>
        <v>3.8999999999999998E-3</v>
      </c>
      <c r="E61" s="820"/>
      <c r="F61" s="2496"/>
      <c r="G61" s="1285">
        <f t="shared" si="20"/>
        <v>3.8999999999999998E-3</v>
      </c>
      <c r="H61" s="1289">
        <f t="shared" si="16"/>
        <v>3.8999999999999998E-3</v>
      </c>
      <c r="I61" s="818">
        <v>0.08</v>
      </c>
      <c r="J61" s="1286">
        <f t="shared" si="17"/>
        <v>7.7999999999999996E-3</v>
      </c>
      <c r="K61" s="1286">
        <f t="shared" si="18"/>
        <v>3.8999999999999998E-3</v>
      </c>
      <c r="L61" s="1286">
        <v>0</v>
      </c>
      <c r="M61" s="1286">
        <f t="shared" si="19"/>
        <v>-3.8999999999999998E-3</v>
      </c>
      <c r="N61" s="1286">
        <f t="shared" si="19"/>
        <v>-7.7999999999999996E-3</v>
      </c>
      <c r="AA61" s="1371"/>
      <c r="AB61" s="1371"/>
      <c r="AC61" s="1371"/>
      <c r="AD61" s="1371"/>
      <c r="AE61" s="1371"/>
      <c r="AF61" s="1371"/>
      <c r="AG61" s="1371"/>
      <c r="AH61" s="1371"/>
      <c r="AI61" s="1371"/>
      <c r="AJ61" s="1371"/>
      <c r="AK61" s="1371"/>
    </row>
    <row r="62" spans="1:37" s="1370" customFormat="1" ht="36.75">
      <c r="A62" s="2873" t="s">
        <v>2938</v>
      </c>
      <c r="B62" s="2878" t="s">
        <v>2939</v>
      </c>
      <c r="C62" s="2765" t="s">
        <v>3143</v>
      </c>
      <c r="D62" s="1287">
        <f t="shared" si="15"/>
        <v>1.9E-3</v>
      </c>
      <c r="E62" s="820"/>
      <c r="F62" s="2496"/>
      <c r="G62" s="1285">
        <f t="shared" si="20"/>
        <v>1.9E-3</v>
      </c>
      <c r="H62" s="1289">
        <f t="shared" si="16"/>
        <v>1.9E-3</v>
      </c>
      <c r="I62" s="818">
        <v>0.04</v>
      </c>
      <c r="J62" s="1286">
        <f t="shared" si="17"/>
        <v>3.8E-3</v>
      </c>
      <c r="K62" s="1286">
        <f t="shared" si="18"/>
        <v>1.9E-3</v>
      </c>
      <c r="L62" s="1286">
        <v>0</v>
      </c>
      <c r="M62" s="1286">
        <f t="shared" si="19"/>
        <v>-1.9E-3</v>
      </c>
      <c r="N62" s="1286">
        <f t="shared" si="19"/>
        <v>-3.8E-3</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t="s">
        <v>3143</v>
      </c>
      <c r="D63" s="1287">
        <f t="shared" si="15"/>
        <v>2.3999999999999998E-3</v>
      </c>
      <c r="E63" s="820"/>
      <c r="F63" s="2496"/>
      <c r="G63" s="1285">
        <f t="shared" si="20"/>
        <v>2.3999999999999998E-3</v>
      </c>
      <c r="H63" s="1289">
        <f t="shared" si="16"/>
        <v>2.3999999999999998E-3</v>
      </c>
      <c r="I63" s="818">
        <v>0.05</v>
      </c>
      <c r="J63" s="1286">
        <f t="shared" si="17"/>
        <v>4.7999999999999996E-3</v>
      </c>
      <c r="K63" s="1286">
        <f t="shared" si="18"/>
        <v>2.3999999999999998E-3</v>
      </c>
      <c r="L63" s="1286">
        <v>0</v>
      </c>
      <c r="M63" s="1286">
        <f t="shared" si="19"/>
        <v>-2.3999999999999998E-3</v>
      </c>
      <c r="N63" s="1286">
        <f t="shared" si="19"/>
        <v>-4.7999999999999996E-3</v>
      </c>
      <c r="AA63" s="1371"/>
      <c r="AB63" s="1371"/>
      <c r="AC63" s="1371"/>
      <c r="AD63" s="1371"/>
      <c r="AE63" s="1371"/>
      <c r="AF63" s="1371"/>
      <c r="AG63" s="1371"/>
      <c r="AH63" s="1371"/>
      <c r="AI63" s="1371"/>
      <c r="AJ63" s="1371"/>
      <c r="AK63" s="1371"/>
    </row>
    <row r="64" spans="1:37" s="1370" customFormat="1" ht="24">
      <c r="A64" s="2873" t="s">
        <v>2941</v>
      </c>
      <c r="B64" s="2879" t="s">
        <v>2942</v>
      </c>
      <c r="C64" s="2765" t="s">
        <v>3143</v>
      </c>
      <c r="D64" s="1287">
        <f t="shared" si="15"/>
        <v>2.3999999999999998E-3</v>
      </c>
      <c r="E64" s="820"/>
      <c r="F64" s="2496"/>
      <c r="G64" s="1285">
        <f t="shared" si="20"/>
        <v>2.3999999999999998E-3</v>
      </c>
      <c r="H64" s="1289">
        <f t="shared" si="16"/>
        <v>2.3999999999999998E-3</v>
      </c>
      <c r="I64" s="818">
        <v>0.05</v>
      </c>
      <c r="J64" s="1286">
        <f t="shared" si="17"/>
        <v>4.7999999999999996E-3</v>
      </c>
      <c r="K64" s="1286">
        <f t="shared" si="18"/>
        <v>2.3999999999999998E-3</v>
      </c>
      <c r="L64" s="1286">
        <v>0</v>
      </c>
      <c r="M64" s="1286">
        <f t="shared" si="19"/>
        <v>-2.3999999999999998E-3</v>
      </c>
      <c r="N64" s="1286">
        <f t="shared" si="19"/>
        <v>-4.7999999999999996E-3</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t="s">
        <v>3143</v>
      </c>
      <c r="D65" s="1287">
        <f t="shared" si="15"/>
        <v>2.8999999999999998E-3</v>
      </c>
      <c r="E65" s="820"/>
      <c r="F65" s="2496"/>
      <c r="G65" s="1285">
        <f t="shared" si="20"/>
        <v>2.8999999999999998E-3</v>
      </c>
      <c r="H65" s="1289">
        <f t="shared" si="16"/>
        <v>2.8999999999999998E-3</v>
      </c>
      <c r="I65" s="818">
        <v>0.06</v>
      </c>
      <c r="J65" s="1286">
        <f t="shared" si="17"/>
        <v>5.7999999999999996E-3</v>
      </c>
      <c r="K65" s="1286">
        <f t="shared" si="18"/>
        <v>2.8999999999999998E-3</v>
      </c>
      <c r="L65" s="1286">
        <v>0</v>
      </c>
      <c r="M65" s="1286">
        <f t="shared" si="19"/>
        <v>-2.8999999999999998E-3</v>
      </c>
      <c r="N65" s="1286">
        <f t="shared" si="19"/>
        <v>-5.7999999999999996E-3</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t="s">
        <v>3144</v>
      </c>
      <c r="D66" s="1287">
        <f t="shared" si="15"/>
        <v>1.1599999999999999E-2</v>
      </c>
      <c r="E66" s="820"/>
      <c r="F66" s="2496"/>
      <c r="G66" s="1285">
        <f t="shared" si="20"/>
        <v>5.7999999999999996E-3</v>
      </c>
      <c r="H66" s="1289">
        <f t="shared" si="16"/>
        <v>5.7999999999999996E-3</v>
      </c>
      <c r="I66" s="818">
        <v>0.12</v>
      </c>
      <c r="J66" s="1286">
        <f t="shared" si="17"/>
        <v>1.1599999999999999E-2</v>
      </c>
      <c r="K66" s="1286">
        <f t="shared" si="18"/>
        <v>5.7999999999999996E-3</v>
      </c>
      <c r="L66" s="1286">
        <v>0</v>
      </c>
      <c r="M66" s="1286">
        <f t="shared" si="19"/>
        <v>-5.7999999999999996E-3</v>
      </c>
      <c r="N66" s="1286">
        <f t="shared" si="19"/>
        <v>-1.1599999999999999E-2</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t="s">
        <v>3143</v>
      </c>
      <c r="D67" s="1287">
        <f t="shared" si="15"/>
        <v>2.8999999999999998E-3</v>
      </c>
      <c r="E67" s="823"/>
      <c r="F67" s="2496"/>
      <c r="G67" s="1285">
        <f t="shared" si="20"/>
        <v>2.8999999999999998E-3</v>
      </c>
      <c r="H67" s="1289">
        <f t="shared" si="16"/>
        <v>2.8999999999999998E-3</v>
      </c>
      <c r="I67" s="822">
        <v>0.06</v>
      </c>
      <c r="J67" s="1286">
        <f t="shared" si="17"/>
        <v>5.7999999999999996E-3</v>
      </c>
      <c r="K67" s="1286">
        <f t="shared" si="18"/>
        <v>2.8999999999999998E-3</v>
      </c>
      <c r="L67" s="1286">
        <v>0</v>
      </c>
      <c r="M67" s="1286">
        <f t="shared" si="19"/>
        <v>-2.8999999999999998E-3</v>
      </c>
      <c r="N67" s="1286">
        <f t="shared" si="19"/>
        <v>-5.7999999999999996E-3</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2946"/>
      <c r="C69" s="2946" t="s">
        <v>2929</v>
      </c>
      <c r="D69" s="2946" t="s">
        <v>2930</v>
      </c>
      <c r="E69" s="817" t="s">
        <v>2931</v>
      </c>
      <c r="F69" s="2874" t="s">
        <v>2947</v>
      </c>
      <c r="G69" s="2946" t="s">
        <v>754</v>
      </c>
      <c r="H69" s="2875" t="s">
        <v>2933</v>
      </c>
      <c r="I69" s="2946"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2946"/>
      <c r="C80" s="2946" t="s">
        <v>2929</v>
      </c>
      <c r="D80" s="2946" t="s">
        <v>2930</v>
      </c>
      <c r="E80" s="817" t="s">
        <v>2931</v>
      </c>
      <c r="F80" s="2874" t="s">
        <v>2947</v>
      </c>
      <c r="G80" s="2946" t="s">
        <v>754</v>
      </c>
      <c r="H80" s="2875" t="s">
        <v>2933</v>
      </c>
      <c r="I80" s="2946"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84" t="s">
        <v>2957</v>
      </c>
      <c r="B90" s="3384"/>
      <c r="C90" s="3384"/>
      <c r="D90" s="3384"/>
      <c r="E90" s="3384"/>
      <c r="F90" s="3384"/>
      <c r="G90" s="3384"/>
      <c r="H90" s="3384"/>
      <c r="I90" s="3384"/>
      <c r="J90" s="3384"/>
      <c r="K90" s="2960"/>
      <c r="L90" s="2960"/>
      <c r="M90" s="2960"/>
      <c r="N90" s="2960"/>
    </row>
    <row r="91" spans="1:37">
      <c r="A91" s="3386" t="s">
        <v>2958</v>
      </c>
      <c r="B91" s="3386" t="s">
        <v>2959</v>
      </c>
      <c r="C91" s="2841" t="s">
        <v>2960</v>
      </c>
      <c r="D91" s="2842"/>
      <c r="E91" s="2842"/>
      <c r="F91" s="2842"/>
      <c r="G91" s="2842"/>
      <c r="H91" s="2842"/>
      <c r="I91" s="2842"/>
      <c r="J91" s="2888"/>
      <c r="K91" s="2889"/>
      <c r="L91" s="2889"/>
      <c r="M91" s="2889"/>
      <c r="N91" s="2889"/>
    </row>
    <row r="92" spans="1:37">
      <c r="A92" s="3386"/>
      <c r="B92" s="3386"/>
      <c r="C92" s="2962" t="s">
        <v>2825</v>
      </c>
      <c r="D92" s="2962" t="s">
        <v>2826</v>
      </c>
      <c r="E92" s="2962" t="s">
        <v>2827</v>
      </c>
      <c r="F92" s="2962" t="s">
        <v>2828</v>
      </c>
      <c r="G92" s="2962" t="s">
        <v>2829</v>
      </c>
      <c r="H92" s="2962" t="s">
        <v>2830</v>
      </c>
      <c r="I92" s="2962" t="s">
        <v>2831</v>
      </c>
      <c r="J92" s="2962" t="s">
        <v>2832</v>
      </c>
      <c r="K92" s="2962" t="s">
        <v>2833</v>
      </c>
      <c r="L92" s="2962" t="s">
        <v>2834</v>
      </c>
      <c r="M92" s="2962" t="s">
        <v>2835</v>
      </c>
      <c r="N92" s="2962" t="s">
        <v>2836</v>
      </c>
    </row>
    <row r="93" spans="1:37">
      <c r="A93" s="3387"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8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8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8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8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8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88"/>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8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87"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88"/>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88"/>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88"/>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88"/>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88"/>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88"/>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88"/>
      <c r="B108" s="3254" t="s">
        <v>2854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89"/>
      <c r="B109" s="3255"/>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85" t="s">
        <v>2965</v>
      </c>
      <c r="B110" s="3385"/>
      <c r="C110" s="3385"/>
      <c r="D110" s="3385"/>
      <c r="E110" s="3385"/>
      <c r="F110" s="3385"/>
      <c r="G110" s="3385"/>
      <c r="H110" s="3385"/>
      <c r="I110" s="3385"/>
      <c r="J110" s="3385"/>
      <c r="K110" s="2961"/>
      <c r="L110" s="2961"/>
      <c r="M110" s="2961"/>
      <c r="N110" s="2961"/>
    </row>
    <row r="112" spans="1:14" ht="13.5" thickBot="1"/>
    <row r="113" spans="1:13" ht="25.5" thickBot="1">
      <c r="A113" s="901" t="s">
        <v>2966</v>
      </c>
      <c r="B113" s="1288">
        <f>G3</f>
        <v>6.81</v>
      </c>
      <c r="C113" s="902" t="s">
        <v>2967</v>
      </c>
      <c r="D113" s="903">
        <f>SUMPRODUCT((A115:A118=F113)*(B114:M114=H113)*B115:M118)</f>
        <v>0.86729999999999996</v>
      </c>
      <c r="E113" s="2719" t="s">
        <v>2798</v>
      </c>
      <c r="F113" s="2898" t="str">
        <f>E2</f>
        <v>办公</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1605</v>
      </c>
    </row>
    <row r="2" spans="1:1">
      <c r="A2" s="1944"/>
    </row>
    <row r="3" spans="1:1" ht="18">
      <c r="A3" s="1945" t="str">
        <f>项目基本情况!B5&amp;"："</f>
        <v>北京富力城房地产开发有限公司：</v>
      </c>
    </row>
    <row r="4" spans="1:1" ht="36">
      <c r="A4" s="1946" t="str">
        <f>"受贵公司委托，我公司对"&amp;项目基本情况!S1&amp;"进行了预评估。"</f>
        <v>受贵公司委托，我公司对北京市朝阳区东三环中路61号楼“富力万丽酒店”酒店、商业、地下车库、地下仓储用房房地产抵押价值进行了预评估。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1" ht="57.75">
      <c r="A8" s="1949" t="s">
        <v>1608</v>
      </c>
    </row>
    <row r="9" spans="1:1" ht="18.75">
      <c r="A9" s="1948" t="s">
        <v>1609</v>
      </c>
    </row>
    <row r="10" spans="1:1" ht="108">
      <c r="A10" s="1946"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为估价委托人在向北京农村商业银行股份有限公司天通苑支行办理贷款手续过程中，确定房地产抵押贷款额度提供参考依据而评估房地产抵押价值。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2019年4月26日（评估专业人员实地查勘之日）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"本次评估采用的主估价方法为"&amp;'结果表（酒店）'!K4&amp;"和"&amp;'结果表（酒店）'!L4&amp;"。"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sqref="A1:M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1371</v>
      </c>
      <c r="D1" s="1818" t="s">
        <v>70</v>
      </c>
      <c r="E1" s="1819" t="s">
        <v>1381</v>
      </c>
      <c r="F1" s="1284">
        <f ca="1">J53</f>
        <v>23.01</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31174</v>
      </c>
      <c r="C2" s="1843" t="s">
        <v>1510</v>
      </c>
      <c r="D2" s="1843"/>
      <c r="E2" s="1844"/>
      <c r="F2" s="1845"/>
      <c r="G2" s="1846"/>
      <c r="H2" s="1838"/>
      <c r="I2" s="1838"/>
      <c r="J2" s="1838"/>
      <c r="K2" s="1839"/>
      <c r="L2" s="1838"/>
      <c r="M2" s="1838"/>
    </row>
    <row r="3" spans="1:37" ht="18" customHeight="1" thickBot="1">
      <c r="A3" s="1847" t="s">
        <v>1511</v>
      </c>
      <c r="B3" s="1848">
        <f ca="1">IF(ISERROR(B2*10000/F43),0,ROUND(B2*10000/F43,0))</f>
        <v>28490</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3171</v>
      </c>
      <c r="D5" s="1820" t="s">
        <v>1396</v>
      </c>
      <c r="E5" s="1294"/>
      <c r="F5" s="1295"/>
      <c r="G5" s="1849"/>
      <c r="H5" s="344">
        <v>1</v>
      </c>
      <c r="I5" s="345" t="s">
        <v>1395</v>
      </c>
      <c r="J5" s="1293">
        <f ca="1">J6+J10+J12</f>
        <v>3131</v>
      </c>
      <c r="K5" s="1820" t="s">
        <v>1396</v>
      </c>
      <c r="L5" s="1294"/>
      <c r="M5" s="1295"/>
    </row>
    <row r="6" spans="1:37" ht="18" customHeight="1">
      <c r="A6" s="1292" t="s">
        <v>1035</v>
      </c>
      <c r="B6" s="3395" t="s">
        <v>1397</v>
      </c>
      <c r="C6" s="1297">
        <f ca="1">ROUND(F6*F8*F7*(1-F9)/10000,0)</f>
        <v>3163</v>
      </c>
      <c r="D6" s="164" t="s">
        <v>3017</v>
      </c>
      <c r="E6" s="347" t="s">
        <v>1399</v>
      </c>
      <c r="F6" s="348">
        <f ca="1">INDIRECT("'数据-取费表'!u"&amp;$G$1)</f>
        <v>7.92</v>
      </c>
      <c r="G6" s="1849"/>
      <c r="H6" s="1292" t="s">
        <v>1035</v>
      </c>
      <c r="I6" s="3395" t="s">
        <v>1397</v>
      </c>
      <c r="J6" s="346">
        <f ca="1">ROUND(M6*M8*M7*(1-M9)/10000,0)</f>
        <v>3127</v>
      </c>
      <c r="K6" s="164" t="s">
        <v>3016</v>
      </c>
      <c r="L6" s="347" t="s">
        <v>1399</v>
      </c>
      <c r="M6" s="348">
        <f ca="1">INDIRECT("'数据-取费表'!z"&amp;$G$1)</f>
        <v>9.2100000000000009</v>
      </c>
    </row>
    <row r="7" spans="1:37" ht="18" customHeight="1">
      <c r="A7" s="1296"/>
      <c r="B7" s="3396"/>
      <c r="C7" s="1298"/>
      <c r="D7" s="352"/>
      <c r="E7" s="1299" t="s">
        <v>1400</v>
      </c>
      <c r="F7" s="348">
        <f ca="1">IF(INDIRECT("'数据-取费表'!ah"&amp;$G$1)="",INDIRECT("'数据-取费表'!k"&amp;$G$1),INDIRECT("'数据-取费表'!ah"&amp;$G$1))</f>
        <v>10941.939999999999</v>
      </c>
      <c r="G7" s="1849"/>
      <c r="H7" s="349"/>
      <c r="I7" s="3396"/>
      <c r="J7" s="351"/>
      <c r="K7" s="352"/>
      <c r="L7" s="347" t="s">
        <v>1400</v>
      </c>
      <c r="M7" s="348">
        <f ca="1">F7</f>
        <v>10941.939999999999</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0.15</v>
      </c>
    </row>
    <row r="10" spans="1:37" ht="18" customHeight="1">
      <c r="A10" s="1292" t="s">
        <v>1039</v>
      </c>
      <c r="B10" s="1821" t="s">
        <v>1403</v>
      </c>
      <c r="C10" s="361">
        <f ca="1">ROUND(IF(F10="押一",C6/12*F11,IF(F10="押二",C6/12*2*F11,IF(F10="押三",C6/12*3*F11,C11*F11))),0)</f>
        <v>8</v>
      </c>
      <c r="D10" s="1822" t="s">
        <v>3026</v>
      </c>
      <c r="E10" s="358" t="s">
        <v>1404</v>
      </c>
      <c r="F10" s="1366" t="s">
        <v>3151</v>
      </c>
      <c r="G10" s="1849"/>
      <c r="H10" s="1292" t="s">
        <v>1039</v>
      </c>
      <c r="I10" s="1821" t="s">
        <v>1403</v>
      </c>
      <c r="J10" s="346">
        <f ca="1">ROUND(IF(M10="押一",J6/12*M11,IF(M10="押二",J6/12*2*M11,IF(M10="押三",J6/12*3*M11,J11*M11))),0)</f>
        <v>4</v>
      </c>
      <c r="K10" s="1822" t="s">
        <v>3025</v>
      </c>
      <c r="L10" s="358" t="s">
        <v>1404</v>
      </c>
      <c r="M10" s="1366" t="s">
        <v>3150</v>
      </c>
    </row>
    <row r="11" spans="1:37" ht="18" customHeight="1">
      <c r="A11" s="353"/>
      <c r="B11" s="1823" t="s">
        <v>1382</v>
      </c>
      <c r="C11" s="3080">
        <v>509</v>
      </c>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5772</v>
      </c>
      <c r="D13" s="1331" t="s">
        <v>1409</v>
      </c>
      <c r="E13" s="1331" t="s">
        <v>1410</v>
      </c>
      <c r="F13" s="1332">
        <f ca="1">INDIRECT("'数据-取费表'!y"&amp;$G$1)</f>
        <v>0.82</v>
      </c>
      <c r="G13" s="1849"/>
      <c r="H13" s="1329">
        <v>2</v>
      </c>
      <c r="I13" s="1330" t="s">
        <v>1408</v>
      </c>
      <c r="J13" s="1291">
        <f ca="1">ROUND(J14*J15,0)</f>
        <v>5138</v>
      </c>
      <c r="K13" s="1337" t="s">
        <v>1409</v>
      </c>
      <c r="L13" s="1850"/>
      <c r="M13" s="1851"/>
    </row>
    <row r="14" spans="1:37" ht="18" customHeight="1">
      <c r="A14" s="1202" t="s">
        <v>1034</v>
      </c>
      <c r="B14" s="347" t="s">
        <v>1411</v>
      </c>
      <c r="C14" s="363">
        <f ca="1">INDIRECT("'数据-取费表'!m"&amp;$G$1)+INDIRECT("'数据-取费表'!t"&amp;$G$1)</f>
        <v>4377</v>
      </c>
      <c r="D14" s="1798" t="s">
        <v>1412</v>
      </c>
      <c r="E14" s="1792"/>
      <c r="F14" s="364"/>
      <c r="G14" s="1849"/>
      <c r="H14" s="1202" t="s">
        <v>1035</v>
      </c>
      <c r="I14" s="347" t="s">
        <v>1413</v>
      </c>
      <c r="J14" s="24">
        <f ca="1">C29</f>
        <v>7039</v>
      </c>
      <c r="K14" s="15"/>
      <c r="L14" s="980"/>
      <c r="M14" s="981"/>
    </row>
    <row r="15" spans="1:37" s="1856" customFormat="1" ht="18" customHeight="1" thickBot="1">
      <c r="A15" s="1202" t="s">
        <v>1036</v>
      </c>
      <c r="B15" s="347" t="s">
        <v>1414</v>
      </c>
      <c r="C15" s="24">
        <f ca="1">ROUND(C14*F15,0)</f>
        <v>219</v>
      </c>
      <c r="D15" s="365" t="s">
        <v>1415</v>
      </c>
      <c r="E15" s="365" t="s">
        <v>1416</v>
      </c>
      <c r="F15" s="366">
        <f>'数据-取费表'!B33</f>
        <v>0.05</v>
      </c>
      <c r="G15" s="1852"/>
      <c r="H15" s="1339" t="s">
        <v>1039</v>
      </c>
      <c r="I15" s="1340" t="s">
        <v>1410</v>
      </c>
      <c r="J15" s="1349">
        <f ca="1">INDIRECT("'数据-取费表'!ad"&amp;$G$1)</f>
        <v>0.73</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722</v>
      </c>
      <c r="K16" s="1337" t="s">
        <v>1419</v>
      </c>
      <c r="L16" s="1338"/>
      <c r="M16" s="1295"/>
    </row>
    <row r="17" spans="1:37" s="1856" customFormat="1" ht="18" customHeight="1">
      <c r="A17" s="1202" t="s">
        <v>1384</v>
      </c>
      <c r="B17" s="347" t="s">
        <v>1420</v>
      </c>
      <c r="C17" s="24">
        <f ca="1">ROUND(F17*(F43+INDIRECT("'数据-取费表'!S"&amp;$G$1))/10000,0)</f>
        <v>219</v>
      </c>
      <c r="D17" s="347" t="s">
        <v>1421</v>
      </c>
      <c r="E17" s="347" t="s">
        <v>1422</v>
      </c>
      <c r="F17" s="26">
        <f>'数据-取费表'!B35</f>
        <v>200</v>
      </c>
      <c r="G17" s="1852"/>
      <c r="H17" s="1202" t="s">
        <v>1035</v>
      </c>
      <c r="I17" s="347" t="s">
        <v>1423</v>
      </c>
      <c r="J17" s="24">
        <f ca="1">ROUND(IF(项目基本情况!B11="自然人",J5*M17,J18+J19+J20),1)</f>
        <v>546.4</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66</v>
      </c>
      <c r="D18" s="347" t="s">
        <v>1415</v>
      </c>
      <c r="E18" s="347" t="s">
        <v>1416</v>
      </c>
      <c r="F18" s="367">
        <f>'数据-取费表'!B36</f>
        <v>1.4999999999999999E-2</v>
      </c>
      <c r="G18" s="1852"/>
      <c r="H18" s="1202" t="s">
        <v>1034</v>
      </c>
      <c r="I18" s="347" t="s">
        <v>1427</v>
      </c>
      <c r="J18" s="24">
        <f ca="1">ROUND(J5*M18/(1+'数据-取费表'!C42),2)</f>
        <v>166.99</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4881</v>
      </c>
      <c r="D19" s="140" t="s">
        <v>1430</v>
      </c>
      <c r="E19" s="1816"/>
      <c r="F19" s="26"/>
      <c r="G19" s="1849"/>
      <c r="H19" s="1202" t="s">
        <v>1036</v>
      </c>
      <c r="I19" s="347" t="s">
        <v>1431</v>
      </c>
      <c r="J19" s="24">
        <f ca="1">IF(K19="按租金收入计税",ROUND(J5*M19,2),ROUND(C29*M19*0.7,2))</f>
        <v>375.72</v>
      </c>
      <c r="K19" s="1826" t="s">
        <v>3149</v>
      </c>
      <c r="L19" s="347" t="s">
        <v>1416</v>
      </c>
      <c r="M19" s="367">
        <f>IF(K19="按租金收入计税",'数据-取费表'!B51,'数据-取费表'!B50)</f>
        <v>0.12</v>
      </c>
    </row>
    <row r="20" spans="1:37" s="1856" customFormat="1" ht="18" customHeight="1">
      <c r="A20" s="1202" t="s">
        <v>1039</v>
      </c>
      <c r="B20" s="347" t="s">
        <v>1433</v>
      </c>
      <c r="C20" s="24">
        <f ca="1">ROUND(C19*F20,0)</f>
        <v>146</v>
      </c>
      <c r="D20" s="369" t="s">
        <v>1434</v>
      </c>
      <c r="E20" s="347" t="s">
        <v>1416</v>
      </c>
      <c r="F20" s="367">
        <f>'数据-取费表'!B37</f>
        <v>0.03</v>
      </c>
      <c r="G20" s="1852"/>
      <c r="H20" s="1202" t="s">
        <v>1383</v>
      </c>
      <c r="I20" s="164" t="s">
        <v>1435</v>
      </c>
      <c r="J20" s="25">
        <f ca="1">ROUND(M20*M21/10000,2)</f>
        <v>3.7</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18</v>
      </c>
      <c r="D21" s="369" t="s">
        <v>1439</v>
      </c>
      <c r="E21" s="347" t="s">
        <v>1440</v>
      </c>
      <c r="F21" s="367">
        <f>'数据-取费表'!B38</f>
        <v>0.03</v>
      </c>
      <c r="G21" s="1852"/>
      <c r="H21" s="372"/>
      <c r="I21" s="356"/>
      <c r="J21" s="29"/>
      <c r="K21" s="373"/>
      <c r="L21" s="347" t="s">
        <v>1441</v>
      </c>
      <c r="M21" s="348">
        <f ca="1">INDIRECT("'数据-取费表'!r"&amp;$G$1)</f>
        <v>1234.48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ROUND(J14*M22,1)</f>
        <v>105.6</v>
      </c>
      <c r="K22" s="179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363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7.7</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ROUND(J5*M24,1)</f>
        <v>62.6</v>
      </c>
      <c r="K24" s="1342" t="s">
        <v>1453</v>
      </c>
      <c r="L24" s="1340" t="s">
        <v>1449</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1816"/>
      <c r="F25" s="26"/>
      <c r="G25" s="1849"/>
      <c r="H25" s="1329" t="s">
        <v>1031</v>
      </c>
      <c r="I25" s="1344" t="s">
        <v>1457</v>
      </c>
      <c r="J25" s="355">
        <f ca="1">J5-J16</f>
        <v>2409</v>
      </c>
      <c r="K25" s="1345" t="s">
        <v>1458</v>
      </c>
      <c r="L25" s="1346"/>
      <c r="M25" s="1347"/>
    </row>
    <row r="26" spans="1:37">
      <c r="A26" s="1202" t="s">
        <v>1034</v>
      </c>
      <c r="B26" s="347" t="s">
        <v>1459</v>
      </c>
      <c r="C26" s="24">
        <f ca="1">ROUND((C19+C20)*F26,0)</f>
        <v>1005</v>
      </c>
      <c r="D26" s="369" t="s">
        <v>1460</v>
      </c>
      <c r="E26" s="358" t="s">
        <v>1461</v>
      </c>
      <c r="F26" s="357">
        <f ca="1">INDIRECT("'数据-取费表'!q"&amp;$G$1)</f>
        <v>0.2</v>
      </c>
      <c r="G26" s="1849"/>
      <c r="H26" s="344" t="s">
        <v>1032</v>
      </c>
      <c r="I26" s="345" t="s">
        <v>1462</v>
      </c>
      <c r="J26" s="346">
        <f ca="1">IF(J5&lt;&gt;0,ROUND(J25*(1-((1+M28)/(1+M26))^M27)/(M26-M28),0),0)</f>
        <v>29600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17.75</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7039</v>
      </c>
      <c r="D29" s="1342"/>
      <c r="E29" s="1340"/>
      <c r="F29" s="1343"/>
      <c r="G29" s="1852"/>
      <c r="H29" s="380" t="s">
        <v>1033</v>
      </c>
      <c r="I29" s="381" t="s">
        <v>1473</v>
      </c>
      <c r="J29" s="382">
        <f ca="1">ROUND(J26/(1+F40)^F41,0)</f>
        <v>20736</v>
      </c>
      <c r="K29" s="383" t="s">
        <v>1474</v>
      </c>
      <c r="L29" s="384"/>
      <c r="M29" s="385">
        <f ca="1">INDIRECT("'数据-取费表'!k"&amp;$G$1)</f>
        <v>10941.939999999999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731</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ROUND(IF(项目基本情况!B11="自然人",C5*F31,C32+C33+C34),1)</f>
        <v>553.29999999999995</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169.12</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380.52</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3.7</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1234.48</v>
      </c>
      <c r="G35" s="1849"/>
      <c r="H35" s="745"/>
      <c r="I35" s="1858"/>
      <c r="J35" s="1859"/>
      <c r="K35" s="1860"/>
      <c r="L35" s="1857"/>
      <c r="M35" s="1857"/>
    </row>
    <row r="36" spans="1:18" ht="18" customHeight="1">
      <c r="A36" s="1352" t="s">
        <v>1039</v>
      </c>
      <c r="B36" s="347" t="s">
        <v>1443</v>
      </c>
      <c r="C36" s="24">
        <f ca="1">ROUND(C29*F36,1)</f>
        <v>105.6</v>
      </c>
      <c r="D36" s="179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8.6999999999999993</v>
      </c>
      <c r="D37" s="1796" t="s">
        <v>1448</v>
      </c>
      <c r="E37" s="347" t="s">
        <v>1449</v>
      </c>
      <c r="F37" s="376">
        <f ca="1">INDIRECT("'数据-取费表'!Al"&amp;$G$1)</f>
        <v>1.5E-3</v>
      </c>
      <c r="G37" s="1849"/>
      <c r="H37" s="1857"/>
      <c r="I37" s="1858"/>
      <c r="J37" s="1859"/>
      <c r="K37" s="751"/>
      <c r="L37" s="1857"/>
      <c r="M37" s="1857"/>
    </row>
    <row r="38" spans="1:18" ht="18" customHeight="1" thickBot="1">
      <c r="A38" s="1339" t="s">
        <v>1387</v>
      </c>
      <c r="B38" s="1340" t="s">
        <v>1433</v>
      </c>
      <c r="C38" s="1341">
        <f ca="1">ROUND(C5*F38,1)</f>
        <v>63.4</v>
      </c>
      <c r="D38" s="1342" t="s">
        <v>1453</v>
      </c>
      <c r="E38" s="1340" t="s">
        <v>1449</v>
      </c>
      <c r="F38" s="1336">
        <f ca="1">INDIRECT("'数据-取费表'!Am"&amp;$G$1)</f>
        <v>0.02</v>
      </c>
      <c r="G38" s="1849"/>
      <c r="H38" s="1857"/>
      <c r="I38" s="1858"/>
      <c r="J38" s="1859"/>
      <c r="K38" s="1863"/>
      <c r="L38" s="1857"/>
      <c r="M38" s="1857"/>
    </row>
    <row r="39" spans="1:18" ht="24.6" customHeight="1" thickTop="1">
      <c r="A39" s="1329" t="s">
        <v>1031</v>
      </c>
      <c r="B39" s="1344" t="s">
        <v>1477</v>
      </c>
      <c r="C39" s="355">
        <f ca="1">C5-C30</f>
        <v>2440</v>
      </c>
      <c r="D39" s="1345" t="s">
        <v>1478</v>
      </c>
      <c r="E39" s="1346"/>
      <c r="F39" s="1347"/>
      <c r="G39" s="1849"/>
      <c r="H39" s="1857"/>
      <c r="I39" s="1858"/>
      <c r="J39" s="1859"/>
      <c r="K39" s="1863"/>
      <c r="L39" s="1857"/>
      <c r="M39" s="1857"/>
    </row>
    <row r="40" spans="1:18" ht="18" customHeight="1">
      <c r="A40" s="344" t="s">
        <v>1032</v>
      </c>
      <c r="B40" s="345" t="s">
        <v>1479</v>
      </c>
      <c r="C40" s="346">
        <f ca="1">ROUND(C39*(1-((1+F42)/(1+F40))^F41)/(F40-F42),0)</f>
        <v>10438</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5.26</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f ca="1">ROUND(C40*10000/F43,0)</f>
        <v>9539</v>
      </c>
      <c r="D43" s="383" t="s">
        <v>1482</v>
      </c>
      <c r="E43" s="384" t="s">
        <v>1483</v>
      </c>
      <c r="F43" s="385">
        <f ca="1">INDIRECT("'数据-取费表'!k"&amp;$G$1)</f>
        <v>10941.939999999999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-1167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31174</v>
      </c>
      <c r="R47" s="1884" t="s">
        <v>1523</v>
      </c>
    </row>
    <row r="48" spans="1:18" s="1840" customFormat="1" ht="28.5" thickBot="1">
      <c r="A48" s="1360" t="s">
        <v>1129</v>
      </c>
      <c r="B48" s="345" t="s">
        <v>1395</v>
      </c>
      <c r="C48" s="1815">
        <f ca="1">C49+C53+C55</f>
        <v>2678</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2675</v>
      </c>
      <c r="D49" s="1277" t="s">
        <v>3018</v>
      </c>
      <c r="E49" s="1828" t="s">
        <v>1485</v>
      </c>
      <c r="F49" s="1282">
        <f>租金!E14</f>
        <v>7.88</v>
      </c>
      <c r="G49" s="1889"/>
      <c r="H49" s="793"/>
      <c r="I49" s="1885" t="s">
        <v>1528</v>
      </c>
      <c r="J49" s="1890">
        <v>2008</v>
      </c>
      <c r="K49" s="1887" t="s">
        <v>1529</v>
      </c>
      <c r="L49" s="1891"/>
      <c r="O49" s="1892" t="s">
        <v>1042</v>
      </c>
      <c r="P49" s="1883" t="s">
        <v>1530</v>
      </c>
      <c r="Q49" s="1884">
        <f ca="1">C29</f>
        <v>7039</v>
      </c>
      <c r="R49" s="1884" t="s">
        <v>1523</v>
      </c>
    </row>
    <row r="50" spans="1:18" s="1840" customFormat="1" ht="13.5" thickBot="1">
      <c r="A50" s="1196"/>
      <c r="B50" s="1199"/>
      <c r="C50" s="1368"/>
      <c r="D50" s="1173"/>
      <c r="E50" s="1278" t="s">
        <v>1400</v>
      </c>
      <c r="F50" s="1279">
        <f ca="1">F7</f>
        <v>10941.939999999999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22949</v>
      </c>
      <c r="M51" s="1900"/>
      <c r="O51" s="1892" t="s">
        <v>1044</v>
      </c>
      <c r="P51" s="1883" t="s">
        <v>1536</v>
      </c>
      <c r="Q51" s="1895">
        <f>J52</f>
        <v>0.09</v>
      </c>
      <c r="R51" s="1884"/>
    </row>
    <row r="52" spans="1:18" s="1840" customFormat="1" ht="13.5" thickBot="1">
      <c r="A52" s="1197"/>
      <c r="B52" s="1199"/>
      <c r="C52" s="1200"/>
      <c r="D52" s="1173"/>
      <c r="E52" s="1201" t="s">
        <v>1402</v>
      </c>
      <c r="F52" s="1276">
        <f>'数据-取费表'!AB6</f>
        <v>0.15</v>
      </c>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3</v>
      </c>
      <c r="D53" s="1822" t="s">
        <v>3025</v>
      </c>
      <c r="E53" s="358" t="s">
        <v>1404</v>
      </c>
      <c r="F53" s="1366" t="s">
        <v>3150</v>
      </c>
      <c r="I53" s="1903" t="s">
        <v>1541</v>
      </c>
      <c r="J53" s="1904">
        <f ca="1">IF(M47="住宅",IF(D1="——",MAX(J51,L48),IF(D1="在建（套用方法）",MAX(J51,L48-'数据-取费表'!B24),MAX(J51,L48-'数据-取费表'!B20))),IF(D1="——",MIN(J51,L48),IF(D1="在建（套用方法）",MIN(J51,L48-'数据-取费表'!B24),IF(D1="土地（套用方法）",MIN(J51,L48-'数据-取费表'!B20)))))</f>
        <v>23.01</v>
      </c>
      <c r="K53" s="3393" t="s">
        <v>1542</v>
      </c>
      <c r="L53" s="3394"/>
      <c r="O53" s="1882" t="s">
        <v>1046</v>
      </c>
      <c r="P53" s="1883" t="s">
        <v>1543</v>
      </c>
      <c r="Q53" s="1884">
        <f ca="1">Q47+Q48</f>
        <v>31174</v>
      </c>
      <c r="R53" s="1884" t="s">
        <v>1047</v>
      </c>
    </row>
    <row r="54" spans="1:18" s="1840" customFormat="1" ht="13.5" thickBot="1">
      <c r="A54" s="1406"/>
      <c r="B54" s="1823" t="s">
        <v>1382</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5772</v>
      </c>
      <c r="D56" s="1912"/>
      <c r="E56" s="1913"/>
      <c r="F56" s="1905"/>
      <c r="I56" s="1914" t="s">
        <v>1548</v>
      </c>
      <c r="J56" s="1915" t="s">
        <v>3056</v>
      </c>
      <c r="K56" s="1885" t="s">
        <v>1549</v>
      </c>
      <c r="L56" s="1888" t="str">
        <f ca="1">IF(L48&lt;J51,"——",L48-J53)</f>
        <v>——</v>
      </c>
      <c r="O56" s="1882" t="s">
        <v>1040</v>
      </c>
      <c r="P56" s="1883" t="s">
        <v>1522</v>
      </c>
      <c r="Q56" s="1884">
        <f ca="1">C40+J29</f>
        <v>31174</v>
      </c>
      <c r="R56" s="1884" t="s">
        <v>1523</v>
      </c>
    </row>
    <row r="57" spans="1:18" s="1840" customFormat="1" ht="24.75" thickBot="1">
      <c r="A57" s="1916"/>
      <c r="B57" s="1170" t="s">
        <v>1472</v>
      </c>
      <c r="C57" s="282">
        <f ca="1">C29</f>
        <v>7039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636</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467.9</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142.83000000000001</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IF(项目基本情况!B11="自然人","——",IF(D61="按租金收入计税",ROUND(C48*F61,2),IF(D61="按房产原值计税",ROUND(C57*F61*0.7,2),INDIRECT("'数据-取费表'!Aj"&amp;$G$1))))</f>
        <v>321.36</v>
      </c>
      <c r="D61" s="1826" t="s">
        <v>3149</v>
      </c>
      <c r="E61" s="1170" t="s">
        <v>1488</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1490</v>
      </c>
      <c r="C62" s="25">
        <f ca="1">IF(项目基本情况!B11="自然人","——",ROUND(F62*F63/10000,2))</f>
        <v>3.7</v>
      </c>
      <c r="D62" s="1185" t="s">
        <v>1491</v>
      </c>
      <c r="E62" s="1170" t="s">
        <v>1492</v>
      </c>
      <c r="F62" s="371">
        <f t="shared" si="0"/>
        <v>30</v>
      </c>
      <c r="I62" s="1927" t="s">
        <v>1564</v>
      </c>
      <c r="J62" s="1928" t="s">
        <v>1565</v>
      </c>
      <c r="K62" s="1928" t="s">
        <v>1566</v>
      </c>
      <c r="L62" s="1928" t="s">
        <v>1567</v>
      </c>
      <c r="M62" s="1929" t="s">
        <v>1568</v>
      </c>
      <c r="O62" s="1882" t="s">
        <v>1046</v>
      </c>
      <c r="P62" s="1883" t="s">
        <v>1569</v>
      </c>
      <c r="Q62" s="1884">
        <f ca="1">Q56+Q57</f>
        <v>31174</v>
      </c>
      <c r="R62" s="1884" t="s">
        <v>1047</v>
      </c>
    </row>
    <row r="63" spans="1:18" s="1840" customFormat="1" ht="13.5" thickBot="1">
      <c r="A63" s="372"/>
      <c r="B63" s="1176"/>
      <c r="C63" s="29"/>
      <c r="D63" s="1186"/>
      <c r="E63" s="1170" t="s">
        <v>1493</v>
      </c>
      <c r="F63" s="348">
        <f t="shared" ca="1" si="0"/>
        <v>1234.48</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ROUND(C57*F64,1)</f>
        <v>105.6</v>
      </c>
      <c r="D64" s="1184" t="s">
        <v>1496</v>
      </c>
      <c r="E64" s="1170" t="s">
        <v>1488</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8.6999999999999993</v>
      </c>
      <c r="D65" s="1184" t="s">
        <v>1448</v>
      </c>
      <c r="E65" s="1170" t="s">
        <v>1449</v>
      </c>
      <c r="F65" s="376">
        <f t="shared" ca="1" si="0"/>
        <v>1.5E-3</v>
      </c>
      <c r="I65" s="1927" t="s">
        <v>1573</v>
      </c>
      <c r="J65" s="1928">
        <v>40</v>
      </c>
      <c r="K65" s="1928">
        <v>30</v>
      </c>
      <c r="L65" s="1928">
        <v>50</v>
      </c>
      <c r="M65" s="1930">
        <v>0.02</v>
      </c>
      <c r="O65" s="1882" t="s">
        <v>1040</v>
      </c>
      <c r="P65" s="1883" t="s">
        <v>1574</v>
      </c>
      <c r="Q65" s="1884">
        <f ca="1">C40+J29</f>
        <v>31174</v>
      </c>
      <c r="R65" s="1884" t="s">
        <v>1523</v>
      </c>
    </row>
    <row r="66" spans="1:18" s="1840" customFormat="1" ht="16.5" thickBot="1">
      <c r="A66" s="1202" t="s">
        <v>1498</v>
      </c>
      <c r="B66" s="1170" t="s">
        <v>1433</v>
      </c>
      <c r="C66" s="24">
        <f ca="1">ROUND(C48*F66,1)</f>
        <v>53.6</v>
      </c>
      <c r="D66" s="1184" t="s">
        <v>1499</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2042</v>
      </c>
      <c r="D67" s="1183" t="s">
        <v>1458</v>
      </c>
      <c r="E67" s="1188"/>
      <c r="F67" s="1189"/>
      <c r="O67" s="1892" t="s">
        <v>1042</v>
      </c>
      <c r="P67" s="1883" t="s">
        <v>1556</v>
      </c>
      <c r="Q67" s="1931">
        <f ca="1">L51</f>
        <v>22949</v>
      </c>
      <c r="R67" s="1884" t="s">
        <v>1576</v>
      </c>
    </row>
    <row r="68" spans="1:18" s="1840" customFormat="1" ht="16.5" thickBot="1">
      <c r="A68" s="1167" t="s">
        <v>1032</v>
      </c>
      <c r="B68" s="1168" t="s">
        <v>1479</v>
      </c>
      <c r="C68" s="346">
        <f ca="1">ROUND(C67*(1-((1+F70)/(1+F68))^F69)/(F68-F70),0)</f>
        <v>9271</v>
      </c>
      <c r="D68" s="1185" t="s">
        <v>1463</v>
      </c>
      <c r="E68" s="1170" t="s">
        <v>1464</v>
      </c>
      <c r="F68" s="357">
        <f ca="1">F40</f>
        <v>7.0000000000000007E-2</v>
      </c>
      <c r="O68" s="1892" t="s">
        <v>1043</v>
      </c>
      <c r="P68" s="1932" t="s">
        <v>1577</v>
      </c>
      <c r="Q68" s="1884">
        <f ca="1">ROUND(Q69-Q70*Q71,0)</f>
        <v>1949</v>
      </c>
      <c r="R68" s="1884" t="s">
        <v>1051</v>
      </c>
    </row>
    <row r="69" spans="1:18" s="1840" customFormat="1" ht="13.5" thickBot="1">
      <c r="A69" s="1171"/>
      <c r="B69" s="1172"/>
      <c r="C69" s="351"/>
      <c r="D69" s="1190" t="s">
        <v>1467</v>
      </c>
      <c r="E69" s="1170" t="s">
        <v>1468</v>
      </c>
      <c r="F69" s="379">
        <f ca="1">F41</f>
        <v>5.26</v>
      </c>
      <c r="O69" s="1892" t="s">
        <v>1048</v>
      </c>
      <c r="P69" s="1932" t="s">
        <v>1578</v>
      </c>
      <c r="Q69" s="1884">
        <f ca="1">C39</f>
        <v>2440</v>
      </c>
      <c r="R69" s="1884" t="s">
        <v>1523</v>
      </c>
    </row>
    <row r="70" spans="1:18" s="1840" customFormat="1" ht="13.5" thickBot="1">
      <c r="A70" s="1174"/>
      <c r="B70" s="1175"/>
      <c r="C70" s="355"/>
      <c r="D70" s="1186"/>
      <c r="E70" s="1170" t="s">
        <v>1471</v>
      </c>
      <c r="F70" s="1276">
        <f>'数据-取费表'!AA6</f>
        <v>0.03</v>
      </c>
      <c r="O70" s="1892" t="s">
        <v>1049</v>
      </c>
      <c r="P70" s="1932" t="s">
        <v>1579</v>
      </c>
      <c r="Q70" s="1884">
        <f ca="1">C13</f>
        <v>5772</v>
      </c>
      <c r="R70" s="1884" t="s">
        <v>1523</v>
      </c>
    </row>
    <row r="71" spans="1:18" s="1840" customFormat="1" ht="13.5" thickBot="1">
      <c r="A71" s="1191" t="s">
        <v>1033</v>
      </c>
      <c r="B71" s="1192" t="s">
        <v>1481</v>
      </c>
      <c r="C71" s="382">
        <f ca="1">ROUND(C68*10000/F71,0)</f>
        <v>8473</v>
      </c>
      <c r="D71" s="1193" t="s">
        <v>1482</v>
      </c>
      <c r="E71" s="1194" t="s">
        <v>1483</v>
      </c>
      <c r="F71" s="385">
        <f ca="1">F43</f>
        <v>10941.939999999999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491</v>
      </c>
      <c r="D75" s="1840"/>
      <c r="E75" s="1840"/>
      <c r="F75" s="1840"/>
      <c r="K75" s="1866"/>
      <c r="L75" s="1840"/>
      <c r="O75" s="1882" t="s">
        <v>1046</v>
      </c>
      <c r="P75" s="1883" t="s">
        <v>1543</v>
      </c>
      <c r="Q75" s="1884">
        <f ca="1">Q65+Q66</f>
        <v>31174</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0.79899999999999993</v>
      </c>
    </row>
    <row r="80" spans="1:18">
      <c r="B80" s="386" t="s">
        <v>1505</v>
      </c>
      <c r="C80" s="318">
        <f ca="1">ROUND(C75/C39,3)</f>
        <v>0.20100000000000001</v>
      </c>
    </row>
    <row r="81" spans="2:3">
      <c r="B81" s="314" t="s">
        <v>1506</v>
      </c>
      <c r="C81" s="282"/>
    </row>
    <row r="82" spans="2:3">
      <c r="B82" s="317" t="s">
        <v>1507</v>
      </c>
      <c r="C82" s="319">
        <f ca="1">1-C83</f>
        <v>0.44699999999999995</v>
      </c>
    </row>
    <row r="83" spans="2:3">
      <c r="B83" s="317" t="s">
        <v>1508</v>
      </c>
      <c r="C83" s="318">
        <f ca="1">ROUND(C13/C40,3)</f>
        <v>0.55300000000000005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2"/>
  <sheetViews>
    <sheetView topLeftCell="A34" workbookViewId="0">
      <selection activeCell="B44" sqref="B44"/>
    </sheetView>
  </sheetViews>
  <sheetFormatPr defaultRowHeight="11.25"/>
  <cols>
    <col min="1" max="1" width="12.375" style="2996" customWidth="1"/>
    <col min="2" max="2" width="12.625" style="2996" customWidth="1"/>
    <col min="3" max="3" width="10.125" style="2996" customWidth="1"/>
    <col min="4" max="6" width="9.125" style="2996" bestFit="1" customWidth="1"/>
    <col min="7" max="7" width="13" style="2996" bestFit="1" customWidth="1"/>
    <col min="8" max="8" width="12.75" style="2996" bestFit="1" customWidth="1"/>
    <col min="9" max="9" width="11.25" style="2996" customWidth="1"/>
    <col min="10" max="11" width="16.125" style="2996" bestFit="1" customWidth="1"/>
    <col min="12" max="12" width="10.5" style="2996" bestFit="1" customWidth="1"/>
    <col min="13" max="13" width="12.25" style="2996" bestFit="1" customWidth="1"/>
    <col min="14" max="14" width="13" style="2996" bestFit="1" customWidth="1"/>
    <col min="15" max="15" width="12.25" style="2996" bestFit="1" customWidth="1"/>
    <col min="16" max="16" width="10.5" style="2996" bestFit="1" customWidth="1"/>
    <col min="17" max="18" width="12.25" style="2996" bestFit="1" customWidth="1"/>
    <col min="19" max="20" width="10.5" style="2996" bestFit="1" customWidth="1"/>
    <col min="21" max="23" width="12.25" style="2996" bestFit="1" customWidth="1"/>
    <col min="24" max="25" width="10.5" style="2996" bestFit="1" customWidth="1"/>
    <col min="26" max="26" width="12.25" style="2996" bestFit="1" customWidth="1"/>
    <col min="27" max="27" width="9.125" style="2996" bestFit="1" customWidth="1"/>
    <col min="28" max="28" width="10.5" style="2996" bestFit="1" customWidth="1"/>
    <col min="29" max="31" width="12.25" style="2996" bestFit="1" customWidth="1"/>
    <col min="32" max="32" width="10.5" style="2996" bestFit="1" customWidth="1"/>
    <col min="33" max="33" width="12.25" style="2996" bestFit="1" customWidth="1"/>
    <col min="34" max="34" width="13" style="2996" bestFit="1" customWidth="1"/>
    <col min="35" max="36" width="9" style="2996"/>
    <col min="37" max="37" width="9.125" style="2996" bestFit="1" customWidth="1"/>
    <col min="38" max="39" width="9" style="2996"/>
    <col min="40" max="40" width="12.25" style="2996" bestFit="1" customWidth="1"/>
    <col min="41" max="16384" width="9" style="2996"/>
  </cols>
  <sheetData>
    <row r="1" spans="1:40" s="2997" customFormat="1" ht="22.5" hidden="1" customHeight="1">
      <c r="A1" s="3398" t="s">
        <v>3109</v>
      </c>
      <c r="B1" s="3410" t="s">
        <v>3110</v>
      </c>
      <c r="C1" s="3402" t="s">
        <v>3111</v>
      </c>
      <c r="D1" s="3412" t="s">
        <v>3112</v>
      </c>
      <c r="E1" s="3412" t="s">
        <v>3113</v>
      </c>
      <c r="F1" s="3408" t="s">
        <v>3114</v>
      </c>
      <c r="G1" s="3402" t="s">
        <v>3115</v>
      </c>
      <c r="H1" s="3402" t="s">
        <v>3116</v>
      </c>
      <c r="I1" s="3000"/>
      <c r="J1" s="3404" t="s">
        <v>3117</v>
      </c>
      <c r="K1" s="3406" t="s">
        <v>3118</v>
      </c>
      <c r="L1" s="3406"/>
      <c r="M1" s="3406"/>
      <c r="N1" s="3406"/>
      <c r="O1" s="3407"/>
      <c r="P1" s="3407"/>
      <c r="Q1" s="3407"/>
      <c r="R1" s="3407"/>
      <c r="S1" s="3407"/>
      <c r="T1" s="3407"/>
      <c r="U1" s="3407"/>
      <c r="V1" s="3407"/>
      <c r="W1" s="3407"/>
      <c r="X1" s="3407"/>
      <c r="Y1" s="3407"/>
      <c r="Z1" s="3407"/>
      <c r="AA1" s="3406" t="s">
        <v>3119</v>
      </c>
      <c r="AB1" s="3406"/>
      <c r="AC1" s="3406"/>
      <c r="AD1" s="3406"/>
      <c r="AE1" s="3402" t="s">
        <v>3120</v>
      </c>
      <c r="AF1" s="3406" t="s">
        <v>3121</v>
      </c>
      <c r="AG1" s="3406"/>
      <c r="AH1" s="3406"/>
      <c r="AI1" s="3400" t="s">
        <v>3122</v>
      </c>
      <c r="AK1" s="2998"/>
    </row>
    <row r="2" spans="1:40" s="2997" customFormat="1" ht="21.75" hidden="1" customHeight="1">
      <c r="A2" s="3399"/>
      <c r="B2" s="3411"/>
      <c r="C2" s="3403"/>
      <c r="D2" s="3413"/>
      <c r="E2" s="3413"/>
      <c r="F2" s="3409"/>
      <c r="G2" s="3403"/>
      <c r="H2" s="3403"/>
      <c r="I2" s="3001"/>
      <c r="J2" s="3405"/>
      <c r="K2" s="2983" t="s">
        <v>3123</v>
      </c>
      <c r="L2" s="2983" t="s">
        <v>3124</v>
      </c>
      <c r="M2" s="2983" t="s">
        <v>3125</v>
      </c>
      <c r="N2" s="2983" t="s">
        <v>40</v>
      </c>
      <c r="O2" s="2999">
        <v>1</v>
      </c>
      <c r="P2" s="2999">
        <v>2</v>
      </c>
      <c r="Q2" s="2999">
        <v>3</v>
      </c>
      <c r="R2" s="2999">
        <v>4</v>
      </c>
      <c r="S2" s="2999">
        <v>5</v>
      </c>
      <c r="T2" s="2999">
        <v>6</v>
      </c>
      <c r="U2" s="2999">
        <v>7</v>
      </c>
      <c r="V2" s="2999">
        <v>8</v>
      </c>
      <c r="W2" s="2999">
        <v>9</v>
      </c>
      <c r="X2" s="2999">
        <v>10</v>
      </c>
      <c r="Y2" s="2999">
        <v>11</v>
      </c>
      <c r="Z2" s="2999">
        <v>12</v>
      </c>
      <c r="AA2" s="2983" t="s">
        <v>3126</v>
      </c>
      <c r="AB2" s="2983" t="s">
        <v>3127</v>
      </c>
      <c r="AC2" s="2983" t="s">
        <v>3128</v>
      </c>
      <c r="AD2" s="2983" t="s">
        <v>3129</v>
      </c>
      <c r="AE2" s="3403"/>
      <c r="AF2" s="2983" t="s">
        <v>3130</v>
      </c>
      <c r="AG2" s="2983" t="s">
        <v>3131</v>
      </c>
      <c r="AH2" s="2983" t="s">
        <v>3132</v>
      </c>
      <c r="AI2" s="3401"/>
      <c r="AK2" s="2998" t="s">
        <v>3133</v>
      </c>
      <c r="AL2" s="2997" t="s">
        <v>3134</v>
      </c>
      <c r="AM2" s="2997" t="s">
        <v>3135</v>
      </c>
      <c r="AN2" s="2997" t="s">
        <v>3136</v>
      </c>
    </row>
    <row r="3" spans="1:40" s="2992" customFormat="1" ht="22.5" hidden="1" customHeight="1">
      <c r="A3" s="2978" t="s">
        <v>3096</v>
      </c>
      <c r="B3" s="2979" t="s">
        <v>3097</v>
      </c>
      <c r="C3" s="2980" t="s">
        <v>1371</v>
      </c>
      <c r="D3" s="2981">
        <v>42186</v>
      </c>
      <c r="E3" s="2981">
        <v>42916</v>
      </c>
      <c r="F3" s="2982">
        <v>1047</v>
      </c>
      <c r="G3" s="2982">
        <v>40000</v>
      </c>
      <c r="H3" s="2982">
        <v>38.204393505253101</v>
      </c>
      <c r="I3" s="3003">
        <f>G3*12</f>
        <v>480000</v>
      </c>
      <c r="J3" s="2982">
        <v>0</v>
      </c>
      <c r="K3" s="2983">
        <v>760000</v>
      </c>
      <c r="L3" s="2982"/>
      <c r="M3" s="2983">
        <v>0</v>
      </c>
      <c r="N3" s="2984">
        <v>760000</v>
      </c>
      <c r="O3" s="2985"/>
      <c r="P3" s="2984"/>
      <c r="Q3" s="2984"/>
      <c r="R3" s="2984"/>
      <c r="S3" s="2984"/>
      <c r="T3" s="2984"/>
      <c r="U3" s="2984"/>
      <c r="V3" s="2982"/>
      <c r="W3" s="2982"/>
      <c r="X3" s="2986"/>
      <c r="Y3" s="2987"/>
      <c r="Z3" s="2988">
        <v>0</v>
      </c>
      <c r="AA3" s="2982">
        <v>0</v>
      </c>
      <c r="AB3" s="2982">
        <v>0</v>
      </c>
      <c r="AC3" s="2982">
        <v>0</v>
      </c>
      <c r="AD3" s="2982">
        <v>0</v>
      </c>
      <c r="AE3" s="2988">
        <v>0</v>
      </c>
      <c r="AF3" s="2983">
        <v>760000</v>
      </c>
      <c r="AG3" s="2983">
        <v>0</v>
      </c>
      <c r="AH3" s="2983">
        <v>760000</v>
      </c>
      <c r="AI3" s="2989" t="s">
        <v>3098</v>
      </c>
      <c r="AJ3" s="2990"/>
      <c r="AK3" s="2991"/>
      <c r="AN3" s="2986">
        <v>0</v>
      </c>
    </row>
    <row r="4" spans="1:40" s="2992" customFormat="1" ht="22.5" hidden="1" customHeight="1">
      <c r="A4" s="2978" t="s">
        <v>3099</v>
      </c>
      <c r="B4" s="2979" t="s">
        <v>3100</v>
      </c>
      <c r="C4" s="2980" t="s">
        <v>1371</v>
      </c>
      <c r="D4" s="2981">
        <v>40000</v>
      </c>
      <c r="E4" s="2981">
        <v>44747</v>
      </c>
      <c r="F4" s="2982">
        <v>894.06</v>
      </c>
      <c r="G4" s="2982">
        <v>465022.95750000002</v>
      </c>
      <c r="H4" s="2982">
        <v>520.125</v>
      </c>
      <c r="I4" s="3003">
        <f t="shared" ref="I4:I8" si="0">G4*12</f>
        <v>5580275.4900000002</v>
      </c>
      <c r="J4" s="2982">
        <v>0</v>
      </c>
      <c r="K4" s="2983">
        <v>0</v>
      </c>
      <c r="L4" s="2982"/>
      <c r="M4" s="2983">
        <v>0</v>
      </c>
      <c r="N4" s="2984">
        <v>0</v>
      </c>
      <c r="O4" s="2985">
        <v>0</v>
      </c>
      <c r="P4" s="2984"/>
      <c r="Q4" s="2984">
        <v>1346119.08</v>
      </c>
      <c r="R4" s="2984"/>
      <c r="S4" s="2984"/>
      <c r="T4" s="2984"/>
      <c r="U4" s="2984"/>
      <c r="V4" s="2982">
        <v>2325114.7999999998</v>
      </c>
      <c r="W4" s="2982"/>
      <c r="X4" s="2986">
        <v>0</v>
      </c>
      <c r="Y4" s="2987">
        <v>0</v>
      </c>
      <c r="Z4" s="2988">
        <v>2790137.76</v>
      </c>
      <c r="AA4" s="2982">
        <v>0</v>
      </c>
      <c r="AB4" s="2982">
        <v>0</v>
      </c>
      <c r="AC4" s="2982">
        <v>2790137.76</v>
      </c>
      <c r="AD4" s="2982">
        <v>2790137.76</v>
      </c>
      <c r="AE4" s="2988">
        <v>6461371.6399999997</v>
      </c>
      <c r="AF4" s="2983">
        <v>0</v>
      </c>
      <c r="AG4" s="2983">
        <v>2790137.76</v>
      </c>
      <c r="AH4" s="2983">
        <v>-2790137.76</v>
      </c>
      <c r="AI4" s="2989"/>
      <c r="AJ4" s="2990"/>
      <c r="AK4" s="2994">
        <v>2790137.76</v>
      </c>
      <c r="AN4" s="2986">
        <v>2790137.76</v>
      </c>
    </row>
    <row r="5" spans="1:40" s="2992" customFormat="1" ht="22.5" hidden="1" customHeight="1">
      <c r="A5" s="2978" t="s">
        <v>3101</v>
      </c>
      <c r="B5" s="2979" t="s">
        <v>3102</v>
      </c>
      <c r="C5" s="2980" t="s">
        <v>1371</v>
      </c>
      <c r="D5" s="2981">
        <v>41852</v>
      </c>
      <c r="E5" s="2981">
        <v>45504</v>
      </c>
      <c r="F5" s="2982">
        <v>1655.1</v>
      </c>
      <c r="G5" s="2982">
        <v>604111.5</v>
      </c>
      <c r="H5" s="2982">
        <v>365</v>
      </c>
      <c r="I5" s="3003">
        <f t="shared" si="0"/>
        <v>7249338</v>
      </c>
      <c r="J5" s="2982">
        <v>0</v>
      </c>
      <c r="K5" s="2983">
        <v>0</v>
      </c>
      <c r="L5" s="2982"/>
      <c r="M5" s="2983">
        <v>0</v>
      </c>
      <c r="N5" s="2984">
        <v>0</v>
      </c>
      <c r="O5" s="2985">
        <v>3624669</v>
      </c>
      <c r="P5" s="2984"/>
      <c r="Q5" s="2984"/>
      <c r="R5" s="2984"/>
      <c r="S5" s="2984"/>
      <c r="T5" s="2984"/>
      <c r="U5" s="2984">
        <v>3624669</v>
      </c>
      <c r="V5" s="2982"/>
      <c r="W5" s="2982"/>
      <c r="X5" s="2986">
        <v>0</v>
      </c>
      <c r="Y5" s="2987">
        <v>0</v>
      </c>
      <c r="Z5" s="2988">
        <v>0</v>
      </c>
      <c r="AA5" s="2982">
        <v>0</v>
      </c>
      <c r="AB5" s="2982">
        <v>0</v>
      </c>
      <c r="AC5" s="2982">
        <v>0</v>
      </c>
      <c r="AD5" s="2982">
        <v>0</v>
      </c>
      <c r="AE5" s="2988">
        <v>7249338</v>
      </c>
      <c r="AF5" s="2983">
        <v>0</v>
      </c>
      <c r="AG5" s="2983">
        <v>0</v>
      </c>
      <c r="AH5" s="2983">
        <v>0</v>
      </c>
      <c r="AI5" s="2989"/>
      <c r="AJ5" s="2990"/>
      <c r="AK5" s="2991"/>
      <c r="AN5" s="2986">
        <v>0</v>
      </c>
    </row>
    <row r="6" spans="1:40" s="2992" customFormat="1" ht="22.5" hidden="1" customHeight="1">
      <c r="A6" s="2993" t="s">
        <v>3103</v>
      </c>
      <c r="B6" s="2979" t="s">
        <v>3104</v>
      </c>
      <c r="C6" s="2980" t="s">
        <v>1371</v>
      </c>
      <c r="D6" s="2981">
        <v>40369</v>
      </c>
      <c r="E6" s="2981">
        <v>44841</v>
      </c>
      <c r="F6" s="2982">
        <v>1332.85</v>
      </c>
      <c r="G6" s="2982">
        <v>608112.81000000006</v>
      </c>
      <c r="H6" s="2982">
        <v>456.24999812432014</v>
      </c>
      <c r="I6" s="3003">
        <f t="shared" si="0"/>
        <v>7297353.7200000007</v>
      </c>
      <c r="J6" s="2982">
        <v>3296045.81</v>
      </c>
      <c r="K6" s="2983">
        <v>0</v>
      </c>
      <c r="L6" s="2982"/>
      <c r="M6" s="2983">
        <v>1593329.94</v>
      </c>
      <c r="N6" s="2984">
        <v>-1593329.94</v>
      </c>
      <c r="O6" s="2985">
        <v>0</v>
      </c>
      <c r="P6" s="2984"/>
      <c r="Q6" s="2984"/>
      <c r="R6" s="2984">
        <v>3648676.86</v>
      </c>
      <c r="S6" s="2984">
        <v>0</v>
      </c>
      <c r="T6" s="2984"/>
      <c r="U6" s="2984"/>
      <c r="V6" s="2982"/>
      <c r="W6" s="2982">
        <v>4670732.88</v>
      </c>
      <c r="X6" s="2986">
        <v>0</v>
      </c>
      <c r="Y6" s="2987">
        <v>0</v>
      </c>
      <c r="Z6" s="2988">
        <v>0</v>
      </c>
      <c r="AA6" s="2982">
        <v>0</v>
      </c>
      <c r="AB6" s="2982">
        <v>0</v>
      </c>
      <c r="AC6" s="2982">
        <v>0</v>
      </c>
      <c r="AD6" s="2982">
        <v>0</v>
      </c>
      <c r="AE6" s="2988">
        <v>8319409.7400000002</v>
      </c>
      <c r="AF6" s="2983">
        <v>0</v>
      </c>
      <c r="AG6" s="2983">
        <v>1593329.94</v>
      </c>
      <c r="AH6" s="2983">
        <v>-1593329.94</v>
      </c>
      <c r="AI6" s="2989"/>
      <c r="AJ6" s="2990"/>
      <c r="AK6" s="2991"/>
      <c r="AN6" s="2986">
        <v>0</v>
      </c>
    </row>
    <row r="7" spans="1:40" s="2992" customFormat="1" ht="22.5" hidden="1" customHeight="1">
      <c r="A7" s="2978" t="s">
        <v>3105</v>
      </c>
      <c r="B7" s="2979" t="s">
        <v>3106</v>
      </c>
      <c r="C7" s="2980" t="s">
        <v>1371</v>
      </c>
      <c r="D7" s="2981">
        <v>39578</v>
      </c>
      <c r="E7" s="2981">
        <v>45055</v>
      </c>
      <c r="F7" s="2982">
        <v>2860.34</v>
      </c>
      <c r="G7" s="2982">
        <v>264755.90000000002</v>
      </c>
      <c r="H7" s="2982">
        <v>92.560989253025866</v>
      </c>
      <c r="I7" s="3003">
        <f t="shared" si="0"/>
        <v>3177070.8000000003</v>
      </c>
      <c r="J7" s="2982">
        <v>494189.8</v>
      </c>
      <c r="K7" s="2983">
        <v>0</v>
      </c>
      <c r="L7" s="2982">
        <v>264755.90000000002</v>
      </c>
      <c r="M7" s="2983">
        <v>0</v>
      </c>
      <c r="N7" s="2984">
        <v>264755.90000000002</v>
      </c>
      <c r="O7" s="2985">
        <v>264755.90000000002</v>
      </c>
      <c r="P7" s="2984">
        <v>264755.90000000002</v>
      </c>
      <c r="Q7" s="2984">
        <v>264755.90000000002</v>
      </c>
      <c r="R7" s="2984">
        <v>264755.90000000002</v>
      </c>
      <c r="S7" s="2984">
        <v>264755.90000000002</v>
      </c>
      <c r="T7" s="2984">
        <v>264755.90000000002</v>
      </c>
      <c r="U7" s="2984">
        <v>264755.90000000002</v>
      </c>
      <c r="V7" s="2982">
        <v>264755.90000000002</v>
      </c>
      <c r="W7" s="2982">
        <v>264755.90000000002</v>
      </c>
      <c r="X7" s="2986">
        <v>264755.90000000002</v>
      </c>
      <c r="Y7" s="2987">
        <v>264755.90000000002</v>
      </c>
      <c r="Z7" s="2982">
        <v>264755.90000000002</v>
      </c>
      <c r="AA7" s="2982">
        <v>0</v>
      </c>
      <c r="AB7" s="2982">
        <v>264755.90000000002</v>
      </c>
      <c r="AC7" s="2982">
        <v>0</v>
      </c>
      <c r="AD7" s="2982">
        <v>264755.90000000002</v>
      </c>
      <c r="AE7" s="2988">
        <v>3177070.7999999993</v>
      </c>
      <c r="AF7" s="2983">
        <v>0</v>
      </c>
      <c r="AG7" s="2983">
        <v>0</v>
      </c>
      <c r="AH7" s="2983">
        <v>0</v>
      </c>
      <c r="AI7" s="2989"/>
      <c r="AJ7" s="2990"/>
      <c r="AK7" s="2994">
        <v>264755.90000000002</v>
      </c>
      <c r="AL7" s="2995"/>
      <c r="AN7" s="2986">
        <v>264755.90000000002</v>
      </c>
    </row>
    <row r="8" spans="1:40" s="2992" customFormat="1" ht="22.5" hidden="1" customHeight="1">
      <c r="A8" s="2978" t="s">
        <v>3107</v>
      </c>
      <c r="B8" s="2979" t="s">
        <v>3108</v>
      </c>
      <c r="C8" s="2980" t="s">
        <v>1371</v>
      </c>
      <c r="D8" s="2981">
        <v>39578</v>
      </c>
      <c r="E8" s="2981">
        <v>45055</v>
      </c>
      <c r="F8" s="2982">
        <v>1906.9</v>
      </c>
      <c r="G8" s="2982">
        <v>176503.83</v>
      </c>
      <c r="H8" s="2982">
        <v>92.560611463632057</v>
      </c>
      <c r="I8" s="3003">
        <f t="shared" si="0"/>
        <v>2118045.96</v>
      </c>
      <c r="J8" s="2982">
        <v>329459.67</v>
      </c>
      <c r="K8" s="2983">
        <v>0</v>
      </c>
      <c r="L8" s="2982">
        <v>176503.83</v>
      </c>
      <c r="M8" s="2983">
        <v>0</v>
      </c>
      <c r="N8" s="2984">
        <v>176503.83</v>
      </c>
      <c r="O8" s="2985">
        <v>176503.83</v>
      </c>
      <c r="P8" s="2984">
        <v>176503.83</v>
      </c>
      <c r="Q8" s="2984">
        <v>176503.83</v>
      </c>
      <c r="R8" s="2984">
        <v>176503.83</v>
      </c>
      <c r="S8" s="2984">
        <v>176503.83</v>
      </c>
      <c r="T8" s="2984">
        <v>176503.83</v>
      </c>
      <c r="U8" s="2984">
        <v>176503.83000000002</v>
      </c>
      <c r="V8" s="2982">
        <v>176503.83000000002</v>
      </c>
      <c r="W8" s="2982">
        <v>176503.83000000002</v>
      </c>
      <c r="X8" s="2986">
        <v>176503.83000000002</v>
      </c>
      <c r="Y8" s="2987">
        <v>176503.83</v>
      </c>
      <c r="Z8" s="2982">
        <v>176503.83</v>
      </c>
      <c r="AA8" s="2982">
        <v>0</v>
      </c>
      <c r="AB8" s="2982">
        <v>176503.83</v>
      </c>
      <c r="AC8" s="2982">
        <v>0</v>
      </c>
      <c r="AD8" s="2982">
        <v>176503.83</v>
      </c>
      <c r="AE8" s="2988">
        <v>2118045.9600000004</v>
      </c>
      <c r="AF8" s="2983">
        <v>0</v>
      </c>
      <c r="AG8" s="2983">
        <v>0</v>
      </c>
      <c r="AH8" s="2983">
        <v>0</v>
      </c>
      <c r="AI8" s="2989"/>
      <c r="AJ8" s="2990"/>
      <c r="AK8" s="2994">
        <v>176503.83</v>
      </c>
      <c r="AL8" s="2995"/>
      <c r="AN8" s="2986">
        <v>176503.83</v>
      </c>
    </row>
    <row r="9" spans="1:40" hidden="1">
      <c r="F9" s="3002">
        <f>SUM(F3:F8)</f>
        <v>9696.25</v>
      </c>
      <c r="I9" s="3004">
        <f>SUM(I3:I8)</f>
        <v>25902083.970000003</v>
      </c>
    </row>
    <row r="10" spans="1:40">
      <c r="I10" s="3004"/>
    </row>
    <row r="11" spans="1:40" ht="13.5">
      <c r="B11" s="3172" t="s">
        <v>3036</v>
      </c>
      <c r="C11" s="2966" t="s">
        <v>3037</v>
      </c>
      <c r="D11" s="2967">
        <v>4137.24</v>
      </c>
      <c r="E11" s="2996">
        <v>9</v>
      </c>
      <c r="F11" s="2996">
        <v>1</v>
      </c>
    </row>
    <row r="12" spans="1:40" ht="13.5">
      <c r="B12" s="3172"/>
      <c r="C12" s="2966" t="s">
        <v>3038</v>
      </c>
      <c r="D12" s="2967">
        <v>6804.7</v>
      </c>
      <c r="E12" s="2996">
        <f>E11*F12</f>
        <v>7.2</v>
      </c>
      <c r="F12" s="2996">
        <v>0.8</v>
      </c>
      <c r="H12" s="2996" t="s">
        <v>3137</v>
      </c>
    </row>
    <row r="13" spans="1:40">
      <c r="D13" s="2996">
        <f>SUM(D11:D12)</f>
        <v>10941.939999999999</v>
      </c>
      <c r="H13" s="2996">
        <f>D13</f>
        <v>10941.939999999999</v>
      </c>
      <c r="J13" s="3002"/>
    </row>
    <row r="14" spans="1:40">
      <c r="E14" s="2996">
        <f>ROUND((E11*D11+E12*D12)/D13,2)</f>
        <v>7.88</v>
      </c>
    </row>
    <row r="15" spans="1:40">
      <c r="H15" s="2996" t="s">
        <v>3138</v>
      </c>
    </row>
    <row r="16" spans="1:40">
      <c r="H16" s="2996">
        <v>5.26</v>
      </c>
    </row>
    <row r="18" spans="2:10" ht="13.5">
      <c r="B18" s="2964" t="s">
        <v>3095</v>
      </c>
      <c r="C18"/>
      <c r="D18" s="2977">
        <v>0.4</v>
      </c>
      <c r="E18" s="2976">
        <v>0.39379999999999998</v>
      </c>
      <c r="F18" s="2976">
        <v>0.39369999999999999</v>
      </c>
      <c r="G18" s="2976"/>
      <c r="H18"/>
    </row>
    <row r="19" spans="2:10" ht="13.5">
      <c r="B19"/>
      <c r="C19"/>
      <c r="D19">
        <v>2015</v>
      </c>
      <c r="E19">
        <v>2016</v>
      </c>
      <c r="F19">
        <v>2017</v>
      </c>
      <c r="G19">
        <v>2018</v>
      </c>
      <c r="H19"/>
      <c r="I19"/>
    </row>
    <row r="20" spans="2:10" ht="13.5">
      <c r="B20" s="2964" t="s">
        <v>3088</v>
      </c>
      <c r="C20" s="2964" t="s">
        <v>3094</v>
      </c>
      <c r="D20">
        <v>13140</v>
      </c>
      <c r="E20">
        <v>13764</v>
      </c>
      <c r="F20">
        <v>14520</v>
      </c>
      <c r="G20"/>
      <c r="H20" s="2976">
        <f>ROUND(E20/D20-1,4)</f>
        <v>4.7500000000000001E-2</v>
      </c>
      <c r="I20" s="2976">
        <f>ROUND(F20/E20-1,4)</f>
        <v>5.4899999999999997E-2</v>
      </c>
    </row>
    <row r="21" spans="2:10" ht="13.5">
      <c r="B21" s="2964"/>
      <c r="C21" s="2964" t="s">
        <v>3091</v>
      </c>
      <c r="D21">
        <f>D22-D20</f>
        <v>9243</v>
      </c>
      <c r="E21">
        <f>E22-E20</f>
        <v>8542</v>
      </c>
      <c r="F21">
        <f>F22-F20</f>
        <v>9057</v>
      </c>
      <c r="G21"/>
      <c r="H21"/>
      <c r="I21"/>
    </row>
    <row r="22" spans="2:10" ht="13.5">
      <c r="B22"/>
      <c r="C22" s="2964" t="s">
        <v>3092</v>
      </c>
      <c r="D22" s="3005">
        <v>22383</v>
      </c>
      <c r="E22" s="3005">
        <v>22306</v>
      </c>
      <c r="F22" s="3005">
        <v>23577</v>
      </c>
      <c r="G22" s="3005">
        <v>25309</v>
      </c>
      <c r="H22" s="2976">
        <f>ROUND(E22/D22-1,4)</f>
        <v>-3.3999999999999998E-3</v>
      </c>
      <c r="I22" s="2976">
        <f>ROUND(F22/E22-1,4)</f>
        <v>5.7000000000000002E-2</v>
      </c>
      <c r="J22" s="2976">
        <f>ROUND(G22/F22-1,4)</f>
        <v>7.3499999999999996E-2</v>
      </c>
    </row>
    <row r="23" spans="2:10" ht="13.5">
      <c r="B23"/>
      <c r="C23" s="2964" t="s">
        <v>3093</v>
      </c>
      <c r="D23" s="2976">
        <f>ROUND(D21/D20,4)</f>
        <v>0.70340000000000003</v>
      </c>
      <c r="E23" s="2976">
        <f>ROUND(E21/E20,4)</f>
        <v>0.62060000000000004</v>
      </c>
      <c r="F23" s="2976">
        <f>ROUND(F21/F20,4)</f>
        <v>0.62380000000000002</v>
      </c>
      <c r="G23" s="2976"/>
      <c r="H23"/>
      <c r="I23"/>
    </row>
    <row r="24" spans="2:10" ht="13.5">
      <c r="B24" s="2964" t="s">
        <v>3089</v>
      </c>
      <c r="C24"/>
      <c r="D24">
        <v>7923</v>
      </c>
      <c r="E24">
        <v>7820</v>
      </c>
      <c r="F24">
        <v>7421</v>
      </c>
      <c r="G24">
        <v>9905</v>
      </c>
      <c r="H24"/>
      <c r="I24"/>
    </row>
    <row r="25" spans="2:10" ht="13.5">
      <c r="B25"/>
      <c r="C25"/>
      <c r="D25"/>
      <c r="E25"/>
      <c r="F25"/>
      <c r="G25"/>
      <c r="H25"/>
      <c r="I25"/>
    </row>
    <row r="26" spans="2:10" ht="13.5">
      <c r="B26" s="2964" t="s">
        <v>3090</v>
      </c>
      <c r="C26"/>
      <c r="D26" s="2976">
        <f>ROUND(D24/D22,2)</f>
        <v>0.35</v>
      </c>
      <c r="E26" s="2976">
        <f t="shared" ref="E26:F26" si="1">ROUND(E24/E22,2)</f>
        <v>0.35</v>
      </c>
      <c r="F26" s="2976">
        <f t="shared" si="1"/>
        <v>0.31</v>
      </c>
      <c r="G26" s="2976">
        <f>ROUND(G24/G22,2)</f>
        <v>0.39</v>
      </c>
      <c r="H26"/>
    </row>
    <row r="27" spans="2:10">
      <c r="G27" s="2996">
        <v>22000</v>
      </c>
    </row>
    <row r="28" spans="2:10">
      <c r="G28" s="2996">
        <f>G27*0.2</f>
        <v>4400</v>
      </c>
    </row>
    <row r="29" spans="2:10">
      <c r="G29" s="2996">
        <f>G27*0.15</f>
        <v>3300</v>
      </c>
    </row>
    <row r="30" spans="2:10">
      <c r="G30" s="2996">
        <f>G27-G28-G29</f>
        <v>14300</v>
      </c>
    </row>
    <row r="31" spans="2:10">
      <c r="G31" s="2996">
        <f>G30/0.06</f>
        <v>238333.33333333334</v>
      </c>
    </row>
    <row r="32" spans="2:10" ht="12" thickBot="1"/>
    <row r="33" spans="1:11">
      <c r="A33" s="3414" t="s">
        <v>3426</v>
      </c>
      <c r="B33" s="3416" t="s">
        <v>3427</v>
      </c>
      <c r="C33" s="3418" t="s">
        <v>3110</v>
      </c>
      <c r="D33" s="3416" t="s">
        <v>3428</v>
      </c>
      <c r="E33" s="3418" t="s">
        <v>3111</v>
      </c>
      <c r="F33" s="3420" t="s">
        <v>3112</v>
      </c>
      <c r="G33" s="3420" t="s">
        <v>3113</v>
      </c>
      <c r="H33" s="3422" t="s">
        <v>3114</v>
      </c>
      <c r="I33" s="3424" t="s">
        <v>3429</v>
      </c>
      <c r="J33" s="3426" t="s">
        <v>3115</v>
      </c>
      <c r="K33" s="3418" t="s">
        <v>3430</v>
      </c>
    </row>
    <row r="34" spans="1:11">
      <c r="A34" s="3415"/>
      <c r="B34" s="3417"/>
      <c r="C34" s="3419"/>
      <c r="D34" s="3417"/>
      <c r="E34" s="3419"/>
      <c r="F34" s="3421"/>
      <c r="G34" s="3421"/>
      <c r="H34" s="3423"/>
      <c r="I34" s="3425"/>
      <c r="J34" s="3427"/>
      <c r="K34" s="3419"/>
    </row>
    <row r="35" spans="1:11" ht="45">
      <c r="A35" s="3077" t="s">
        <v>3431</v>
      </c>
      <c r="B35" s="3036" t="s">
        <v>3432</v>
      </c>
      <c r="C35" s="3037" t="s">
        <v>3433</v>
      </c>
      <c r="D35" s="3037" t="s">
        <v>3434</v>
      </c>
      <c r="E35" s="3037" t="s">
        <v>1371</v>
      </c>
      <c r="F35" s="3038">
        <v>42170</v>
      </c>
      <c r="G35" s="3038">
        <v>44361</v>
      </c>
      <c r="H35" s="3039">
        <v>1508.58</v>
      </c>
      <c r="I35" s="3040">
        <f t="shared" ref="I35:I48" si="2">J35/H35</f>
        <v>299.99828315369422</v>
      </c>
      <c r="J35" s="3040">
        <v>452571.41</v>
      </c>
      <c r="K35" s="3034">
        <f>1357714.23-1357714.23+1357714.23</f>
        <v>1357714.23</v>
      </c>
    </row>
    <row r="36" spans="1:11" ht="33.75">
      <c r="A36" s="3077" t="s">
        <v>3431</v>
      </c>
      <c r="B36" s="3036" t="s">
        <v>3435</v>
      </c>
      <c r="C36" s="3037" t="s">
        <v>3436</v>
      </c>
      <c r="D36" s="3037" t="s">
        <v>3434</v>
      </c>
      <c r="E36" s="3037" t="s">
        <v>1371</v>
      </c>
      <c r="F36" s="3038">
        <v>42186</v>
      </c>
      <c r="G36" s="3038">
        <v>43646</v>
      </c>
      <c r="H36" s="3039">
        <v>892.19</v>
      </c>
      <c r="I36" s="3040">
        <f t="shared" si="2"/>
        <v>44.833499590894313</v>
      </c>
      <c r="J36" s="3040">
        <v>40000</v>
      </c>
      <c r="K36" s="3034">
        <v>0</v>
      </c>
    </row>
    <row r="37" spans="1:11" ht="45">
      <c r="A37" s="3077" t="s">
        <v>3431</v>
      </c>
      <c r="B37" s="3041" t="s">
        <v>3437</v>
      </c>
      <c r="C37" s="3042" t="s">
        <v>3438</v>
      </c>
      <c r="D37" s="3037" t="s">
        <v>3434</v>
      </c>
      <c r="E37" s="3037" t="s">
        <v>1371</v>
      </c>
      <c r="F37" s="3043">
        <v>43252</v>
      </c>
      <c r="G37" s="3044">
        <v>45077</v>
      </c>
      <c r="H37" s="3039">
        <v>403</v>
      </c>
      <c r="I37" s="3040">
        <f t="shared" si="2"/>
        <v>288.95833746898262</v>
      </c>
      <c r="J37" s="3040">
        <v>116450.21</v>
      </c>
      <c r="K37" s="3034">
        <v>397156.5</v>
      </c>
    </row>
    <row r="38" spans="1:11" ht="45">
      <c r="A38" s="3077" t="s">
        <v>3431</v>
      </c>
      <c r="B38" s="3041" t="s">
        <v>3439</v>
      </c>
      <c r="C38" s="3042" t="s">
        <v>3440</v>
      </c>
      <c r="D38" s="3037" t="s">
        <v>3434</v>
      </c>
      <c r="E38" s="3037" t="s">
        <v>1371</v>
      </c>
      <c r="F38" s="3043">
        <v>43313</v>
      </c>
      <c r="G38" s="3044">
        <v>45077</v>
      </c>
      <c r="H38" s="3039">
        <v>159.84</v>
      </c>
      <c r="I38" s="3040">
        <f t="shared" si="2"/>
        <v>288.95833333333331</v>
      </c>
      <c r="J38" s="3040">
        <v>46187.1</v>
      </c>
      <c r="K38" s="3034">
        <v>157522.32</v>
      </c>
    </row>
    <row r="39" spans="1:11" ht="45">
      <c r="A39" s="3077" t="s">
        <v>3431</v>
      </c>
      <c r="B39" s="3037" t="s">
        <v>3103</v>
      </c>
      <c r="C39" s="3037" t="s">
        <v>3104</v>
      </c>
      <c r="D39" s="3037" t="s">
        <v>3434</v>
      </c>
      <c r="E39" s="3037" t="s">
        <v>1371</v>
      </c>
      <c r="F39" s="3038">
        <v>40369</v>
      </c>
      <c r="G39" s="3038">
        <v>44111</v>
      </c>
      <c r="H39" s="3039">
        <v>997.78</v>
      </c>
      <c r="I39" s="3040">
        <f t="shared" si="2"/>
        <v>514.04166249072944</v>
      </c>
      <c r="J39" s="3040">
        <v>512900.49</v>
      </c>
      <c r="K39" s="3034">
        <v>1593329.94</v>
      </c>
    </row>
    <row r="40" spans="1:11" ht="33.75">
      <c r="A40" s="3077" t="s">
        <v>3431</v>
      </c>
      <c r="B40" s="3036" t="s">
        <v>3099</v>
      </c>
      <c r="C40" s="3037" t="s">
        <v>3100</v>
      </c>
      <c r="D40" s="3037" t="s">
        <v>3434</v>
      </c>
      <c r="E40" s="3037" t="s">
        <v>1371</v>
      </c>
      <c r="F40" s="3038">
        <v>40000</v>
      </c>
      <c r="G40" s="3038">
        <v>44747</v>
      </c>
      <c r="H40" s="3039">
        <v>894.06</v>
      </c>
      <c r="I40" s="3040">
        <f t="shared" si="2"/>
        <v>520.12500279623293</v>
      </c>
      <c r="J40" s="3040">
        <v>465022.96</v>
      </c>
      <c r="K40" s="3034">
        <v>0</v>
      </c>
    </row>
    <row r="41" spans="1:11" ht="45">
      <c r="A41" s="3077" t="s">
        <v>3431</v>
      </c>
      <c r="B41" s="3036" t="s">
        <v>3101</v>
      </c>
      <c r="C41" s="3037" t="s">
        <v>3102</v>
      </c>
      <c r="D41" s="3037" t="s">
        <v>3434</v>
      </c>
      <c r="E41" s="3037" t="s">
        <v>1371</v>
      </c>
      <c r="F41" s="3038">
        <v>41852</v>
      </c>
      <c r="G41" s="3079">
        <v>45504</v>
      </c>
      <c r="H41" s="3039">
        <v>1655.1</v>
      </c>
      <c r="I41" s="3040">
        <f t="shared" si="2"/>
        <v>365</v>
      </c>
      <c r="J41" s="3040">
        <v>604111.5</v>
      </c>
      <c r="K41" s="3034">
        <v>0</v>
      </c>
    </row>
    <row r="42" spans="1:11" ht="33.75">
      <c r="A42" s="3077" t="s">
        <v>3431</v>
      </c>
      <c r="B42" s="3036" t="s">
        <v>3441</v>
      </c>
      <c r="C42" s="3037" t="s">
        <v>3106</v>
      </c>
      <c r="D42" s="3037" t="s">
        <v>3434</v>
      </c>
      <c r="E42" s="3037" t="s">
        <v>1371</v>
      </c>
      <c r="F42" s="3038">
        <v>39578</v>
      </c>
      <c r="G42" s="3038">
        <v>45055</v>
      </c>
      <c r="H42" s="3039">
        <v>2860.34</v>
      </c>
      <c r="I42" s="3040">
        <f t="shared" si="2"/>
        <v>92.560989253025866</v>
      </c>
      <c r="J42" s="3040">
        <v>264755.90000000002</v>
      </c>
      <c r="K42" s="3034">
        <v>494189.8</v>
      </c>
    </row>
    <row r="43" spans="1:11" ht="33.75">
      <c r="A43" s="3077" t="s">
        <v>3431</v>
      </c>
      <c r="B43" s="3036" t="s">
        <v>3107</v>
      </c>
      <c r="C43" s="3037" t="s">
        <v>3108</v>
      </c>
      <c r="D43" s="3037" t="s">
        <v>3434</v>
      </c>
      <c r="E43" s="3037" t="s">
        <v>1371</v>
      </c>
      <c r="F43" s="3038">
        <v>39578</v>
      </c>
      <c r="G43" s="3038">
        <v>45055</v>
      </c>
      <c r="H43" s="3039">
        <v>1906.9</v>
      </c>
      <c r="I43" s="3040">
        <f t="shared" si="2"/>
        <v>92.560611463632057</v>
      </c>
      <c r="J43" s="3040">
        <v>176503.83</v>
      </c>
      <c r="K43" s="3034">
        <v>329459.67</v>
      </c>
    </row>
    <row r="44" spans="1:11" ht="33.75">
      <c r="A44" s="3077" t="s">
        <v>3431</v>
      </c>
      <c r="B44" s="3036" t="s">
        <v>3442</v>
      </c>
      <c r="C44" s="3037" t="s">
        <v>3443</v>
      </c>
      <c r="D44" s="3037" t="s">
        <v>3434</v>
      </c>
      <c r="E44" s="3037" t="s">
        <v>1371</v>
      </c>
      <c r="F44" s="3038">
        <v>43355</v>
      </c>
      <c r="G44" s="3038">
        <v>44450</v>
      </c>
      <c r="H44" s="3039">
        <v>194.97</v>
      </c>
      <c r="I44" s="3040">
        <f t="shared" si="2"/>
        <v>273.75001282248553</v>
      </c>
      <c r="J44" s="3040">
        <v>53373.04</v>
      </c>
      <c r="K44" s="3034">
        <v>177910.13</v>
      </c>
    </row>
    <row r="45" spans="1:11" ht="24" customHeight="1">
      <c r="A45" s="3077" t="s">
        <v>3431</v>
      </c>
      <c r="B45" s="3078" t="s">
        <v>3444</v>
      </c>
      <c r="C45" s="3037" t="s">
        <v>3451</v>
      </c>
      <c r="D45" s="3037" t="s">
        <v>3434</v>
      </c>
      <c r="E45" s="3037" t="s">
        <v>1371</v>
      </c>
      <c r="F45" s="3043">
        <v>43283</v>
      </c>
      <c r="G45" s="3038">
        <v>44743</v>
      </c>
      <c r="H45" s="3039">
        <v>322</v>
      </c>
      <c r="I45" s="3040">
        <f t="shared" si="2"/>
        <v>273.75</v>
      </c>
      <c r="J45" s="3040">
        <v>88147.5</v>
      </c>
      <c r="K45" s="3035">
        <v>308516.25</v>
      </c>
    </row>
    <row r="46" spans="1:11" ht="33.75">
      <c r="A46" s="3077" t="s">
        <v>3431</v>
      </c>
      <c r="B46" s="3036" t="s">
        <v>3445</v>
      </c>
      <c r="C46" s="3037" t="s">
        <v>3446</v>
      </c>
      <c r="D46" s="3037" t="s">
        <v>3434</v>
      </c>
      <c r="E46" s="3037" t="s">
        <v>1371</v>
      </c>
      <c r="F46" s="3038">
        <v>43344</v>
      </c>
      <c r="G46" s="3038">
        <v>44439</v>
      </c>
      <c r="H46" s="3039">
        <v>235</v>
      </c>
      <c r="I46" s="3040">
        <f t="shared" si="2"/>
        <v>273.75</v>
      </c>
      <c r="J46" s="3040">
        <v>64331.25</v>
      </c>
      <c r="K46" s="3034"/>
    </row>
    <row r="47" spans="1:11" ht="33.75">
      <c r="A47" s="3077" t="s">
        <v>3431</v>
      </c>
      <c r="B47" s="3041" t="s">
        <v>3447</v>
      </c>
      <c r="C47" s="3042" t="s">
        <v>3391</v>
      </c>
      <c r="D47" s="3037" t="s">
        <v>3434</v>
      </c>
      <c r="E47" s="3037" t="s">
        <v>1371</v>
      </c>
      <c r="F47" s="3043">
        <v>43252</v>
      </c>
      <c r="G47" s="3044">
        <v>44347</v>
      </c>
      <c r="H47" s="3039">
        <v>218</v>
      </c>
      <c r="I47" s="3040">
        <f t="shared" si="2"/>
        <v>273.75</v>
      </c>
      <c r="J47" s="3040">
        <v>59677.5</v>
      </c>
      <c r="K47" s="3034">
        <f>198925</f>
        <v>198925</v>
      </c>
    </row>
    <row r="48" spans="1:11" ht="33.75">
      <c r="A48" s="3077" t="s">
        <v>3431</v>
      </c>
      <c r="B48" s="3036" t="s">
        <v>3448</v>
      </c>
      <c r="C48" s="3037" t="s">
        <v>3391</v>
      </c>
      <c r="D48" s="3037" t="s">
        <v>3434</v>
      </c>
      <c r="E48" s="3037" t="s">
        <v>1371</v>
      </c>
      <c r="F48" s="3038">
        <v>43313</v>
      </c>
      <c r="G48" s="3038">
        <v>43982</v>
      </c>
      <c r="H48" s="3039">
        <v>85.16</v>
      </c>
      <c r="I48" s="3040">
        <f t="shared" si="2"/>
        <v>304.16662752465948</v>
      </c>
      <c r="J48" s="3040">
        <v>25902.83</v>
      </c>
      <c r="K48" s="3034">
        <v>77708.5</v>
      </c>
    </row>
    <row r="49" spans="1:11" ht="13.5">
      <c r="A49" s="1634"/>
      <c r="B49" s="1634"/>
      <c r="C49" s="1634"/>
      <c r="D49" s="1634"/>
      <c r="E49" s="1634"/>
      <c r="F49" s="1634"/>
      <c r="G49" s="1634"/>
      <c r="H49" s="3076">
        <f>SUM(H35:H48)</f>
        <v>12332.92</v>
      </c>
      <c r="I49" s="3076"/>
      <c r="J49" s="3076">
        <f>SUM(J35:J48)</f>
        <v>2969935.52</v>
      </c>
      <c r="K49" s="3076">
        <f>SUM(K35:K48)</f>
        <v>5092432.34</v>
      </c>
    </row>
    <row r="51" spans="1:11">
      <c r="I51" s="2996" t="s">
        <v>3449</v>
      </c>
      <c r="K51" s="3002">
        <f>K49/10000</f>
        <v>509.24323399999997</v>
      </c>
    </row>
    <row r="52" spans="1:11">
      <c r="I52" s="3002">
        <f>ROUND(J49*12/H49/365,2)</f>
        <v>7.92</v>
      </c>
    </row>
  </sheetData>
  <mergeCells count="27">
    <mergeCell ref="K33:K34"/>
    <mergeCell ref="F33:F34"/>
    <mergeCell ref="G33:G34"/>
    <mergeCell ref="H33:H34"/>
    <mergeCell ref="I33:I34"/>
    <mergeCell ref="J33:J34"/>
    <mergeCell ref="A33:A34"/>
    <mergeCell ref="B33:B34"/>
    <mergeCell ref="C33:C34"/>
    <mergeCell ref="D33:D34"/>
    <mergeCell ref="E33:E34"/>
    <mergeCell ref="A1:A2"/>
    <mergeCell ref="AI1:AI2"/>
    <mergeCell ref="B11:B12"/>
    <mergeCell ref="G1:G2"/>
    <mergeCell ref="H1:H2"/>
    <mergeCell ref="J1:J2"/>
    <mergeCell ref="K1:N1"/>
    <mergeCell ref="O1:Z1"/>
    <mergeCell ref="AA1:AD1"/>
    <mergeCell ref="F1:F2"/>
    <mergeCell ref="B1:B2"/>
    <mergeCell ref="C1:C2"/>
    <mergeCell ref="D1:D2"/>
    <mergeCell ref="E1:E2"/>
    <mergeCell ref="AE1:AE2"/>
    <mergeCell ref="AF1:AH1"/>
  </mergeCells>
  <phoneticPr fontId="144" type="noConversion"/>
  <conditionalFormatting sqref="B36">
    <cfRule type="duplicateValues" dxfId="134" priority="1"/>
  </conditionalFormatting>
  <conditionalFormatting sqref="B37:B38 B35 B40:B48">
    <cfRule type="duplicateValues" dxfId="133" priority="2"/>
  </conditionalFormatting>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1" zoomScale="80" zoomScaleNormal="80" zoomScaleSheetLayoutView="90" workbookViewId="0">
      <selection sqref="A1: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27</v>
      </c>
      <c r="D1" s="1818" t="s">
        <v>70</v>
      </c>
      <c r="E1" s="1819" t="s">
        <v>1381</v>
      </c>
      <c r="F1" s="1284">
        <f ca="1">J53</f>
        <v>33.01</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11379</v>
      </c>
      <c r="C2" s="1843" t="s">
        <v>1510</v>
      </c>
      <c r="D2" s="1843"/>
      <c r="E2" s="1844"/>
      <c r="F2" s="1845"/>
      <c r="G2" s="1846"/>
      <c r="H2" s="1838"/>
      <c r="I2" s="1838"/>
      <c r="J2" s="1838"/>
      <c r="K2" s="1839"/>
      <c r="L2" s="1838"/>
      <c r="M2" s="1838"/>
    </row>
    <row r="3" spans="1:37" ht="18" customHeight="1" thickBot="1">
      <c r="A3" s="1847" t="s">
        <v>1511</v>
      </c>
      <c r="B3" s="1848">
        <f ca="1">IF(ISERROR(B2*10000/F43),0,ROUND(B2*10000/F43,0))</f>
        <v>33885</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834</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833</v>
      </c>
      <c r="D6" s="164" t="s">
        <v>3017</v>
      </c>
      <c r="E6" s="347" t="s">
        <v>1399</v>
      </c>
      <c r="F6" s="348">
        <f ca="1">INDIRECT("'数据-取费表'!u"&amp;$G$1)</f>
        <v>8</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3358.16</v>
      </c>
      <c r="G7" s="1849"/>
      <c r="H7" s="349"/>
      <c r="I7" s="3396"/>
      <c r="J7" s="351"/>
      <c r="K7" s="352"/>
      <c r="L7" s="347" t="s">
        <v>1400</v>
      </c>
      <c r="M7" s="348">
        <f ca="1">F7</f>
        <v>3358.16</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1770</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1343</v>
      </c>
      <c r="D14" s="2954" t="s">
        <v>1412</v>
      </c>
      <c r="E14" s="2953"/>
      <c r="F14" s="364"/>
      <c r="G14" s="1849"/>
      <c r="H14" s="1202" t="s">
        <v>1035</v>
      </c>
      <c r="I14" s="347" t="s">
        <v>1413</v>
      </c>
      <c r="J14" s="24">
        <f ca="1">C29</f>
        <v>2159</v>
      </c>
      <c r="K14" s="2943"/>
      <c r="L14" s="980"/>
      <c r="M14" s="981"/>
    </row>
    <row r="15" spans="1:37" s="1856" customFormat="1" ht="18" customHeight="1" thickBot="1">
      <c r="A15" s="1202" t="s">
        <v>1036</v>
      </c>
      <c r="B15" s="347" t="s">
        <v>1414</v>
      </c>
      <c r="C15" s="24">
        <f ca="1">ROUND(C14*F15,0)</f>
        <v>67</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52</v>
      </c>
      <c r="K16" s="1337" t="s">
        <v>1419</v>
      </c>
      <c r="L16" s="2957"/>
      <c r="M16" s="1295"/>
    </row>
    <row r="17" spans="1:37" s="1856" customFormat="1" ht="18" customHeight="1">
      <c r="A17" s="1202" t="s">
        <v>1384</v>
      </c>
      <c r="B17" s="347" t="s">
        <v>1420</v>
      </c>
      <c r="C17" s="24">
        <f ca="1">ROUND(F17*(F43+INDIRECT("'数据-取费表'!S"&amp;$G$1))/10000,0)</f>
        <v>67</v>
      </c>
      <c r="D17" s="347" t="s">
        <v>1421</v>
      </c>
      <c r="E17" s="347" t="s">
        <v>1422</v>
      </c>
      <c r="F17" s="26">
        <f>'数据-取费表'!B35</f>
        <v>200</v>
      </c>
      <c r="G17" s="1852"/>
      <c r="H17" s="1202" t="s">
        <v>1035</v>
      </c>
      <c r="I17" s="347" t="s">
        <v>1423</v>
      </c>
      <c r="J17" s="24">
        <f ca="1">ROUND(IF(项目基本情况!B11="自然人",J5*M17,J18+J19+J20),1)</f>
        <v>19.3</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20</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1497</v>
      </c>
      <c r="D19" s="140" t="s">
        <v>1430</v>
      </c>
      <c r="E19" s="2941"/>
      <c r="F19" s="26"/>
      <c r="G19" s="1849"/>
      <c r="H19" s="1202" t="s">
        <v>1036</v>
      </c>
      <c r="I19" s="347" t="s">
        <v>1431</v>
      </c>
      <c r="J19" s="24">
        <f ca="1">IF(K19="按租金收入计税",ROUND(J5*M19,2),ROUND(C29*M19*0.7,2))</f>
        <v>18.14</v>
      </c>
      <c r="K19" s="1826" t="s">
        <v>1432</v>
      </c>
      <c r="L19" s="347" t="s">
        <v>1416</v>
      </c>
      <c r="M19" s="367">
        <f>IF(K19="按租金收入计税",'数据-取费表'!B51,'数据-取费表'!B50)</f>
        <v>1.2E-2</v>
      </c>
    </row>
    <row r="20" spans="1:37" s="1856" customFormat="1" ht="18" customHeight="1">
      <c r="A20" s="1202" t="s">
        <v>1039</v>
      </c>
      <c r="B20" s="347" t="s">
        <v>1433</v>
      </c>
      <c r="C20" s="24">
        <f ca="1">ROUND(C19*F20,0)</f>
        <v>45</v>
      </c>
      <c r="D20" s="369" t="s">
        <v>1434</v>
      </c>
      <c r="E20" s="347" t="s">
        <v>1416</v>
      </c>
      <c r="F20" s="367">
        <f>'数据-取费表'!B37</f>
        <v>0.03</v>
      </c>
      <c r="G20" s="1852"/>
      <c r="H20" s="1202" t="s">
        <v>1383</v>
      </c>
      <c r="I20" s="164" t="s">
        <v>1435</v>
      </c>
      <c r="J20" s="25">
        <f ca="1">ROUND(M20*M21/10000,2)</f>
        <v>1.1399999999999999</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378.87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32.4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-52</v>
      </c>
      <c r="K25" s="1345" t="s">
        <v>1458</v>
      </c>
      <c r="L25" s="1346"/>
      <c r="M25" s="1347"/>
    </row>
    <row r="26" spans="1:37">
      <c r="A26" s="1202" t="s">
        <v>1034</v>
      </c>
      <c r="B26" s="347" t="s">
        <v>1459</v>
      </c>
      <c r="C26" s="24">
        <f ca="1">ROUND((C19+C20)*F26,0)</f>
        <v>308</v>
      </c>
      <c r="D26" s="369" t="s">
        <v>1460</v>
      </c>
      <c r="E26" s="358" t="s">
        <v>1461</v>
      </c>
      <c r="F26" s="357">
        <f ca="1">INDIRECT("'数据-取费表'!q"&amp;$G$1)</f>
        <v>0.2</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2159</v>
      </c>
      <c r="D29" s="1342"/>
      <c r="E29" s="1340"/>
      <c r="F29" s="1343"/>
      <c r="G29" s="1852"/>
      <c r="H29" s="380" t="s">
        <v>1033</v>
      </c>
      <c r="I29" s="381" t="s">
        <v>1473</v>
      </c>
      <c r="J29" s="382">
        <f ca="1">ROUND(J26/(1+F40)^F41,0)</f>
        <v>0</v>
      </c>
      <c r="K29" s="383" t="s">
        <v>1474</v>
      </c>
      <c r="L29" s="384"/>
      <c r="M29" s="385">
        <f ca="1">INDIRECT("'数据-取费表'!k"&amp;$G$1)</f>
        <v>3358.16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198</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145.69999999999999</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44.48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100.08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1.1399999999999999</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378.87</v>
      </c>
      <c r="G35" s="1849"/>
      <c r="H35" s="745"/>
      <c r="I35" s="1858"/>
      <c r="J35" s="1859"/>
      <c r="K35" s="1860"/>
      <c r="L35" s="1857"/>
      <c r="M35" s="1857"/>
    </row>
    <row r="36" spans="1:18" ht="18" customHeight="1">
      <c r="A36" s="1352" t="s">
        <v>1039</v>
      </c>
      <c r="B36" s="347" t="s">
        <v>1443</v>
      </c>
      <c r="C36" s="24">
        <f ca="1">ROUND(C29*F36,1)</f>
        <v>32.4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2.7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16.7</v>
      </c>
      <c r="D38" s="1342" t="s">
        <v>1453</v>
      </c>
      <c r="E38" s="1340" t="s">
        <v>1416</v>
      </c>
      <c r="F38" s="1336">
        <f ca="1">INDIRECT("'数据-取费表'!Am"&amp;$G$1)</f>
        <v>0.02</v>
      </c>
      <c r="G38" s="1849"/>
      <c r="H38" s="1857"/>
      <c r="I38" s="1858"/>
      <c r="J38" s="1859"/>
      <c r="K38" s="1863"/>
      <c r="L38" s="1857"/>
      <c r="M38" s="1857"/>
    </row>
    <row r="39" spans="1:18" ht="24.6" customHeight="1" thickTop="1">
      <c r="A39" s="1329" t="s">
        <v>1031</v>
      </c>
      <c r="B39" s="1344" t="s">
        <v>1457</v>
      </c>
      <c r="C39" s="355">
        <f ca="1">C5-C30</f>
        <v>636</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11379</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33885</v>
      </c>
      <c r="D43" s="383" t="s">
        <v>1482</v>
      </c>
      <c r="E43" s="384" t="s">
        <v>1483</v>
      </c>
      <c r="F43" s="385">
        <f ca="1">INDIRECT("'数据-取费表'!k"&amp;$G$1)</f>
        <v>3358.16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-14160</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11379</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2159</v>
      </c>
      <c r="R49" s="1884" t="s">
        <v>1523</v>
      </c>
    </row>
    <row r="50" spans="1:18" s="1840" customFormat="1" ht="13.5" thickBot="1">
      <c r="A50" s="1196"/>
      <c r="B50" s="1199"/>
      <c r="C50" s="1368"/>
      <c r="D50" s="1173"/>
      <c r="E50" s="1278" t="s">
        <v>1400</v>
      </c>
      <c r="F50" s="1279">
        <f ca="1">F7</f>
        <v>3358.16</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7321</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11379</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1770</v>
      </c>
      <c r="D56" s="1912"/>
      <c r="E56" s="1913"/>
      <c r="F56" s="1905"/>
      <c r="I56" s="1914" t="s">
        <v>1548</v>
      </c>
      <c r="J56" s="1915" t="s">
        <v>3056</v>
      </c>
      <c r="K56" s="1885" t="s">
        <v>1549</v>
      </c>
      <c r="L56" s="1888" t="str">
        <f ca="1">IF(L48&lt;J51,"——",L48-J53)</f>
        <v>——</v>
      </c>
      <c r="O56" s="1882" t="s">
        <v>1040</v>
      </c>
      <c r="P56" s="1883" t="s">
        <v>1522</v>
      </c>
      <c r="Q56" s="1884">
        <f ca="1">C40+J29</f>
        <v>11379</v>
      </c>
      <c r="R56" s="1884" t="s">
        <v>1523</v>
      </c>
    </row>
    <row r="57" spans="1:18" s="1840" customFormat="1" ht="24.75" thickBot="1">
      <c r="A57" s="1916"/>
      <c r="B57" s="1170" t="s">
        <v>1472</v>
      </c>
      <c r="C57" s="282">
        <f ca="1">C29</f>
        <v>2159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218</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182.5</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181.36</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1.1399999999999999</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11379</v>
      </c>
      <c r="R62" s="1884" t="s">
        <v>1047</v>
      </c>
    </row>
    <row r="63" spans="1:18" s="1840" customFormat="1" ht="13.5" thickBot="1">
      <c r="A63" s="372"/>
      <c r="B63" s="1176"/>
      <c r="C63" s="29"/>
      <c r="D63" s="1186"/>
      <c r="E63" s="1170" t="s">
        <v>1441</v>
      </c>
      <c r="F63" s="348">
        <f t="shared" ca="1" si="0"/>
        <v>378.87</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32.4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2.7</v>
      </c>
      <c r="D65" s="1184" t="s">
        <v>1448</v>
      </c>
      <c r="E65" s="1170" t="s">
        <v>1416</v>
      </c>
      <c r="F65" s="376">
        <f t="shared" ca="1" si="0"/>
        <v>1.5E-3</v>
      </c>
      <c r="I65" s="1927" t="s">
        <v>1573</v>
      </c>
      <c r="J65" s="1928">
        <v>40</v>
      </c>
      <c r="K65" s="1928">
        <v>30</v>
      </c>
      <c r="L65" s="1928">
        <v>50</v>
      </c>
      <c r="M65" s="1930">
        <v>0.02</v>
      </c>
      <c r="O65" s="1882" t="s">
        <v>1040</v>
      </c>
      <c r="P65" s="1883" t="s">
        <v>1522</v>
      </c>
      <c r="Q65" s="1884">
        <f ca="1">C40+J29</f>
        <v>11379</v>
      </c>
      <c r="R65" s="1884" t="s">
        <v>1523</v>
      </c>
    </row>
    <row r="66" spans="1:18" s="1840" customFormat="1" ht="16.5" thickBot="1">
      <c r="A66" s="1202" t="s">
        <v>1498</v>
      </c>
      <c r="B66" s="1170" t="s">
        <v>1433</v>
      </c>
      <c r="C66" s="24">
        <f ca="1">ROUND(C48*F66,1)</f>
        <v>0</v>
      </c>
      <c r="D66" s="1184" t="s">
        <v>1453</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-218</v>
      </c>
      <c r="D67" s="1183" t="s">
        <v>1458</v>
      </c>
      <c r="E67" s="1188"/>
      <c r="F67" s="1189"/>
      <c r="O67" s="1892" t="s">
        <v>1042</v>
      </c>
      <c r="P67" s="1883" t="s">
        <v>1556</v>
      </c>
      <c r="Q67" s="1931">
        <f ca="1">L51</f>
        <v>7321</v>
      </c>
      <c r="R67" s="1884" t="s">
        <v>1576</v>
      </c>
    </row>
    <row r="68" spans="1:18" s="1840" customFormat="1" ht="16.5" thickBot="1">
      <c r="A68" s="1167" t="s">
        <v>1032</v>
      </c>
      <c r="B68" s="1168" t="s">
        <v>1479</v>
      </c>
      <c r="C68" s="346">
        <f ca="1">ROUND(C67*(1-((1+F70)/(1+F68))^F69)/(F68-F70),0)</f>
        <v>-2781</v>
      </c>
      <c r="D68" s="1185" t="s">
        <v>1463</v>
      </c>
      <c r="E68" s="1170" t="s">
        <v>1464</v>
      </c>
      <c r="F68" s="357">
        <f ca="1">F40</f>
        <v>7.0000000000000007E-2</v>
      </c>
      <c r="O68" s="1892" t="s">
        <v>1043</v>
      </c>
      <c r="P68" s="1932" t="s">
        <v>1577</v>
      </c>
      <c r="Q68" s="1884">
        <f ca="1">ROUND(Q69-Q70*Q71,0)</f>
        <v>486</v>
      </c>
      <c r="R68" s="1884" t="s">
        <v>1051</v>
      </c>
    </row>
    <row r="69" spans="1:18" s="1840" customFormat="1" ht="13.5" thickBot="1">
      <c r="A69" s="1171"/>
      <c r="B69" s="1172"/>
      <c r="C69" s="351"/>
      <c r="D69" s="1190" t="s">
        <v>1467</v>
      </c>
      <c r="E69" s="1170" t="s">
        <v>1468</v>
      </c>
      <c r="F69" s="379">
        <f ca="1">F41</f>
        <v>33.01</v>
      </c>
      <c r="O69" s="1892" t="s">
        <v>1048</v>
      </c>
      <c r="P69" s="1932" t="s">
        <v>1578</v>
      </c>
      <c r="Q69" s="1884">
        <f ca="1">C39</f>
        <v>636</v>
      </c>
      <c r="R69" s="1884" t="s">
        <v>1523</v>
      </c>
    </row>
    <row r="70" spans="1:18" s="1840" customFormat="1" ht="13.5" thickBot="1">
      <c r="A70" s="1174"/>
      <c r="B70" s="1175"/>
      <c r="C70" s="355"/>
      <c r="D70" s="1186"/>
      <c r="E70" s="1170" t="s">
        <v>1471</v>
      </c>
      <c r="F70" s="1276"/>
      <c r="O70" s="1892" t="s">
        <v>1049</v>
      </c>
      <c r="P70" s="1932" t="s">
        <v>1579</v>
      </c>
      <c r="Q70" s="1884">
        <f ca="1">C13</f>
        <v>1770</v>
      </c>
      <c r="R70" s="1884" t="s">
        <v>1523</v>
      </c>
    </row>
    <row r="71" spans="1:18" s="1840" customFormat="1" ht="13.5" thickBot="1">
      <c r="A71" s="1191" t="s">
        <v>1033</v>
      </c>
      <c r="B71" s="1192" t="s">
        <v>1481</v>
      </c>
      <c r="C71" s="382">
        <f ca="1">ROUND(C68*10000/F71,0)</f>
        <v>-8281</v>
      </c>
      <c r="D71" s="1193" t="s">
        <v>1482</v>
      </c>
      <c r="E71" s="1194" t="s">
        <v>1483</v>
      </c>
      <c r="F71" s="385">
        <f ca="1">F43</f>
        <v>3358.16</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150</v>
      </c>
      <c r="D75" s="1840"/>
      <c r="E75" s="1840"/>
      <c r="F75" s="1840"/>
      <c r="K75" s="1866"/>
      <c r="L75" s="1840"/>
      <c r="O75" s="1882" t="s">
        <v>1046</v>
      </c>
      <c r="P75" s="1883" t="s">
        <v>1543</v>
      </c>
      <c r="Q75" s="1884">
        <f ca="1">Q65+Q66</f>
        <v>11379</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0.76400000000000001</v>
      </c>
    </row>
    <row r="80" spans="1:18">
      <c r="B80" s="386" t="s">
        <v>1505</v>
      </c>
      <c r="C80" s="318">
        <f ca="1">ROUND(C75/C39,3)</f>
        <v>0.23599999999999999</v>
      </c>
    </row>
    <row r="81" spans="2:3">
      <c r="B81" s="314" t="s">
        <v>1506</v>
      </c>
      <c r="C81" s="282"/>
    </row>
    <row r="82" spans="2:3">
      <c r="B82" s="317" t="s">
        <v>1507</v>
      </c>
      <c r="C82" s="319">
        <f ca="1">1-C83</f>
        <v>0.84399999999999997</v>
      </c>
    </row>
    <row r="83" spans="2:3">
      <c r="B83" s="317" t="s">
        <v>1508</v>
      </c>
      <c r="C83" s="318">
        <f ca="1">ROUND(C13/C40,3)</f>
        <v>0.156</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5"/>
      <c r="C1" s="2548" t="s">
        <v>2414</v>
      </c>
      <c r="D1" s="242"/>
      <c r="E1" s="242"/>
      <c r="F1" s="242"/>
      <c r="G1" s="1379">
        <f>MATCH(B1,'数据-取费表'!A6:A16,0)+5</f>
        <v>11</v>
      </c>
      <c r="H1" s="1283" t="str">
        <f>IF(ISERROR(FIND("住宅",B1)),"非住宅","住宅")</f>
        <v>非住宅</v>
      </c>
    </row>
    <row r="2" spans="1:8" s="244" customFormat="1" ht="18" customHeight="1">
      <c r="A2" s="245" t="s">
        <v>2313</v>
      </c>
      <c r="B2" s="246">
        <f ca="1">ROUND(IF(D2="——",C52/10000,C52/10000-E2),0)</f>
        <v>101826</v>
      </c>
      <c r="C2" s="243" t="s">
        <v>2314</v>
      </c>
      <c r="D2" s="2542" t="s">
        <v>70</v>
      </c>
      <c r="E2" s="1440" t="e">
        <f ca="1">SUMIF(INDIRECT("'"&amp;G2&amp;"'"&amp;"!A:A"),"承租人权益价值",INDIRECT("'"&amp;G2&amp;"'"&amp;"!c:c"))</f>
        <v>#REF!</v>
      </c>
      <c r="F2" s="2543" t="s">
        <v>2314</v>
      </c>
      <c r="G2" s="2544"/>
    </row>
    <row r="3" spans="1:8" s="244" customFormat="1" ht="18" customHeight="1" thickBot="1">
      <c r="A3" s="247" t="s">
        <v>2315</v>
      </c>
      <c r="B3" s="248">
        <f ca="1">ROUND(B2*10000/(IF(B1="",'数据-汇总表'!E3,INDIRECT("'数据-取费表'!k"&amp;$G$1))),0)</f>
        <v>10305</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19762066</v>
      </c>
      <c r="D5" s="255" t="s">
        <v>2320</v>
      </c>
      <c r="E5" s="256" t="s">
        <v>2321</v>
      </c>
      <c r="F5" s="256" t="s">
        <v>2322</v>
      </c>
      <c r="G5" s="257"/>
    </row>
    <row r="6" spans="1:8" s="258" customFormat="1" ht="13.5" customHeight="1">
      <c r="A6" s="950" t="s">
        <v>2323</v>
      </c>
      <c r="B6" s="259" t="s">
        <v>2324</v>
      </c>
      <c r="C6" s="260"/>
      <c r="D6" s="261"/>
      <c r="E6" s="262"/>
      <c r="F6" s="262"/>
      <c r="G6" s="263"/>
    </row>
    <row r="7" spans="1:8" s="258" customFormat="1" ht="13.5" customHeight="1">
      <c r="A7" s="950" t="s">
        <v>2325</v>
      </c>
      <c r="B7" s="259" t="s">
        <v>2326</v>
      </c>
      <c r="C7" s="264">
        <f>ROUND(C6*F7,0)</f>
        <v>0</v>
      </c>
      <c r="D7" s="264"/>
      <c r="E7" s="262"/>
      <c r="F7" s="265">
        <f>'数据-取费表'!B48+'数据-取费表'!B49</f>
        <v>3.0499999999999999E-2</v>
      </c>
      <c r="G7" s="263"/>
    </row>
    <row r="8" spans="1:8" s="267" customFormat="1">
      <c r="A8" s="950" t="s">
        <v>2327</v>
      </c>
      <c r="B8" s="259" t="s">
        <v>2328</v>
      </c>
      <c r="C8" s="264">
        <f ca="1">IF(G8="已包含在土地购买价格中",0,C9+C10)</f>
        <v>19762066</v>
      </c>
      <c r="D8" s="266"/>
      <c r="E8" s="264"/>
      <c r="F8" s="265"/>
      <c r="G8" s="2545"/>
    </row>
    <row r="9" spans="1:8" s="258" customFormat="1" ht="13.5" customHeight="1">
      <c r="A9" s="951" t="s">
        <v>800</v>
      </c>
      <c r="B9" s="268" t="s">
        <v>2329</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2331</v>
      </c>
      <c r="C10" s="269">
        <f ca="1">ROUND(D10*E10,0)</f>
        <v>19762066</v>
      </c>
      <c r="D10" s="1033">
        <f ca="1">IF(B1="",'数据-汇总表'!E6,IF(INDIRECT("'数据-取费表'!c"&amp;$G$1)="住宅",INDIRECT("'数据-取费表'!s"&amp;$G$1),INDIRECT("'数据-取费表'!k"&amp;$G$1)+INDIRECT("'数据-取费表'!s"&amp;$G$1)))</f>
        <v>98810.33</v>
      </c>
      <c r="E10" s="269">
        <f>'数据-取费表'!B28</f>
        <v>200</v>
      </c>
      <c r="F10" s="265"/>
      <c r="G10" s="270"/>
    </row>
    <row r="11" spans="1:8" s="258" customFormat="1" ht="13.5" hidden="1" customHeight="1">
      <c r="A11" s="271" t="s">
        <v>7</v>
      </c>
      <c r="B11" s="259" t="s">
        <v>2332</v>
      </c>
      <c r="C11" s="255"/>
      <c r="D11" s="1035"/>
      <c r="E11" s="262"/>
      <c r="F11" s="262"/>
      <c r="G11" s="263"/>
    </row>
    <row r="12" spans="1:8" s="258" customFormat="1" ht="13.5" hidden="1" customHeight="1">
      <c r="A12" s="271" t="s">
        <v>8</v>
      </c>
      <c r="B12" s="259" t="s">
        <v>2415</v>
      </c>
      <c r="C12" s="255">
        <v>0</v>
      </c>
      <c r="D12" s="1035"/>
      <c r="E12" s="272"/>
      <c r="F12" s="265">
        <v>3.0499999999999999E-2</v>
      </c>
      <c r="G12" s="263"/>
    </row>
    <row r="13" spans="1:8" s="258" customFormat="1" ht="13.5" hidden="1" customHeight="1">
      <c r="A13" s="271" t="s">
        <v>9</v>
      </c>
      <c r="B13" s="259" t="s">
        <v>2416</v>
      </c>
      <c r="C13" s="255"/>
      <c r="D13" s="1035"/>
      <c r="E13" s="262"/>
      <c r="F13" s="262"/>
      <c r="G13" s="263"/>
    </row>
    <row r="14" spans="1:8" s="258" customFormat="1" ht="13.5" hidden="1" customHeight="1">
      <c r="A14" s="271" t="s">
        <v>10</v>
      </c>
      <c r="B14" s="259" t="s">
        <v>2328</v>
      </c>
      <c r="C14" s="255"/>
      <c r="D14" s="1035"/>
      <c r="E14" s="262"/>
      <c r="F14" s="262"/>
      <c r="G14" s="263" t="s">
        <v>2417</v>
      </c>
    </row>
    <row r="15" spans="1:8" s="258" customFormat="1" ht="13.5" hidden="1" customHeight="1">
      <c r="A15" s="271" t="s">
        <v>11</v>
      </c>
      <c r="B15" s="259" t="s">
        <v>2418</v>
      </c>
      <c r="C15" s="264"/>
      <c r="D15" s="1035"/>
      <c r="E15" s="262"/>
      <c r="F15" s="262"/>
      <c r="G15" s="263" t="s">
        <v>2419</v>
      </c>
    </row>
    <row r="16" spans="1:8" s="258" customFormat="1" ht="13.5" hidden="1" customHeight="1">
      <c r="A16" s="271" t="s">
        <v>12</v>
      </c>
      <c r="B16" s="259" t="s">
        <v>2328</v>
      </c>
      <c r="C16" s="264"/>
      <c r="D16" s="1035"/>
      <c r="E16" s="262"/>
      <c r="F16" s="262"/>
      <c r="G16" s="263"/>
    </row>
    <row r="17" spans="1:7" s="258" customFormat="1" ht="13.5" hidden="1" customHeight="1">
      <c r="A17" s="271" t="s">
        <v>13</v>
      </c>
      <c r="B17" s="259" t="s">
        <v>2420</v>
      </c>
      <c r="C17" s="273"/>
      <c r="D17" s="1036"/>
      <c r="E17" s="273"/>
      <c r="F17" s="273"/>
      <c r="G17" s="263" t="s">
        <v>2419</v>
      </c>
    </row>
    <row r="18" spans="1:7" s="258" customFormat="1" ht="13.5" hidden="1" customHeight="1">
      <c r="A18" s="271" t="s">
        <v>14</v>
      </c>
      <c r="B18" s="259" t="s">
        <v>2421</v>
      </c>
      <c r="C18" s="264">
        <v>0</v>
      </c>
      <c r="D18" s="1035"/>
      <c r="E18" s="262"/>
      <c r="F18" s="265">
        <v>3.0499999999999999E-2</v>
      </c>
      <c r="G18" s="263" t="s">
        <v>2422</v>
      </c>
    </row>
    <row r="19" spans="1:7" s="267" customFormat="1" ht="13.5" customHeight="1">
      <c r="A19" s="299" t="s">
        <v>2423</v>
      </c>
      <c r="B19" s="254" t="s">
        <v>2424</v>
      </c>
      <c r="C19" s="255">
        <f ca="1">IF(G19="已包含在土地取得成本中","0",ROUND(D19*E19,0))</f>
        <v>19762066</v>
      </c>
      <c r="D19" s="1037">
        <f ca="1">D9+D10</f>
        <v>98810.33</v>
      </c>
      <c r="E19" s="255">
        <f>'数据-取费表'!B31</f>
        <v>200</v>
      </c>
      <c r="F19" s="275"/>
      <c r="G19" s="2545"/>
    </row>
    <row r="20" spans="1:7" s="258" customFormat="1" ht="13.5" customHeight="1">
      <c r="A20" s="299" t="s">
        <v>2425</v>
      </c>
      <c r="B20" s="254" t="s">
        <v>2426</v>
      </c>
      <c r="C20" s="276">
        <f ca="1">ROUND((C5+C19)*F20,0)</f>
        <v>1185724</v>
      </c>
      <c r="D20" s="276"/>
      <c r="E20" s="276"/>
      <c r="F20" s="277">
        <f>'数据-取费表'!B37</f>
        <v>0.03</v>
      </c>
      <c r="G20" s="278" t="s">
        <v>2427</v>
      </c>
    </row>
    <row r="21" spans="1:7" s="258" customFormat="1" ht="13.5" customHeight="1">
      <c r="A21" s="299" t="s">
        <v>2428</v>
      </c>
      <c r="B21" s="254" t="s">
        <v>2429</v>
      </c>
      <c r="C21" s="279">
        <f>F21</f>
        <v>0.03</v>
      </c>
      <c r="D21" s="280" t="s">
        <v>2430</v>
      </c>
      <c r="E21" s="276"/>
      <c r="F21" s="277">
        <f>'数据-取费表'!B38</f>
        <v>0.03</v>
      </c>
      <c r="G21" s="278" t="s">
        <v>2431</v>
      </c>
    </row>
    <row r="22" spans="1:7" s="258" customFormat="1" ht="13.5" customHeight="1">
      <c r="A22" s="299" t="s">
        <v>2432</v>
      </c>
      <c r="B22" s="254" t="s">
        <v>2433</v>
      </c>
      <c r="C22" s="1380">
        <f ca="1">ROUND(SUM(C23:C25),0)</f>
        <v>5989432</v>
      </c>
      <c r="D22" s="279">
        <f ca="1">C26</f>
        <v>2.2000000000000001E-3</v>
      </c>
      <c r="E22" s="280" t="s">
        <v>2430</v>
      </c>
      <c r="F22" s="281">
        <f ca="1">'数据-取费表'!B40</f>
        <v>4.7500000000000001E-2</v>
      </c>
      <c r="G22" s="278" t="str">
        <f>IF('数据-取费表'!B22&lt;=1,"单利计息","复利计息")</f>
        <v>复利计息</v>
      </c>
    </row>
    <row r="23" spans="1:7" s="258" customFormat="1" ht="13.5" customHeight="1">
      <c r="A23" s="952" t="s">
        <v>2323</v>
      </c>
      <c r="B23" s="259" t="s">
        <v>2434</v>
      </c>
      <c r="C23" s="1381">
        <f ca="1">ROUND(IF('数据-取费表'!B22&lt;=1,C5*F22*'数据-取费表'!B22,C5*(POWER((1+F22),'数据-取费表'!B22)-1)),0)</f>
        <v>2951977</v>
      </c>
      <c r="D23" s="282"/>
      <c r="E23" s="282"/>
      <c r="F23" s="283"/>
      <c r="G23" s="284" t="s">
        <v>2435</v>
      </c>
    </row>
    <row r="24" spans="1:7" s="258" customFormat="1" ht="13.5" customHeight="1">
      <c r="A24" s="952" t="s">
        <v>2325</v>
      </c>
      <c r="B24" s="259" t="s">
        <v>2436</v>
      </c>
      <c r="C24" s="1381">
        <f ca="1">ROUND(IF('数据-取费表'!B22&lt;=1,C19*F22*('数据-取费表'!B19/2+'数据-取费表'!B20),C19*(POWER((1+F22),('数据-取费表'!B19/2+'数据-取费表'!B20))-1)),0)</f>
        <v>2951977</v>
      </c>
      <c r="D24" s="282"/>
      <c r="E24" s="282"/>
      <c r="F24" s="283"/>
      <c r="G24" s="284" t="s">
        <v>2437</v>
      </c>
    </row>
    <row r="25" spans="1:7" s="258" customFormat="1" ht="24">
      <c r="A25" s="952" t="s">
        <v>2327</v>
      </c>
      <c r="B25" s="259" t="s">
        <v>2438</v>
      </c>
      <c r="C25" s="1381">
        <f ca="1">ROUND(IF('数据-取费表'!B22&lt;=1,C20*F22*'数据-取费表'!B22/2,C20*(POWER((1+F22),'数据-取费表'!B22/2)-1)),0)</f>
        <v>85478</v>
      </c>
      <c r="D25" s="282"/>
      <c r="E25" s="285"/>
      <c r="F25" s="283"/>
      <c r="G25" s="286" t="s">
        <v>2439</v>
      </c>
    </row>
    <row r="26" spans="1:7" s="258" customFormat="1">
      <c r="A26" s="952" t="s">
        <v>795</v>
      </c>
      <c r="B26" s="259" t="s">
        <v>2362</v>
      </c>
      <c r="C26" s="282">
        <f ca="1">ROUND(IF('数据-取费表'!B22&lt;=1,F21*F22*'数据-取费表'!B22/2,F21*(POWER((1+F22),'数据-取费表'!B22/2)-1)),4)</f>
        <v>2.2000000000000001E-3</v>
      </c>
      <c r="D26" s="282"/>
      <c r="E26" s="285"/>
      <c r="F26" s="283"/>
      <c r="G26" s="287"/>
    </row>
    <row r="27" spans="1:7" s="258" customFormat="1" ht="24.75">
      <c r="A27" s="299" t="s">
        <v>2363</v>
      </c>
      <c r="B27" s="288" t="s">
        <v>2364</v>
      </c>
      <c r="C27" s="289">
        <f ca="1">C28</f>
        <v>8141971</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ROUND((C5+C19+C20)*F27,0)</f>
        <v>8141971</v>
      </c>
      <c r="D28" s="279"/>
      <c r="E28" s="280"/>
      <c r="F28" s="290"/>
      <c r="G28" s="291"/>
    </row>
    <row r="29" spans="1:7" s="258" customFormat="1" ht="13.5" customHeight="1">
      <c r="A29" s="952" t="s">
        <v>792</v>
      </c>
      <c r="B29" s="292" t="s">
        <v>2368</v>
      </c>
      <c r="C29" s="282">
        <f ca="1">ROUND(C21*F27,4)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60364622</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809978988</v>
      </c>
      <c r="D33" s="276"/>
      <c r="E33" s="256"/>
      <c r="F33" s="285"/>
      <c r="G33" s="278"/>
    </row>
    <row r="34" spans="1:7" s="302" customFormat="1" ht="13.5" customHeight="1">
      <c r="A34" s="952" t="s">
        <v>791</v>
      </c>
      <c r="B34" s="259" t="s">
        <v>2376</v>
      </c>
      <c r="C34" s="264">
        <f ca="1">ROUND(IF(B1="",SUMPRODUCT('数据-取费表'!K6:K14,'数据-取费表'!L6:L14),INDIRECT("'数据-取费表'!l"&amp;$G$1)*INDIRECT("'数据-取费表'!k"&amp;$G$1)+'数据-取费表'!L14*INDIRECT("'数据-取费表'!S"&amp;$G$1)),0)</f>
        <v>741987720</v>
      </c>
      <c r="D34" s="261"/>
      <c r="E34" s="264"/>
      <c r="F34" s="301"/>
      <c r="G34" s="263"/>
    </row>
    <row r="35" spans="1:7" ht="13.5" customHeight="1">
      <c r="A35" s="952" t="s">
        <v>796</v>
      </c>
      <c r="B35" s="259" t="s">
        <v>2378</v>
      </c>
      <c r="C35" s="264">
        <f ca="1">ROUND(C34*F35,0)</f>
        <v>37099386</v>
      </c>
      <c r="D35" s="264"/>
      <c r="E35" s="264"/>
      <c r="F35" s="303">
        <f>'数据-取费表'!B33</f>
        <v>0.05</v>
      </c>
      <c r="G35" s="263" t="s">
        <v>2379</v>
      </c>
    </row>
    <row r="36" spans="1:7" ht="24">
      <c r="A36" s="952"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2" t="s">
        <v>798</v>
      </c>
      <c r="B37" s="259" t="s">
        <v>2382</v>
      </c>
      <c r="C37" s="293">
        <f ca="1">ROUND(E37*D37,0)</f>
        <v>19762066</v>
      </c>
      <c r="D37" s="261">
        <f ca="1">D19</f>
        <v>98810.33</v>
      </c>
      <c r="E37" s="293">
        <f>'数据-取费表'!B35</f>
        <v>200</v>
      </c>
      <c r="F37" s="303"/>
      <c r="G37" s="305"/>
    </row>
    <row r="38" spans="1:7" ht="13.5" customHeight="1">
      <c r="A38" s="952" t="s">
        <v>799</v>
      </c>
      <c r="B38" s="259" t="s">
        <v>2384</v>
      </c>
      <c r="C38" s="264">
        <f ca="1">ROUND(C34*F38,0)</f>
        <v>11129816</v>
      </c>
      <c r="D38" s="264"/>
      <c r="E38" s="264"/>
      <c r="F38" s="303">
        <f>'数据-取费表'!B36</f>
        <v>1.4999999999999999E-2</v>
      </c>
      <c r="G38" s="263" t="s">
        <v>2379</v>
      </c>
    </row>
    <row r="39" spans="1:7" s="258" customFormat="1" ht="13.5" customHeight="1">
      <c r="A39" s="299" t="s">
        <v>2385</v>
      </c>
      <c r="B39" s="254" t="s">
        <v>2386</v>
      </c>
      <c r="C39" s="276">
        <f ca="1">ROUND(C33*F20,0)</f>
        <v>24299370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60142720</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ROUND(IF('数据-取费表'!B22&lt;=1,C33*F22*'数据-取费表'!B20/2,C33*(POWER((1+F22),'数据-取费表'!B20/2)-1)),0)</f>
        <v>58390990</v>
      </c>
      <c r="D42" s="282"/>
      <c r="E42" s="282"/>
      <c r="F42" s="283"/>
      <c r="G42" s="3297" t="s">
        <v>2442</v>
      </c>
    </row>
    <row r="43" spans="1:7" ht="13.5" customHeight="1">
      <c r="A43" s="952" t="s">
        <v>792</v>
      </c>
      <c r="B43" s="259" t="s">
        <v>2396</v>
      </c>
      <c r="C43" s="282">
        <f ca="1">ROUND(IF('数据-取费表'!B22&lt;=1,C39*F22*'数据-取费表'!B20/2,C39*(POWER((1+F22),'数据-取费表'!B20/2)-1)),0)</f>
        <v>1751730</v>
      </c>
      <c r="D43" s="282"/>
      <c r="E43" s="282"/>
      <c r="F43" s="283"/>
      <c r="G43" s="3298"/>
    </row>
    <row r="44" spans="1:7" ht="13.5" customHeight="1">
      <c r="A44" s="952" t="s">
        <v>793</v>
      </c>
      <c r="B44" s="259" t="s">
        <v>2397</v>
      </c>
      <c r="C44" s="282">
        <f ca="1">ROUND(IF('数据-取费表'!B22&lt;=1,C40*F22*'数据-取费表'!B20/2,C40*(POWER((1+F22),'数据-取费表'!B20/2)-1)),4)</f>
        <v>2.2000000000000001E-3</v>
      </c>
      <c r="D44" s="282"/>
      <c r="E44" s="282"/>
      <c r="F44" s="283"/>
      <c r="G44" s="3299"/>
    </row>
    <row r="45" spans="1:7" s="258" customFormat="1" ht="13.5" customHeight="1">
      <c r="A45" s="299" t="s">
        <v>2398</v>
      </c>
      <c r="B45" s="288" t="s">
        <v>2364</v>
      </c>
      <c r="C45" s="289">
        <f ca="1">C46</f>
        <v>166855672</v>
      </c>
      <c r="D45" s="279">
        <f ca="1">C47</f>
        <v>6.0000000000000001E-3</v>
      </c>
      <c r="E45" s="280" t="s">
        <v>2390</v>
      </c>
      <c r="F45" s="290"/>
      <c r="G45" s="291" t="s">
        <v>2399</v>
      </c>
    </row>
    <row r="46" spans="1:7" s="258" customFormat="1" ht="13.5" customHeight="1">
      <c r="A46" s="952" t="s">
        <v>791</v>
      </c>
      <c r="B46" s="292" t="s">
        <v>2400</v>
      </c>
      <c r="C46" s="293">
        <f ca="1">ROUND((C33+C39)*F27,0)</f>
        <v>166855672</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1168163731</v>
      </c>
      <c r="D49" s="276"/>
      <c r="E49" s="276"/>
      <c r="F49" s="308"/>
      <c r="G49" s="278" t="s">
        <v>2405</v>
      </c>
    </row>
    <row r="50" spans="1:7" s="302" customFormat="1">
      <c r="A50" s="299" t="s">
        <v>2406</v>
      </c>
      <c r="B50" s="254" t="s">
        <v>2407</v>
      </c>
      <c r="C50" s="276"/>
      <c r="D50" s="276"/>
      <c r="E50" s="276"/>
      <c r="F50" s="308">
        <f>IF('数据-取费表'!B24=0,'数据-取费表'!N16,1)</f>
        <v>0.82</v>
      </c>
      <c r="G50" s="291"/>
    </row>
    <row r="51" spans="1:7" ht="16.5" customHeight="1">
      <c r="A51" s="299" t="s">
        <v>2409</v>
      </c>
      <c r="B51" s="254" t="s">
        <v>2444</v>
      </c>
      <c r="C51" s="276">
        <f ca="1">ROUND(C49*F50,0)</f>
        <v>957894259</v>
      </c>
      <c r="D51" s="276"/>
      <c r="E51" s="276"/>
      <c r="F51" s="308"/>
      <c r="G51" s="278" t="s">
        <v>2411</v>
      </c>
    </row>
    <row r="52" spans="1:7" s="252" customFormat="1" ht="16.5" thickBot="1">
      <c r="A52" s="309" t="s">
        <v>2412</v>
      </c>
      <c r="B52" s="310"/>
      <c r="C52" s="311">
        <f ca="1">C31+C51</f>
        <v>1018258881</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3" customWidth="1"/>
    <col min="3" max="3" width="10.375" style="996" customWidth="1"/>
    <col min="4" max="4" width="9.875" style="953" customWidth="1"/>
    <col min="5" max="5" width="9.5" style="798"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2445</v>
      </c>
      <c r="B1" s="1580"/>
      <c r="C1" s="1581"/>
      <c r="D1" s="1579"/>
      <c r="E1" s="320"/>
      <c r="F1" s="320"/>
      <c r="G1" s="1580"/>
      <c r="H1" s="320"/>
      <c r="I1" s="320"/>
      <c r="J1" s="320"/>
      <c r="K1" s="320">
        <f>MATCH(C1,'数据-取费表'!A6:A16,0)+5</f>
        <v>11</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7" customFormat="1" ht="16.5" customHeight="1">
      <c r="A4" s="954" t="s">
        <v>2448</v>
      </c>
      <c r="B4" s="955"/>
      <c r="C4" s="997">
        <f>SUM(C8:K8)</f>
        <v>0</v>
      </c>
      <c r="D4" s="955"/>
      <c r="E4" s="955"/>
      <c r="F4" s="955"/>
      <c r="G4" s="955"/>
      <c r="H4" s="955"/>
      <c r="I4" s="955"/>
      <c r="J4" s="955"/>
      <c r="K4" s="956"/>
    </row>
    <row r="5" spans="1:33" s="961" customFormat="1" ht="24.75">
      <c r="A5" s="958" t="s">
        <v>2449</v>
      </c>
      <c r="B5" s="959" t="s">
        <v>2450</v>
      </c>
      <c r="C5" s="2549" t="s">
        <v>2451</v>
      </c>
      <c r="D5" s="2549" t="s">
        <v>2452</v>
      </c>
      <c r="E5" s="2549" t="s">
        <v>2453</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2457</v>
      </c>
      <c r="B8" s="177" t="s">
        <v>2458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2459</v>
      </c>
      <c r="B9" s="955"/>
      <c r="C9" s="955"/>
      <c r="D9" s="955"/>
      <c r="E9" s="955"/>
      <c r="F9" s="955"/>
      <c r="G9" s="955"/>
      <c r="H9" s="955"/>
      <c r="I9" s="955"/>
      <c r="J9" s="955"/>
      <c r="K9" s="956"/>
    </row>
    <row r="10" spans="1:33" s="971" customFormat="1" ht="13.5" customHeight="1">
      <c r="A10" s="958" t="s">
        <v>2460</v>
      </c>
      <c r="B10" s="8" t="s">
        <v>2461</v>
      </c>
      <c r="C10" s="967" t="s">
        <v>2462</v>
      </c>
      <c r="D10" s="968" t="s">
        <v>2463</v>
      </c>
      <c r="E10" s="968" t="s">
        <v>2464</v>
      </c>
      <c r="F10" s="968" t="s">
        <v>2465</v>
      </c>
      <c r="G10" s="8"/>
      <c r="H10" s="969"/>
      <c r="I10" s="969"/>
      <c r="J10" s="969"/>
      <c r="K10" s="970"/>
    </row>
    <row r="11" spans="1:33" s="976" customFormat="1" ht="13.5" customHeight="1">
      <c r="A11" s="972" t="s">
        <v>1328</v>
      </c>
      <c r="B11" s="973" t="s">
        <v>2466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1329</v>
      </c>
      <c r="B12" s="973" t="s">
        <v>2467</v>
      </c>
      <c r="C12" s="24">
        <f ca="1">ROUND(C11*F12,0)</f>
        <v>0</v>
      </c>
      <c r="D12" s="974"/>
      <c r="E12" s="375"/>
      <c r="F12" s="977">
        <f>'数据-取费表'!B33</f>
        <v>0.05</v>
      </c>
      <c r="G12" s="8" t="s">
        <v>2468</v>
      </c>
      <c r="H12" s="969"/>
      <c r="I12" s="969"/>
      <c r="J12" s="969"/>
      <c r="K12" s="970"/>
    </row>
    <row r="13" spans="1:33" s="976" customFormat="1" ht="13.5" customHeight="1">
      <c r="A13" s="972" t="s">
        <v>1330</v>
      </c>
      <c r="B13" s="973" t="s">
        <v>2469</v>
      </c>
      <c r="C13" s="24">
        <f ca="1">ROUND(IF(C1="",SUMIF('数据-取费表'!C:C,"住宅",'数据-取费表'!P:P)*F13,IF(INDIRECT("'数据-取费表'!c"&amp;$K$1)="住宅",INDIRECT("'数据-取费表'!P"&amp;$K$1)*F13,0)),0)</f>
        <v>0</v>
      </c>
      <c r="D13" s="1034"/>
      <c r="E13" s="375"/>
      <c r="F13" s="977">
        <f>'数据-取费表'!B34</f>
        <v>0</v>
      </c>
      <c r="G13" s="8" t="s">
        <v>2470</v>
      </c>
      <c r="H13" s="969"/>
      <c r="I13" s="969"/>
      <c r="J13" s="969"/>
      <c r="K13" s="970"/>
    </row>
    <row r="14" spans="1:33" s="978" customFormat="1" ht="13.5" customHeight="1">
      <c r="A14" s="972" t="s">
        <v>1331</v>
      </c>
      <c r="B14" s="973" t="s">
        <v>2471</v>
      </c>
      <c r="C14" s="24">
        <f ca="1">ROUND(D14*E14*F11/10000,0)</f>
        <v>0</v>
      </c>
      <c r="D14" s="1034">
        <f ca="1">IF(C1="",'数据-汇总表'!E3,INDIRECT("'数据-取费表'!K"&amp;$K$1)+INDIRECT("'数据-取费表'!S"&amp;$K$1))</f>
        <v>98810.33</v>
      </c>
      <c r="E14" s="24">
        <f>'数据-取费表'!B35</f>
        <v>200</v>
      </c>
      <c r="F14" s="977"/>
      <c r="G14" s="8" t="s">
        <v>2472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1332</v>
      </c>
      <c r="B15" s="973" t="s">
        <v>2473</v>
      </c>
      <c r="C15" s="984">
        <f ca="1">ROUND(C11*F15,0)</f>
        <v>0</v>
      </c>
      <c r="D15" s="979"/>
      <c r="E15" s="984"/>
      <c r="F15" s="985">
        <f>'数据-取费表'!B36</f>
        <v>1.4999999999999999E-2</v>
      </c>
      <c r="G15" s="140" t="s">
        <v>2474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2475</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2476</v>
      </c>
      <c r="C17" s="24">
        <f ca="1">ROUND(D17*E17/10000,0)</f>
        <v>0</v>
      </c>
      <c r="D17" s="1034">
        <f ca="1">D14</f>
        <v>98810.33</v>
      </c>
      <c r="E17" s="24">
        <f>'数据-取费表'!B32</f>
        <v>0</v>
      </c>
      <c r="F17" s="979"/>
      <c r="G17" s="140" t="s">
        <v>2477</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1333</v>
      </c>
      <c r="B18" s="973" t="s">
        <v>2478</v>
      </c>
      <c r="C18" s="24">
        <f ca="1">C19+C20-IF(C1="",'数据-取费表'!B29,IF(G18="已全部缴纳",C19+C20,H18))</f>
        <v>0</v>
      </c>
      <c r="D18" s="1034"/>
      <c r="E18" s="24"/>
      <c r="F18" s="977"/>
      <c r="G18" s="2551"/>
      <c r="H18" s="1576"/>
      <c r="I18" s="2552" t="s">
        <v>2479</v>
      </c>
      <c r="J18" s="980"/>
      <c r="K18" s="981"/>
    </row>
    <row r="19" spans="1:33" s="976" customFormat="1" ht="13.5" customHeight="1">
      <c r="A19" s="972" t="s">
        <v>805</v>
      </c>
      <c r="B19" s="973" t="s">
        <v>2480</v>
      </c>
      <c r="C19" s="24">
        <f ca="1">ROUND(D19*E19/10000,0)</f>
        <v>0</v>
      </c>
      <c r="D19" s="1034">
        <f ca="1">IF(C1="",'数据-汇总表'!E5,IF(INDIRECT("'数据-取费表'!c"&amp;$K$1)="住宅",INDIRECT("'数据-取费表'!k"&amp;$K$1),0))</f>
        <v>0</v>
      </c>
      <c r="E19" s="24">
        <f>'数据-取费表'!B27</f>
        <v>160</v>
      </c>
      <c r="F19" s="977"/>
      <c r="G19" s="15"/>
      <c r="H19" s="1578"/>
      <c r="I19" s="982"/>
      <c r="J19" s="982"/>
      <c r="K19" s="983"/>
    </row>
    <row r="20" spans="1:33" s="976" customFormat="1" ht="13.5" customHeight="1">
      <c r="A20" s="972" t="s">
        <v>806</v>
      </c>
      <c r="B20" s="973" t="s">
        <v>2481</v>
      </c>
      <c r="C20" s="24">
        <f ca="1">ROUND(D20*E20/10000,0)</f>
        <v>1976</v>
      </c>
      <c r="D20" s="1034">
        <f ca="1">IF(C1="",'数据-汇总表'!E6,IF(INDIRECT("'数据-取费表'!c"&amp;$K$1)="住宅",INDIRECT("'数据-取费表'!s"&amp;$K$1),INDIRECT("'数据-取费表'!k"&amp;$K$1)+INDIRECT("'数据-取费表'!s"&amp;$K$1)))</f>
        <v>98810.33</v>
      </c>
      <c r="E20" s="24">
        <f>'数据-取费表'!B28</f>
        <v>200</v>
      </c>
      <c r="F20" s="977"/>
      <c r="G20" s="15"/>
      <c r="H20" s="982"/>
      <c r="I20" s="982"/>
      <c r="J20" s="982"/>
      <c r="K20" s="983"/>
    </row>
    <row r="21" spans="1:33" s="976" customFormat="1" ht="13.5" customHeight="1">
      <c r="A21" s="962" t="s">
        <v>802</v>
      </c>
      <c r="B21" s="986" t="s">
        <v>2482</v>
      </c>
      <c r="C21" s="987">
        <f ca="1">C16+C17+C18</f>
        <v>0</v>
      </c>
      <c r="D21" s="988"/>
      <c r="E21" s="325"/>
      <c r="F21" s="325"/>
      <c r="G21" s="140" t="s">
        <v>2483</v>
      </c>
      <c r="H21" s="980"/>
      <c r="I21" s="980"/>
      <c r="J21" s="980"/>
      <c r="K21" s="981"/>
    </row>
    <row r="22" spans="1:33" s="976" customFormat="1" ht="13.5" customHeight="1">
      <c r="A22" s="962" t="s">
        <v>2455</v>
      </c>
      <c r="B22" s="986" t="s">
        <v>2484</v>
      </c>
      <c r="C22" s="987">
        <f ca="1">ROUND(C21*F22,0)</f>
        <v>0</v>
      </c>
      <c r="D22" s="325"/>
      <c r="E22" s="325"/>
      <c r="F22" s="989">
        <f>'数据-取费表'!B37</f>
        <v>0.03</v>
      </c>
      <c r="G22" s="8" t="s">
        <v>2485</v>
      </c>
      <c r="H22" s="969"/>
      <c r="I22" s="969"/>
      <c r="J22" s="969"/>
      <c r="K22" s="970"/>
    </row>
    <row r="23" spans="1:33" s="976" customFormat="1" ht="13.5" customHeight="1">
      <c r="A23" s="962" t="s">
        <v>2457</v>
      </c>
      <c r="B23" s="986" t="s">
        <v>2486</v>
      </c>
      <c r="C23" s="987">
        <f ca="1">ROUND(C4*F23*F11,0)</f>
        <v>0</v>
      </c>
      <c r="D23" s="325"/>
      <c r="E23" s="325"/>
      <c r="F23" s="989">
        <f>'数据-取费表'!B38</f>
        <v>0.03</v>
      </c>
      <c r="G23" s="8" t="s">
        <v>2487</v>
      </c>
      <c r="H23" s="969"/>
      <c r="I23" s="969"/>
      <c r="J23" s="969"/>
      <c r="K23" s="970"/>
    </row>
    <row r="24" spans="1:33" s="976" customFormat="1" ht="13.5" customHeight="1">
      <c r="A24" s="962" t="s">
        <v>2488</v>
      </c>
      <c r="B24" s="986" t="s">
        <v>2489</v>
      </c>
      <c r="C24" s="324">
        <f>ROUND(F24/(1+'数据-取费表'!C42),4)</f>
        <v>2.9000000000000001E-2</v>
      </c>
      <c r="D24" s="325" t="s">
        <v>15</v>
      </c>
      <c r="E24" s="325"/>
      <c r="F24" s="989">
        <f>'数据-取费表'!B48+'数据-取费表'!B49</f>
        <v>3.0499999999999999E-2</v>
      </c>
      <c r="G24" s="8" t="s">
        <v>2490</v>
      </c>
      <c r="H24" s="991"/>
      <c r="I24" s="991"/>
      <c r="J24" s="991"/>
      <c r="K24" s="992"/>
    </row>
    <row r="25" spans="1:33" s="976" customFormat="1" ht="13.5" customHeight="1">
      <c r="A25" s="962" t="s">
        <v>2491</v>
      </c>
      <c r="B25" s="988"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2493</v>
      </c>
      <c r="C26" s="1357">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2494</v>
      </c>
      <c r="C27" s="1358">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2495</v>
      </c>
      <c r="B28" s="2554" t="s">
        <v>2496</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2497</v>
      </c>
      <c r="C29" s="328">
        <f ca="1">ROUND((1+C24)*F28*'数据-取费表'!B24/'数据-取费表'!B20,4)</f>
        <v>0</v>
      </c>
      <c r="D29" s="328"/>
      <c r="E29" s="329"/>
      <c r="F29" s="334"/>
      <c r="G29" s="140" t="s">
        <v>2498</v>
      </c>
      <c r="H29" s="980"/>
      <c r="I29" s="980"/>
      <c r="J29" s="980"/>
      <c r="K29" s="981"/>
    </row>
    <row r="30" spans="1:33" s="335" customFormat="1" ht="13.5" customHeight="1">
      <c r="A30" s="972" t="s">
        <v>804</v>
      </c>
      <c r="B30" s="995" t="s">
        <v>2499</v>
      </c>
      <c r="C30" s="336">
        <f ca="1">ROUND((C21+C22+C23)*F28,0)</f>
        <v>0</v>
      </c>
      <c r="D30" s="328"/>
      <c r="E30" s="329"/>
      <c r="F30" s="334"/>
      <c r="G30" s="140"/>
      <c r="H30" s="980"/>
      <c r="I30" s="980"/>
      <c r="J30" s="980"/>
      <c r="K30" s="981"/>
    </row>
    <row r="31" spans="1:33" s="976" customFormat="1" ht="13.5" customHeight="1" thickBot="1">
      <c r="A31" s="2555" t="s">
        <v>2500</v>
      </c>
      <c r="B31" s="1006" t="s">
        <v>2501</v>
      </c>
      <c r="C31" s="1007">
        <f>ROUND(C4*F31/(1+'数据-取费表'!C42),0)</f>
        <v>0</v>
      </c>
      <c r="D31" s="1008"/>
      <c r="E31" s="1009"/>
      <c r="F31" s="1010">
        <f>'数据-取费表'!B41</f>
        <v>5.6000000000000001E-2</v>
      </c>
      <c r="G31" s="1011" t="s">
        <v>2502</v>
      </c>
      <c r="H31" s="1012"/>
      <c r="I31" s="1012"/>
      <c r="J31" s="1012"/>
      <c r="K31" s="1013"/>
    </row>
    <row r="32" spans="1:33" s="971" customFormat="1" ht="13.5" customHeight="1" thickBot="1">
      <c r="A32" s="1001" t="s">
        <v>2503</v>
      </c>
      <c r="B32" s="1002"/>
      <c r="C32" s="1003">
        <f ca="1">ROUND((C4-C21-C22-C23-C25-C28-C31)/(1+C24+D25+D28),0)</f>
        <v>0</v>
      </c>
      <c r="D32" s="1002"/>
      <c r="E32" s="1002"/>
      <c r="F32" s="1002"/>
      <c r="G32" s="1004" t="s">
        <v>2504</v>
      </c>
      <c r="H32" s="1002"/>
      <c r="I32" s="1002"/>
      <c r="J32" s="1002"/>
      <c r="K32" s="100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c r="D1" s="1818"/>
      <c r="E1" s="1819" t="s">
        <v>1381</v>
      </c>
      <c r="F1" s="1284" t="b">
        <f>J53</f>
        <v>0</v>
      </c>
      <c r="G1" s="1834">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1584</v>
      </c>
      <c r="B2" s="1842" t="e">
        <f ca="1">ROUND(D2/10000,0)</f>
        <v>#DIV/0!</v>
      </c>
      <c r="C2" s="1843" t="s">
        <v>1585</v>
      </c>
      <c r="D2" s="1936"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4"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3">
        <f ca="1">C6+C10+C12</f>
        <v>0</v>
      </c>
      <c r="D5" s="1820" t="s">
        <v>1595</v>
      </c>
      <c r="E5" s="1294"/>
      <c r="F5" s="1295"/>
      <c r="G5" s="1849"/>
      <c r="H5" s="344">
        <v>1</v>
      </c>
      <c r="I5" s="345" t="s">
        <v>1594</v>
      </c>
      <c r="J5" s="1293">
        <f ca="1">J6+J10+J12</f>
        <v>0</v>
      </c>
      <c r="K5" s="1820" t="s">
        <v>1595</v>
      </c>
      <c r="L5" s="1294"/>
      <c r="M5" s="1295"/>
    </row>
    <row r="6" spans="1:37" ht="18" customHeight="1">
      <c r="A6" s="1292" t="s">
        <v>1035</v>
      </c>
      <c r="B6" s="3395" t="s">
        <v>1397</v>
      </c>
      <c r="C6" s="1297">
        <f ca="1">ROUND(F6*F8*F7*(1-F9),0)</f>
        <v>0</v>
      </c>
      <c r="D6" s="164" t="s">
        <v>3014</v>
      </c>
      <c r="E6" s="347" t="s">
        <v>1399</v>
      </c>
      <c r="F6" s="348">
        <f ca="1">INDIRECT("'数据-取费表'!u"&amp;$G$1)</f>
        <v>0</v>
      </c>
      <c r="G6" s="1849"/>
      <c r="H6" s="1292" t="s">
        <v>1035</v>
      </c>
      <c r="I6" s="3395" t="s">
        <v>1397</v>
      </c>
      <c r="J6" s="346">
        <f ca="1">ROUND(M6*M8*M7*(1-M9),0)</f>
        <v>0</v>
      </c>
      <c r="K6" s="1832" t="s">
        <v>3015</v>
      </c>
      <c r="L6" s="347" t="s">
        <v>1399</v>
      </c>
      <c r="M6" s="348">
        <f ca="1">INDIRECT("'数据-取费表'!z"&amp;$G$1)</f>
        <v>0</v>
      </c>
    </row>
    <row r="7" spans="1:37" ht="18" customHeight="1">
      <c r="A7" s="1296"/>
      <c r="B7" s="3396"/>
      <c r="C7" s="1298"/>
      <c r="D7" s="352"/>
      <c r="E7" s="1299" t="s">
        <v>1400</v>
      </c>
      <c r="F7" s="348">
        <f ca="1">IF(INDIRECT("'数据-取费表'!ah"&amp;$G$1)="",INDIRECT("'数据-取费表'!k"&amp;$G$1),INDIRECT("'数据-取费表'!ah"&amp;$G$1))</f>
        <v>0</v>
      </c>
      <c r="G7" s="1849"/>
      <c r="H7" s="349"/>
      <c r="I7" s="3396"/>
      <c r="J7" s="351"/>
      <c r="K7" s="352"/>
      <c r="L7" s="347" t="s">
        <v>1400</v>
      </c>
      <c r="M7" s="348">
        <f ca="1">F7</f>
        <v>0</v>
      </c>
    </row>
    <row r="8" spans="1:37" ht="18" customHeight="1">
      <c r="A8" s="349"/>
      <c r="B8" s="3396"/>
      <c r="C8" s="351"/>
      <c r="D8" s="352"/>
      <c r="E8" s="347" t="s">
        <v>1401</v>
      </c>
      <c r="F8" s="348">
        <f ca="1">INDIRECT("'数据-取费表'!ai"&amp;$G$1)</f>
        <v>0</v>
      </c>
      <c r="G8" s="1849"/>
      <c r="H8" s="349"/>
      <c r="I8" s="3396"/>
      <c r="J8" s="351"/>
      <c r="K8" s="352"/>
      <c r="L8" s="347" t="s">
        <v>1401</v>
      </c>
      <c r="M8" s="348">
        <f ca="1">INDIRECT("'数据-取费表'!ai"&amp;$G$1)</f>
        <v>0</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c r="G10" s="1849"/>
      <c r="H10" s="1292" t="s">
        <v>1039</v>
      </c>
      <c r="I10" s="1821" t="s">
        <v>1403</v>
      </c>
      <c r="J10" s="346">
        <f ca="1">ROUND(IF(M10="押一",J6/12*M11,IF(M10="押二",J6/12*2*M11,IF(M10="押三",J6/12*3*M11,J11*M11))),0)</f>
        <v>0</v>
      </c>
      <c r="K10" s="1833" t="s">
        <v>3027</v>
      </c>
      <c r="L10" s="358" t="s">
        <v>1404</v>
      </c>
      <c r="M10" s="1366"/>
    </row>
    <row r="11" spans="1:37" ht="18" customHeight="1">
      <c r="A11" s="353"/>
      <c r="B11" s="1823" t="s">
        <v>1596</v>
      </c>
      <c r="C11" s="1179"/>
      <c r="D11" s="352"/>
      <c r="E11" s="358" t="s">
        <v>1406</v>
      </c>
      <c r="F11" s="359">
        <f ca="1">'数据-取费表'!B39</f>
        <v>1.4999999999999999E-2</v>
      </c>
      <c r="G11" s="1849"/>
      <c r="H11" s="1300"/>
      <c r="I11" s="1823" t="s">
        <v>1597</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9"/>
      <c r="H13" s="1329">
        <v>2</v>
      </c>
      <c r="I13" s="1330" t="s">
        <v>1408</v>
      </c>
      <c r="J13" s="1291">
        <f ca="1">ROUND(J14*J15,0)</f>
        <v>0</v>
      </c>
      <c r="K13" s="1337" t="s">
        <v>1409</v>
      </c>
      <c r="L13" s="1850"/>
      <c r="M13" s="1851"/>
    </row>
    <row r="14" spans="1:37" ht="18" customHeight="1">
      <c r="A14" s="1202" t="s">
        <v>1034</v>
      </c>
      <c r="B14" s="347" t="s">
        <v>1411</v>
      </c>
      <c r="C14" s="363">
        <f ca="1">ROUND(INDIRECT("'数据-取费表'!l"&amp;$G$1)*F43+'数据-取费表'!L14*INDIRECT("'数据-取费表'!S"&amp;$G$1),0)</f>
        <v>0</v>
      </c>
      <c r="D14" s="1798" t="s">
        <v>1412</v>
      </c>
      <c r="E14" s="1792"/>
      <c r="F14" s="364"/>
      <c r="G14" s="1849"/>
      <c r="H14" s="1202" t="s">
        <v>1035</v>
      </c>
      <c r="I14" s="347" t="s">
        <v>1413</v>
      </c>
      <c r="J14" s="24">
        <f ca="1">C29</f>
        <v>0</v>
      </c>
      <c r="K14" s="15"/>
      <c r="L14" s="980"/>
      <c r="M14" s="981"/>
    </row>
    <row r="15" spans="1:37" s="1856" customFormat="1" ht="18" customHeight="1" thickBot="1">
      <c r="A15" s="1202" t="s">
        <v>1036</v>
      </c>
      <c r="B15" s="347" t="s">
        <v>1414</v>
      </c>
      <c r="C15" s="24">
        <f ca="1">ROUND(C14*F15,0)</f>
        <v>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ROUND(INDIRECT("'数据-取费表'!l"&amp;$G$1)*F43*F16,0)</f>
        <v>0</v>
      </c>
      <c r="D16" s="347" t="s">
        <v>1415</v>
      </c>
      <c r="E16" s="347" t="s">
        <v>1416</v>
      </c>
      <c r="F16" s="367">
        <f ca="1">IF(INDIRECT("'数据-取费表'!c"&amp;$G$1)="住宅",'数据-取费表'!B34,0)</f>
        <v>0</v>
      </c>
      <c r="G16" s="1849"/>
      <c r="H16" s="1329" t="s">
        <v>1030</v>
      </c>
      <c r="I16" s="1330" t="s">
        <v>1418</v>
      </c>
      <c r="J16" s="355">
        <f ca="1">ROUND(J17+J22+J23+J24,0)</f>
        <v>0</v>
      </c>
      <c r="K16" s="1337" t="s">
        <v>1419</v>
      </c>
      <c r="L16" s="1338"/>
      <c r="M16" s="1295"/>
    </row>
    <row r="17" spans="1:37" s="1856" customFormat="1" ht="18" customHeight="1">
      <c r="A17" s="1202" t="s">
        <v>1384</v>
      </c>
      <c r="B17" s="347" t="s">
        <v>1420</v>
      </c>
      <c r="C17" s="24">
        <f ca="1">ROUND(F17*(F43+INDIRECT("'数据-取费表'!S"&amp;$G$1)),0)</f>
        <v>0</v>
      </c>
      <c r="D17" s="347" t="s">
        <v>1421</v>
      </c>
      <c r="E17" s="347" t="s">
        <v>1422</v>
      </c>
      <c r="F17" s="26">
        <f>'数据-取费表'!B35</f>
        <v>200</v>
      </c>
      <c r="G17" s="1852"/>
      <c r="H17" s="1202" t="s">
        <v>1035</v>
      </c>
      <c r="I17" s="347" t="s">
        <v>1423</v>
      </c>
      <c r="J17" s="24">
        <f ca="1">ROUND(IF(项目基本情况!B11="自然人",J5*M17,J18+J19+J20),0)</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0</v>
      </c>
      <c r="D18" s="347" t="s">
        <v>1415</v>
      </c>
      <c r="E18" s="347" t="s">
        <v>1416</v>
      </c>
      <c r="F18" s="367">
        <f>'数据-取费表'!B36</f>
        <v>1.4999999999999999E-2</v>
      </c>
      <c r="G18" s="1852"/>
      <c r="H18" s="1202" t="s">
        <v>1034</v>
      </c>
      <c r="I18" s="347" t="s">
        <v>1427</v>
      </c>
      <c r="J18" s="24">
        <f ca="1">ROUND(J5*M18/(1+'数据-取费表'!C42),0)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0</v>
      </c>
      <c r="D19" s="140" t="s">
        <v>1430</v>
      </c>
      <c r="E19" s="1816"/>
      <c r="F19" s="26"/>
      <c r="G19" s="1849"/>
      <c r="H19" s="1202" t="s">
        <v>1036</v>
      </c>
      <c r="I19" s="347" t="s">
        <v>1431</v>
      </c>
      <c r="J19" s="24">
        <f ca="1">IF(K19="按租金收入计税",ROUND(J5*M19,0),ROUND(C29*M19*0.7,0))</f>
        <v>0</v>
      </c>
      <c r="K19" s="1826" t="s">
        <v>1432</v>
      </c>
      <c r="L19" s="347" t="s">
        <v>1416</v>
      </c>
      <c r="M19" s="367">
        <f>IF(K19="按租金收入计税",'数据-取费表'!B51,'数据-取费表'!B50)</f>
        <v>1.2E-2</v>
      </c>
    </row>
    <row r="20" spans="1:37" s="1856" customFormat="1" ht="18" customHeight="1">
      <c r="A20" s="1202" t="s">
        <v>1039</v>
      </c>
      <c r="B20" s="347" t="s">
        <v>1433</v>
      </c>
      <c r="C20" s="24">
        <f ca="1">ROUND(C19*F20,0)</f>
        <v>0</v>
      </c>
      <c r="D20" s="369" t="s">
        <v>1434</v>
      </c>
      <c r="E20" s="347" t="s">
        <v>1416</v>
      </c>
      <c r="F20" s="367">
        <f>'数据-取费表'!B37</f>
        <v>0.03</v>
      </c>
      <c r="G20" s="1852"/>
      <c r="H20" s="1202" t="s">
        <v>1383</v>
      </c>
      <c r="I20" s="164" t="s">
        <v>1435</v>
      </c>
      <c r="J20" s="25">
        <f ca="1">ROUND(M20*M21,0)</f>
        <v>0</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ROUND(J14*M22,0)</f>
        <v>0</v>
      </c>
      <c r="K22" s="1796" t="s">
        <v>1444</v>
      </c>
      <c r="L22" s="347" t="s">
        <v>1416</v>
      </c>
      <c r="M22" s="374">
        <f ca="1">INDIRECT("'数据-取费表'!Ak"&amp;$G$1)</f>
        <v>0</v>
      </c>
    </row>
    <row r="23" spans="1:37" s="1856" customFormat="1" ht="18" customHeight="1">
      <c r="A23" s="1202" t="s">
        <v>1034</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ROUND(J13*M23,0)</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ROUND(J5*M24,0)</f>
        <v>0</v>
      </c>
      <c r="K24" s="1342" t="s">
        <v>1453</v>
      </c>
      <c r="L24" s="1340" t="s">
        <v>1449</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1454</v>
      </c>
      <c r="B25" s="347" t="s">
        <v>1455</v>
      </c>
      <c r="C25" s="24"/>
      <c r="D25" s="140" t="s">
        <v>1456</v>
      </c>
      <c r="E25" s="1816"/>
      <c r="F25" s="26"/>
      <c r="G25" s="1849"/>
      <c r="H25" s="1329" t="s">
        <v>1031</v>
      </c>
      <c r="I25" s="1344" t="s">
        <v>1457</v>
      </c>
      <c r="J25" s="355">
        <f ca="1">J5-J16</f>
        <v>0</v>
      </c>
      <c r="K25" s="1345" t="s">
        <v>1458</v>
      </c>
      <c r="L25" s="1346"/>
      <c r="M25" s="1347"/>
    </row>
    <row r="26" spans="1:37" ht="18" customHeight="1">
      <c r="A26" s="1202" t="s">
        <v>1034</v>
      </c>
      <c r="B26" s="347" t="s">
        <v>1459</v>
      </c>
      <c r="C26" s="24">
        <f ca="1">ROUND((C19+C20)*F26,0)</f>
        <v>0</v>
      </c>
      <c r="D26" s="369" t="s">
        <v>1460</v>
      </c>
      <c r="E26" s="358" t="s">
        <v>1461</v>
      </c>
      <c r="F26" s="357">
        <f ca="1">INDIRECT("'数据-取费表'!q"&amp;$G$1)</f>
        <v>0</v>
      </c>
      <c r="G26" s="1849"/>
      <c r="H26" s="344" t="s">
        <v>1032</v>
      </c>
      <c r="I26" s="345" t="s">
        <v>1462</v>
      </c>
      <c r="J26" s="346">
        <f ca="1">IF(J5&lt;&gt;0,ROUND(J25*(1-((1+M28)/(1+M26))^M27)/(M26-M28),0),0)</f>
        <v>0</v>
      </c>
      <c r="K26" s="370" t="s">
        <v>1463</v>
      </c>
      <c r="L26" s="347" t="s">
        <v>1464</v>
      </c>
      <c r="M26" s="357">
        <f ca="1">INDIRECT("'数据-取费表'!I"&amp;$G$1)</f>
        <v>0</v>
      </c>
    </row>
    <row r="27" spans="1:37" ht="18" customHeight="1">
      <c r="A27" s="1202" t="s">
        <v>1036</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0</v>
      </c>
      <c r="D29" s="1342"/>
      <c r="E29" s="1340"/>
      <c r="F29" s="1343"/>
      <c r="G29" s="1852"/>
      <c r="H29" s="380" t="s">
        <v>1033</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0</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ROUND(IF(项目基本情况!B11="自然人",C5*F31,C32+C33+C34),0)</f>
        <v>0</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IF(项目基本情况!B11="自然人","——",ROUND(C5*F32/(1+'数据-取费表'!C42),0))</f>
        <v>0</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IF(项目基本情况!B11="自然人","——",IF(D33="按租金收入计税",ROUND(C5*F33,0),IF(D33="按房产原值计税",ROUND(C29*F33*0.7,0),INDIRECT("'数据-取费表'!Aj"&amp;$G$1))))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f>
        <v>0</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0</v>
      </c>
      <c r="G35" s="1849"/>
      <c r="H35" s="745"/>
      <c r="I35" s="1858"/>
      <c r="J35" s="1859"/>
      <c r="K35" s="1860"/>
      <c r="L35" s="1857"/>
      <c r="M35" s="1857"/>
    </row>
    <row r="36" spans="1:18" ht="18" customHeight="1">
      <c r="A36" s="1352" t="s">
        <v>1039</v>
      </c>
      <c r="B36" s="347" t="s">
        <v>1443</v>
      </c>
      <c r="C36" s="24">
        <f ca="1">ROUND(C29*F36,0)</f>
        <v>0</v>
      </c>
      <c r="D36" s="1796" t="s">
        <v>1476</v>
      </c>
      <c r="E36" s="347" t="s">
        <v>1416</v>
      </c>
      <c r="F36" s="374">
        <f ca="1">INDIRECT("'数据-取费表'!Ak"&amp;$G$1)</f>
        <v>0</v>
      </c>
      <c r="G36" s="1849"/>
      <c r="H36" s="1857"/>
      <c r="I36" s="1858"/>
      <c r="J36" s="1859"/>
      <c r="K36" s="751"/>
      <c r="L36" s="1857"/>
      <c r="M36" s="1857"/>
    </row>
    <row r="37" spans="1:18" ht="18" customHeight="1">
      <c r="A37" s="1202" t="s">
        <v>1075</v>
      </c>
      <c r="B37" s="347" t="s">
        <v>1447</v>
      </c>
      <c r="C37" s="24">
        <f ca="1">ROUND(C13*F37,0)</f>
        <v>0</v>
      </c>
      <c r="D37" s="1796" t="s">
        <v>1448</v>
      </c>
      <c r="E37" s="347" t="s">
        <v>1449</v>
      </c>
      <c r="F37" s="376">
        <f ca="1">INDIRECT("'数据-取费表'!Al"&amp;$G$1)</f>
        <v>0</v>
      </c>
      <c r="G37" s="1849"/>
      <c r="H37" s="1857"/>
      <c r="I37" s="1858"/>
      <c r="J37" s="1859"/>
      <c r="K37" s="751"/>
      <c r="L37" s="1857"/>
      <c r="M37" s="1857"/>
    </row>
    <row r="38" spans="1:18" ht="18" customHeight="1" thickBot="1">
      <c r="A38" s="1339" t="s">
        <v>1387</v>
      </c>
      <c r="B38" s="1340" t="s">
        <v>1433</v>
      </c>
      <c r="C38" s="1341">
        <f ca="1">ROUND(C5*F38,1)</f>
        <v>0</v>
      </c>
      <c r="D38" s="1342" t="s">
        <v>1453</v>
      </c>
      <c r="E38" s="1340" t="s">
        <v>1449</v>
      </c>
      <c r="F38" s="1336">
        <f ca="1">INDIRECT("'数据-取费表'!Am"&amp;$G$1)</f>
        <v>0</v>
      </c>
      <c r="G38" s="1849"/>
      <c r="H38" s="1857"/>
      <c r="I38" s="1858"/>
      <c r="J38" s="1859"/>
      <c r="K38" s="1863"/>
      <c r="L38" s="1857"/>
      <c r="M38" s="1857"/>
    </row>
    <row r="39" spans="1:18" ht="24.6" customHeight="1" thickTop="1">
      <c r="A39" s="1329" t="s">
        <v>1031</v>
      </c>
      <c r="B39" s="1344" t="s">
        <v>1477</v>
      </c>
      <c r="C39" s="355">
        <f ca="1">C5-C30</f>
        <v>0</v>
      </c>
      <c r="D39" s="1345" t="s">
        <v>1478</v>
      </c>
      <c r="E39" s="1346"/>
      <c r="F39" s="1347"/>
      <c r="G39" s="1849"/>
      <c r="H39" s="1857"/>
      <c r="I39" s="1858"/>
      <c r="J39" s="1859"/>
      <c r="K39" s="1863"/>
      <c r="L39" s="1857"/>
      <c r="M39" s="1857"/>
    </row>
    <row r="40" spans="1:18" ht="18" customHeight="1">
      <c r="A40" s="344" t="s">
        <v>1032</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t="e">
        <f ca="1">ROUND(C40/F43,0)</f>
        <v>#DIV/0!</v>
      </c>
      <c r="D43" s="383" t="s">
        <v>1482</v>
      </c>
      <c r="E43" s="384" t="s">
        <v>1483</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1598</v>
      </c>
      <c r="E45" s="1864"/>
      <c r="F45" s="1864"/>
      <c r="O45" s="1867" t="s">
        <v>1513</v>
      </c>
      <c r="P45" s="1837"/>
      <c r="Q45" s="1837"/>
      <c r="R45" s="1837"/>
    </row>
    <row r="46" spans="1:18" s="1840" customFormat="1" ht="13.5" thickBot="1">
      <c r="A46" s="1868" t="s">
        <v>1514</v>
      </c>
      <c r="C46" s="1869" t="e">
        <f ca="1">ROUND(C45/10000,0)</f>
        <v>#DIV/0!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6" t="s">
        <v>1390</v>
      </c>
      <c r="B47" s="1198" t="s">
        <v>1391</v>
      </c>
      <c r="C47" s="1198" t="s">
        <v>1392</v>
      </c>
      <c r="D47" s="1198" t="s">
        <v>1393</v>
      </c>
      <c r="E47" s="1280" t="s">
        <v>1394</v>
      </c>
      <c r="F47" s="1281"/>
      <c r="G47" s="792"/>
      <c r="I47" s="1878" t="s">
        <v>1520</v>
      </c>
      <c r="J47" s="1879"/>
      <c r="K47" s="1880" t="s">
        <v>1521</v>
      </c>
      <c r="L47" s="1881">
        <f ca="1">INDIRECT("'数据-取费表'!d"&amp;$G$1)</f>
        <v>0</v>
      </c>
      <c r="M47" s="1836" t="str">
        <f>IF(ISNUMBER(FIND("住宅",C1)),"住宅","非住宅")</f>
        <v>非住宅</v>
      </c>
      <c r="O47" s="1882" t="s">
        <v>1040</v>
      </c>
      <c r="P47" s="1883" t="s">
        <v>1522</v>
      </c>
      <c r="Q47" s="1884" t="e">
        <f ca="1">C40+J29</f>
        <v>#DIV/0!</v>
      </c>
      <c r="R47" s="1884" t="s">
        <v>1523</v>
      </c>
    </row>
    <row r="48" spans="1:18" s="1840" customFormat="1" ht="28.5" thickBot="1">
      <c r="A48" s="1360" t="s">
        <v>1129</v>
      </c>
      <c r="B48" s="345" t="s">
        <v>1395</v>
      </c>
      <c r="C48" s="1815">
        <f ca="1">C49+C53+C55</f>
        <v>0</v>
      </c>
      <c r="D48" s="1362"/>
      <c r="E48" s="1363"/>
      <c r="F48" s="1182"/>
      <c r="G48" s="792"/>
      <c r="H48" s="793"/>
      <c r="I48" s="1885" t="s">
        <v>1524</v>
      </c>
      <c r="J48" s="1886"/>
      <c r="K48" s="1887" t="s">
        <v>1525</v>
      </c>
      <c r="L48" s="1888">
        <f ca="1">INDIRECT("'数据-取费表'!f"&amp;$G$1)</f>
        <v>0</v>
      </c>
      <c r="O48" s="1882" t="s">
        <v>1041</v>
      </c>
      <c r="P48" s="1883" t="s">
        <v>1526</v>
      </c>
      <c r="Q48" s="1884" t="e">
        <f ca="1">J60</f>
        <v>#DIV/0!</v>
      </c>
      <c r="R48" s="1884" t="s">
        <v>1527</v>
      </c>
    </row>
    <row r="49" spans="1:18" s="1840" customFormat="1" ht="13.5" thickBot="1">
      <c r="A49" s="1195" t="s">
        <v>1130</v>
      </c>
      <c r="B49" s="1827" t="s">
        <v>1484</v>
      </c>
      <c r="C49" s="1364">
        <f ca="1">ROUND(F49*F51*F50*(1-F52),0)</f>
        <v>0</v>
      </c>
      <c r="D49" s="1277" t="s">
        <v>1398</v>
      </c>
      <c r="E49" s="1828" t="s">
        <v>1485</v>
      </c>
      <c r="F49" s="1282"/>
      <c r="G49" s="1889"/>
      <c r="H49" s="793"/>
      <c r="I49" s="1885" t="s">
        <v>1528</v>
      </c>
      <c r="J49" s="1890"/>
      <c r="K49" s="1887" t="s">
        <v>1529</v>
      </c>
      <c r="L49" s="1891"/>
      <c r="O49" s="1892" t="s">
        <v>1042</v>
      </c>
      <c r="P49" s="1883" t="s">
        <v>1530</v>
      </c>
      <c r="Q49" s="1884">
        <f ca="1">C29</f>
        <v>0</v>
      </c>
      <c r="R49" s="1884" t="s">
        <v>1523</v>
      </c>
    </row>
    <row r="50" spans="1:18" s="1840" customFormat="1" ht="13.5" thickBot="1">
      <c r="A50" s="1196"/>
      <c r="B50" s="1199"/>
      <c r="C50" s="1200"/>
      <c r="D50" s="1173"/>
      <c r="E50" s="1278" t="s">
        <v>1400</v>
      </c>
      <c r="F50" s="1279">
        <f ca="1">F7</f>
        <v>0</v>
      </c>
      <c r="H50" s="793"/>
      <c r="I50" s="1885" t="s">
        <v>1531</v>
      </c>
      <c r="J50" s="1893">
        <f>SUMPRODUCT((I63:I65=J47)*(J62:L62=J48)*(J63:L65))</f>
        <v>0</v>
      </c>
      <c r="K50" s="1887" t="s">
        <v>1532</v>
      </c>
      <c r="L50" s="1891"/>
      <c r="M50" s="1894"/>
      <c r="O50" s="1892" t="s">
        <v>1043</v>
      </c>
      <c r="P50" s="1883" t="s">
        <v>1533</v>
      </c>
      <c r="Q50" s="1895" t="e">
        <f ca="1">J58</f>
        <v>#DIV/0!</v>
      </c>
      <c r="R50" s="1884"/>
    </row>
    <row r="51" spans="1:18" s="1840" customFormat="1" ht="13.5" thickBot="1">
      <c r="A51" s="1197"/>
      <c r="B51" s="1199"/>
      <c r="C51" s="1200"/>
      <c r="D51" s="1173"/>
      <c r="E51" s="1201" t="s">
        <v>1401</v>
      </c>
      <c r="F51" s="348">
        <f ca="1">F8</f>
        <v>0</v>
      </c>
      <c r="I51" s="1896" t="s">
        <v>1534</v>
      </c>
      <c r="J51" s="1897">
        <f>IF(J49="",J50,J49+J50-YEAR('数据-取费表'!B2))</f>
        <v>0</v>
      </c>
      <c r="K51" s="1898" t="s">
        <v>1535</v>
      </c>
      <c r="L51" s="1899">
        <f ca="1">ROUND(-PV(INDIRECT("'数据-取费表'!h"&amp;$G$1),L48,(C39-C13*C76),0),0)</f>
        <v>0</v>
      </c>
      <c r="M51" s="1900"/>
      <c r="O51" s="1892" t="s">
        <v>1044</v>
      </c>
      <c r="P51" s="1883" t="s">
        <v>1536</v>
      </c>
      <c r="Q51" s="1895">
        <f>J52</f>
        <v>0</v>
      </c>
      <c r="R51" s="1884"/>
    </row>
    <row r="52" spans="1:18" s="1840" customFormat="1" ht="13.5" thickBot="1">
      <c r="A52" s="1197"/>
      <c r="B52" s="1199"/>
      <c r="C52" s="1200"/>
      <c r="D52" s="1173"/>
      <c r="E52" s="1201" t="s">
        <v>1402</v>
      </c>
      <c r="F52" s="1276"/>
      <c r="I52" s="1901" t="s">
        <v>1537</v>
      </c>
      <c r="J52" s="1902"/>
      <c r="K52" s="1901" t="s">
        <v>1538</v>
      </c>
      <c r="L52" s="1902"/>
      <c r="O52" s="1892" t="s">
        <v>1045</v>
      </c>
      <c r="P52" s="1883" t="s">
        <v>1539</v>
      </c>
      <c r="Q52" s="1884" t="b">
        <f>J53</f>
        <v>0</v>
      </c>
      <c r="R52" s="1884" t="s">
        <v>1540</v>
      </c>
    </row>
    <row r="53" spans="1:18" s="1840" customFormat="1" ht="30.75" customHeight="1" thickBot="1">
      <c r="A53" s="1361" t="s">
        <v>1131</v>
      </c>
      <c r="B53" s="369" t="s">
        <v>1403</v>
      </c>
      <c r="C53" s="361">
        <f ca="1">ROUND(IF(F53="押一",C49/12*F11,IF(F53="押二",C49/12*2*F11,IF(F53="押三",C49/12*3*F11,C54*F11))),0)</f>
        <v>0</v>
      </c>
      <c r="D53" s="1822" t="s">
        <v>3028</v>
      </c>
      <c r="E53" s="358" t="s">
        <v>1404</v>
      </c>
      <c r="F53" s="1366"/>
      <c r="I53" s="1903" t="s">
        <v>1541</v>
      </c>
      <c r="J53" s="1904" t="b">
        <f>IF(M47="住宅",IF(D1="——",MAX(J51,L48),IF(D1="在建（套用方法）",MAX(J51,L48-'数据-取费表'!B24),MAX(J51,L48-'数据-取费表'!B20))),IF(D1="——",MIN(J51,L48),IF(D1="在建（套用方法）",MIN(J51,L48-'数据-取费表'!B24),IF(D1="土地（套用方法）",MIN(J51,L48-'数据-取费表'!B20)))))</f>
        <v>0</v>
      </c>
      <c r="K53" s="3393" t="s">
        <v>1542</v>
      </c>
      <c r="L53" s="3394"/>
      <c r="O53" s="1882" t="s">
        <v>1046</v>
      </c>
      <c r="P53" s="1883" t="s">
        <v>1543</v>
      </c>
      <c r="Q53" s="1884" t="e">
        <f ca="1">Q47+Q48</f>
        <v>#DIV/0!</v>
      </c>
      <c r="R53" s="1884" t="s">
        <v>1047</v>
      </c>
    </row>
    <row r="54" spans="1:18" s="1840" customFormat="1" ht="13.5" thickBot="1">
      <c r="A54" s="1195"/>
      <c r="B54" s="1939" t="s">
        <v>1597</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#DIV/0!</v>
      </c>
      <c r="K55" s="1910" t="s">
        <v>1546</v>
      </c>
      <c r="L55" s="1911"/>
      <c r="O55" s="1875" t="s">
        <v>1516</v>
      </c>
      <c r="P55" s="1876" t="s">
        <v>1517</v>
      </c>
      <c r="Q55" s="1877" t="s">
        <v>1518</v>
      </c>
      <c r="R55" s="1877" t="s">
        <v>1519</v>
      </c>
    </row>
    <row r="56" spans="1:18" s="1840" customFormat="1" ht="36" customHeight="1" thickTop="1" thickBot="1">
      <c r="A56" s="1177">
        <v>2</v>
      </c>
      <c r="B56" s="1178" t="s">
        <v>1408</v>
      </c>
      <c r="C56" s="276">
        <f ca="1">C13</f>
        <v>0</v>
      </c>
      <c r="D56" s="1912"/>
      <c r="E56" s="1913"/>
      <c r="F56" s="1905"/>
      <c r="I56" s="1914" t="s">
        <v>1548</v>
      </c>
      <c r="J56" s="1915"/>
      <c r="K56" s="1885" t="s">
        <v>1549</v>
      </c>
      <c r="L56" s="1888">
        <f ca="1">IF(L48&lt;J51,"——",L48-J51)</f>
        <v>0</v>
      </c>
      <c r="O56" s="1882" t="s">
        <v>1040</v>
      </c>
      <c r="P56" s="1883" t="s">
        <v>1522</v>
      </c>
      <c r="Q56" s="1884" t="e">
        <f ca="1">C40+J29</f>
        <v>#DIV/0!</v>
      </c>
      <c r="R56" s="1884" t="s">
        <v>1523</v>
      </c>
    </row>
    <row r="57" spans="1:18" s="1840" customFormat="1" ht="24.75" thickBot="1">
      <c r="A57" s="1916"/>
      <c r="B57" s="1170" t="s">
        <v>1472</v>
      </c>
      <c r="C57" s="282">
        <f ca="1">C29</f>
        <v>0</v>
      </c>
      <c r="D57" s="1917"/>
      <c r="E57" s="1918"/>
      <c r="F57" s="1919"/>
      <c r="I57" s="1920" t="s">
        <v>1550</v>
      </c>
      <c r="J57" s="1921">
        <f ca="1">IF(OR(M47="住宅",J51&lt;L48,J56="是"),"——",J51-L48)</f>
        <v>0</v>
      </c>
      <c r="K57" s="1885" t="s">
        <v>1599</v>
      </c>
      <c r="L57" s="1888">
        <f ca="1">IF(L48&lt;J51,"——",IF(L55="比较法",L49,IF(L55="基准地价",L50,L51)))</f>
        <v>0</v>
      </c>
      <c r="O57" s="1882" t="s">
        <v>1041</v>
      </c>
      <c r="P57" s="1883" t="s">
        <v>1600</v>
      </c>
      <c r="Q57" s="1884" t="e">
        <f ca="1">L60</f>
        <v>#DIV/0!</v>
      </c>
      <c r="R57" s="1884" t="s">
        <v>1601</v>
      </c>
    </row>
    <row r="58" spans="1:18" s="1840" customFormat="1" ht="24.75" thickBot="1">
      <c r="A58" s="360" t="s">
        <v>1030</v>
      </c>
      <c r="B58" s="1178" t="s">
        <v>1418</v>
      </c>
      <c r="C58" s="361">
        <f ca="1">ROUND(C59+C64+C65+C66,0)</f>
        <v>0</v>
      </c>
      <c r="D58" s="1180" t="s">
        <v>1419</v>
      </c>
      <c r="E58" s="1181"/>
      <c r="F58" s="1182"/>
      <c r="I58" s="1920" t="s">
        <v>1554</v>
      </c>
      <c r="J58" s="1922" t="e">
        <f ca="1">IF(J55&lt;0.4,0.4,J55)</f>
        <v>#DIV/0!</v>
      </c>
      <c r="K58" s="1898" t="s">
        <v>1602</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ROUND(IF(项目基本情况!B11="自然人",C48*F59,C60+C61+C62),0)</f>
        <v>0</v>
      </c>
      <c r="D59" s="1183" t="s">
        <v>1424</v>
      </c>
      <c r="E59" s="1184" t="s">
        <v>1425</v>
      </c>
      <c r="F59" s="368" t="str">
        <f ca="1">IF(项目基本情况!B11="企业","",IF(INDIRECT("'数据-取费表'!c"&amp;$G$1)="住宅",5%,IF(F49*F50*F51/12/(1+'数据-取费表'!C42)&gt;20000,12%,7%)))</f>
        <v/>
      </c>
      <c r="I59" s="1920" t="s">
        <v>1557</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IF(项目基本情况!B11="自然人","——",ROUND(C48*F60/(1+'数据-取费表'!C42),0))</f>
        <v>0</v>
      </c>
      <c r="D60" s="1184" t="s">
        <v>1428</v>
      </c>
      <c r="E60" s="1170"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IF(项目基本情况!B11="自然人","——",IF(D61="按租金收入计税",ROUND(C48*F61,0),IF(D61="按房产原值计税",ROUND(C57*F61*0.7,0),INDIRECT("'数据-取费表'!Aj"&amp;$G$1))))</f>
        <v>0</v>
      </c>
      <c r="D61" s="1826" t="s">
        <v>1432</v>
      </c>
      <c r="E61" s="1170" t="s">
        <v>1488</v>
      </c>
      <c r="F61" s="367">
        <f t="shared" si="0"/>
        <v>1.2E-2</v>
      </c>
      <c r="I61" s="1926"/>
      <c r="J61" s="1926"/>
      <c r="K61" s="1926"/>
      <c r="L61" s="1926"/>
      <c r="O61" s="1892" t="s">
        <v>1045</v>
      </c>
      <c r="P61" s="1883" t="str">
        <f>K59</f>
        <v>建设期及建筑物耐用年限下的土地年期修正系数Kn</v>
      </c>
      <c r="Q61" s="1884" t="e">
        <f ca="1">L59</f>
        <v>#DIV/0!</v>
      </c>
      <c r="R61" s="1884" t="s">
        <v>1563</v>
      </c>
    </row>
    <row r="62" spans="1:18" s="1840" customFormat="1" ht="13.5" thickBot="1">
      <c r="A62" s="1202" t="s">
        <v>1489</v>
      </c>
      <c r="B62" s="1169" t="s">
        <v>1490</v>
      </c>
      <c r="C62" s="25">
        <f ca="1">IF(项目基本情况!B11="自然人","——",ROUND(F62*F63,0))</f>
        <v>0</v>
      </c>
      <c r="D62" s="1185" t="s">
        <v>1491</v>
      </c>
      <c r="E62" s="1170" t="s">
        <v>1492</v>
      </c>
      <c r="F62" s="371">
        <f t="shared" si="0"/>
        <v>30</v>
      </c>
      <c r="I62" s="1927" t="s">
        <v>1564</v>
      </c>
      <c r="J62" s="1928" t="s">
        <v>1565</v>
      </c>
      <c r="K62" s="1928" t="s">
        <v>1566</v>
      </c>
      <c r="L62" s="1928" t="s">
        <v>1567</v>
      </c>
      <c r="M62" s="1929" t="s">
        <v>1568</v>
      </c>
      <c r="O62" s="1882" t="s">
        <v>1046</v>
      </c>
      <c r="P62" s="1883" t="s">
        <v>1569</v>
      </c>
      <c r="Q62" s="1884" t="e">
        <f ca="1">Q56+Q57</f>
        <v>#DIV/0!</v>
      </c>
      <c r="R62" s="1884" t="s">
        <v>1047</v>
      </c>
    </row>
    <row r="63" spans="1:18" s="1840" customFormat="1" ht="13.5" thickBot="1">
      <c r="A63" s="372"/>
      <c r="B63" s="1176"/>
      <c r="C63" s="29"/>
      <c r="D63" s="1186"/>
      <c r="E63" s="1170" t="s">
        <v>1493</v>
      </c>
      <c r="F63" s="348">
        <f t="shared" ca="1" si="0"/>
        <v>0</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ROUND(C57*F64,0)</f>
        <v>0</v>
      </c>
      <c r="D64" s="1184" t="s">
        <v>1496</v>
      </c>
      <c r="E64" s="1170" t="s">
        <v>1488</v>
      </c>
      <c r="F64" s="374">
        <f t="shared" ca="1" si="0"/>
        <v>0</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ROUND(C56*F65,0)</f>
        <v>0</v>
      </c>
      <c r="D65" s="1184" t="s">
        <v>1448</v>
      </c>
      <c r="E65" s="1170" t="s">
        <v>1449</v>
      </c>
      <c r="F65" s="376">
        <f t="shared" ca="1" si="0"/>
        <v>0</v>
      </c>
      <c r="I65" s="1927" t="s">
        <v>1573</v>
      </c>
      <c r="J65" s="1928">
        <v>40</v>
      </c>
      <c r="K65" s="1928">
        <v>30</v>
      </c>
      <c r="L65" s="1928">
        <v>50</v>
      </c>
      <c r="M65" s="1930">
        <v>0.02</v>
      </c>
      <c r="O65" s="1882" t="s">
        <v>1040</v>
      </c>
      <c r="P65" s="1883" t="s">
        <v>1574</v>
      </c>
      <c r="Q65" s="1884" t="e">
        <f ca="1">C40+J29</f>
        <v>#DIV/0!</v>
      </c>
      <c r="R65" s="1884" t="s">
        <v>1523</v>
      </c>
    </row>
    <row r="66" spans="1:18" s="1840" customFormat="1" ht="16.5" thickBot="1">
      <c r="A66" s="1202" t="s">
        <v>1498</v>
      </c>
      <c r="B66" s="1170" t="s">
        <v>1433</v>
      </c>
      <c r="C66" s="24">
        <f ca="1">ROUND(C48*F66,0)</f>
        <v>0</v>
      </c>
      <c r="D66" s="1184" t="s">
        <v>1499</v>
      </c>
      <c r="E66" s="1170" t="s">
        <v>1416</v>
      </c>
      <c r="F66" s="357">
        <f t="shared" ca="1" si="0"/>
        <v>0</v>
      </c>
      <c r="O66" s="1882" t="s">
        <v>1041</v>
      </c>
      <c r="P66" s="1883" t="s">
        <v>1552</v>
      </c>
      <c r="Q66" s="1884" t="e">
        <f ca="1">L60</f>
        <v>#DIV/0!</v>
      </c>
      <c r="R66" s="1884" t="s">
        <v>1575</v>
      </c>
    </row>
    <row r="67" spans="1:18" s="1840" customFormat="1" ht="16.5" thickBot="1">
      <c r="A67" s="1177" t="s">
        <v>1031</v>
      </c>
      <c r="B67" s="1187" t="s">
        <v>1457</v>
      </c>
      <c r="C67" s="361">
        <f ca="1">C48-C58</f>
        <v>0</v>
      </c>
      <c r="D67" s="1183" t="s">
        <v>1458</v>
      </c>
      <c r="E67" s="1188"/>
      <c r="F67" s="1189"/>
      <c r="O67" s="1892" t="s">
        <v>1042</v>
      </c>
      <c r="P67" s="1883" t="s">
        <v>1556</v>
      </c>
      <c r="Q67" s="1931">
        <f ca="1">L51</f>
        <v>0</v>
      </c>
      <c r="R67" s="1884" t="s">
        <v>1576</v>
      </c>
    </row>
    <row r="68" spans="1:18" s="1840" customFormat="1" ht="16.5" thickBot="1">
      <c r="A68" s="1167" t="s">
        <v>1032</v>
      </c>
      <c r="B68" s="1168" t="s">
        <v>1479</v>
      </c>
      <c r="C68" s="346" t="e">
        <f ca="1">ROUND(C67*(1-((1+F70)/(1+F68))^F69)/(F68-F70),0)</f>
        <v>#DIV/0!</v>
      </c>
      <c r="D68" s="1185" t="s">
        <v>1463</v>
      </c>
      <c r="E68" s="1170" t="s">
        <v>1464</v>
      </c>
      <c r="F68" s="357">
        <f ca="1">F40</f>
        <v>0</v>
      </c>
      <c r="O68" s="1892" t="s">
        <v>1043</v>
      </c>
      <c r="P68" s="1932" t="s">
        <v>1577</v>
      </c>
      <c r="Q68" s="1884">
        <f ca="1">ROUND(Q69-Q70*Q71,0)</f>
        <v>0</v>
      </c>
      <c r="R68" s="1884" t="s">
        <v>1051</v>
      </c>
    </row>
    <row r="69" spans="1:18" s="1840" customFormat="1" ht="13.5" thickBot="1">
      <c r="A69" s="1171"/>
      <c r="B69" s="1172"/>
      <c r="C69" s="351"/>
      <c r="D69" s="1190" t="s">
        <v>1467</v>
      </c>
      <c r="E69" s="1170" t="s">
        <v>1468</v>
      </c>
      <c r="F69" s="379">
        <f ca="1">F41</f>
        <v>0</v>
      </c>
      <c r="O69" s="1892" t="s">
        <v>1048</v>
      </c>
      <c r="P69" s="1932" t="s">
        <v>1578</v>
      </c>
      <c r="Q69" s="1884">
        <f ca="1">C39</f>
        <v>0</v>
      </c>
      <c r="R69" s="1884" t="s">
        <v>1523</v>
      </c>
    </row>
    <row r="70" spans="1:18" s="1840" customFormat="1" ht="13.5" thickBot="1">
      <c r="A70" s="1174"/>
      <c r="B70" s="1175"/>
      <c r="C70" s="355"/>
      <c r="D70" s="1186"/>
      <c r="E70" s="1170" t="s">
        <v>1471</v>
      </c>
      <c r="F70" s="1276">
        <f ca="1">F42</f>
        <v>0</v>
      </c>
      <c r="O70" s="1892" t="s">
        <v>1049</v>
      </c>
      <c r="P70" s="1932" t="s">
        <v>1579</v>
      </c>
      <c r="Q70" s="1884">
        <f ca="1">C13</f>
        <v>0</v>
      </c>
      <c r="R70" s="1884" t="s">
        <v>1523</v>
      </c>
    </row>
    <row r="71" spans="1:18" s="1840" customFormat="1" ht="13.5" thickBot="1">
      <c r="A71" s="1191" t="s">
        <v>1033</v>
      </c>
      <c r="B71" s="1192" t="s">
        <v>1481</v>
      </c>
      <c r="C71" s="382" t="e">
        <f ca="1">ROUND(C68/F71,0)</f>
        <v>#DIV/0!</v>
      </c>
      <c r="D71" s="1193" t="s">
        <v>1482</v>
      </c>
      <c r="E71" s="1194" t="s">
        <v>1483</v>
      </c>
      <c r="F71" s="385">
        <f ca="1">F43</f>
        <v>0</v>
      </c>
      <c r="O71" s="1892" t="s">
        <v>1050</v>
      </c>
      <c r="P71" s="1932" t="s">
        <v>1580</v>
      </c>
      <c r="Q71" s="1895">
        <f ca="1">C76</f>
        <v>0</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建设期及建筑物耐用年限下的土地年期修正系数Kn</v>
      </c>
      <c r="Q74" s="1884" t="e">
        <f ca="1">L59</f>
        <v>#DIV/0!</v>
      </c>
      <c r="R74" s="1884" t="s">
        <v>1563</v>
      </c>
    </row>
    <row r="75" spans="1:18" ht="13.5" thickBot="1">
      <c r="A75" s="1840"/>
      <c r="B75" s="386" t="s">
        <v>1500</v>
      </c>
      <c r="C75" s="387">
        <f ca="1">ROUND(C13*C76,0)</f>
        <v>0</v>
      </c>
      <c r="D75" s="1840"/>
      <c r="E75" s="1840"/>
      <c r="F75" s="1840"/>
      <c r="K75" s="1866"/>
      <c r="L75" s="1840"/>
      <c r="O75" s="1882" t="s">
        <v>1046</v>
      </c>
      <c r="P75" s="1883" t="s">
        <v>1543</v>
      </c>
      <c r="Q75" s="1884" t="e">
        <f ca="1">Q65+Q66</f>
        <v>#DIV/0!</v>
      </c>
      <c r="R75" s="1884" t="s">
        <v>1047</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1"/>
      <c r="D2" s="1365" t="e">
        <f ca="1">SUMIF(INDIRECT("'"&amp;F2&amp;"'"&amp;"!A:A"),"承租人权益价值",INDIRECT("'"&amp;F2&amp;"'"&amp;"!c:c"))</f>
        <v>#REF!</v>
      </c>
      <c r="E2" s="2582" t="s">
        <v>2519</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2520</v>
      </c>
      <c r="D3" s="399">
        <f>IF(D1="",'数据-汇总表'!E3,SUMIF('数据-汇总表'!$C19:$C33,D1,'数据-汇总表'!$E19:$E33))</f>
        <v>98810.33</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3"/>
    </row>
    <row r="4" spans="1:29" ht="15">
      <c r="A4" s="401" t="s">
        <v>2521</v>
      </c>
      <c r="B4" s="402"/>
      <c r="C4" s="3318" t="s">
        <v>2522</v>
      </c>
      <c r="D4" s="3319"/>
      <c r="E4" s="3320" t="s">
        <v>2523</v>
      </c>
      <c r="F4" s="3321"/>
      <c r="G4" s="3318" t="s">
        <v>2524</v>
      </c>
      <c r="H4" s="3319"/>
      <c r="I4" s="3318" t="s">
        <v>2525</v>
      </c>
      <c r="J4" s="3319"/>
      <c r="K4" s="2591" t="s">
        <v>2526</v>
      </c>
      <c r="L4" s="1131"/>
      <c r="M4" s="1132"/>
      <c r="N4" s="1132"/>
      <c r="O4" s="1132"/>
      <c r="P4" s="3359" t="s">
        <v>2527</v>
      </c>
      <c r="Q4" s="3360"/>
      <c r="R4" s="3363" t="s">
        <v>2523</v>
      </c>
      <c r="S4" s="3364"/>
      <c r="T4" s="3363" t="s">
        <v>2524</v>
      </c>
      <c r="U4" s="3364"/>
      <c r="V4" s="3335" t="s">
        <v>2525</v>
      </c>
      <c r="W4" s="3335"/>
      <c r="X4" s="1811"/>
      <c r="Y4" s="3363" t="s">
        <v>2527</v>
      </c>
      <c r="Z4" s="3364"/>
      <c r="AA4" s="3358" t="s">
        <v>2523</v>
      </c>
      <c r="AB4" s="3358" t="s">
        <v>2524</v>
      </c>
      <c r="AC4" s="3358" t="s">
        <v>2525</v>
      </c>
    </row>
    <row r="5" spans="1:29" ht="15">
      <c r="A5" s="404"/>
      <c r="B5" s="405"/>
      <c r="C5" s="3338" t="s">
        <v>2528</v>
      </c>
      <c r="D5" s="3339"/>
      <c r="E5" s="3349" t="s">
        <v>2529</v>
      </c>
      <c r="F5" s="3350"/>
      <c r="G5" s="3338" t="s">
        <v>2530</v>
      </c>
      <c r="H5" s="3339"/>
      <c r="I5" s="3338" t="s">
        <v>2531</v>
      </c>
      <c r="J5" s="3339"/>
      <c r="K5" s="2592"/>
      <c r="L5" s="1131"/>
      <c r="M5" s="1132"/>
      <c r="N5" s="1132"/>
      <c r="O5" s="1132"/>
      <c r="P5" s="3361"/>
      <c r="Q5" s="3325"/>
      <c r="R5" s="3330"/>
      <c r="S5" s="3331"/>
      <c r="T5" s="3330"/>
      <c r="U5" s="3331"/>
      <c r="V5" s="3335"/>
      <c r="W5" s="3335"/>
      <c r="X5" s="1811"/>
      <c r="Y5" s="3330"/>
      <c r="Z5" s="3331"/>
      <c r="AA5" s="3347"/>
      <c r="AB5" s="3347"/>
      <c r="AC5" s="3347"/>
    </row>
    <row r="6" spans="1:29" ht="15.75" thickBot="1">
      <c r="A6" s="406"/>
      <c r="B6" s="407"/>
      <c r="C6" s="3336" t="s">
        <v>2532</v>
      </c>
      <c r="D6" s="3337"/>
      <c r="E6" s="3344" t="s">
        <v>2532</v>
      </c>
      <c r="F6" s="3345"/>
      <c r="G6" s="3336" t="s">
        <v>2532</v>
      </c>
      <c r="H6" s="3337"/>
      <c r="I6" s="3336" t="s">
        <v>2532</v>
      </c>
      <c r="J6" s="3337"/>
      <c r="K6" s="2592" t="s">
        <v>2533</v>
      </c>
      <c r="L6" s="1131"/>
      <c r="M6" s="1132"/>
      <c r="N6" s="1132"/>
      <c r="O6" s="1132"/>
      <c r="P6" s="3362"/>
      <c r="Q6" s="3327"/>
      <c r="R6" s="3330"/>
      <c r="S6" s="3331"/>
      <c r="T6" s="3332"/>
      <c r="U6" s="3333"/>
      <c r="V6" s="3335"/>
      <c r="W6" s="3335"/>
      <c r="X6" s="1811"/>
      <c r="Y6" s="3332"/>
      <c r="Z6" s="3333"/>
      <c r="AA6" s="3348"/>
      <c r="AB6" s="3348"/>
      <c r="AC6" s="3348"/>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342" t="s">
        <v>2535</v>
      </c>
      <c r="Q7" s="3343"/>
      <c r="R7" s="770" t="s">
        <v>23</v>
      </c>
      <c r="S7" s="771">
        <f t="shared" ref="S7:S15" si="0">F7</f>
        <v>0</v>
      </c>
      <c r="T7" s="770" t="s">
        <v>23</v>
      </c>
      <c r="U7" s="771">
        <f t="shared" ref="U7:U15" si="1">H7</f>
        <v>0</v>
      </c>
      <c r="V7" s="770" t="s">
        <v>23</v>
      </c>
      <c r="W7" s="771">
        <f t="shared" ref="W7:W15" si="2">J7</f>
        <v>0</v>
      </c>
      <c r="X7" s="772"/>
      <c r="Y7" s="3342" t="s">
        <v>2535</v>
      </c>
      <c r="Z7" s="3341"/>
      <c r="AA7" s="773" t="e">
        <f>D7/F7</f>
        <v>#DIV/0!</v>
      </c>
      <c r="AB7" s="773" t="e">
        <f>D7/H7</f>
        <v>#DIV/0!</v>
      </c>
      <c r="AC7" s="773"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342" t="s">
        <v>2538</v>
      </c>
      <c r="Q8" s="3341"/>
      <c r="R8" s="770" t="s">
        <v>23</v>
      </c>
      <c r="S8" s="771">
        <f t="shared" si="0"/>
        <v>0</v>
      </c>
      <c r="T8" s="770" t="s">
        <v>23</v>
      </c>
      <c r="U8" s="771">
        <f t="shared" si="1"/>
        <v>0</v>
      </c>
      <c r="V8" s="770" t="s">
        <v>23</v>
      </c>
      <c r="W8" s="771">
        <f t="shared" si="2"/>
        <v>0</v>
      </c>
      <c r="X8" s="772"/>
      <c r="Y8" s="3342" t="s">
        <v>2538</v>
      </c>
      <c r="Z8" s="3341"/>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300" t="s">
        <v>2541</v>
      </c>
      <c r="Q9" s="1793" t="str">
        <f t="shared" ref="Q9:Q15" si="6">B9</f>
        <v>用途</v>
      </c>
      <c r="R9" s="770" t="s">
        <v>17</v>
      </c>
      <c r="S9" s="771">
        <f t="shared" si="0"/>
        <v>100</v>
      </c>
      <c r="T9" s="770" t="s">
        <v>17</v>
      </c>
      <c r="U9" s="771">
        <f t="shared" si="1"/>
        <v>100</v>
      </c>
      <c r="V9" s="770" t="s">
        <v>17</v>
      </c>
      <c r="W9" s="771">
        <f t="shared" si="2"/>
        <v>100</v>
      </c>
      <c r="X9" s="772"/>
      <c r="Y9" s="3126"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300"/>
      <c r="Q10" s="1793" t="str">
        <f t="shared" si="6"/>
        <v>土地使用年限（年）</v>
      </c>
      <c r="R10" s="770" t="s">
        <v>17</v>
      </c>
      <c r="S10" s="771">
        <f t="shared" si="0"/>
        <v>100</v>
      </c>
      <c r="T10" s="770" t="s">
        <v>17</v>
      </c>
      <c r="U10" s="771">
        <f t="shared" si="1"/>
        <v>100</v>
      </c>
      <c r="V10" s="770" t="s">
        <v>17</v>
      </c>
      <c r="W10" s="771">
        <f t="shared" si="2"/>
        <v>100</v>
      </c>
      <c r="X10" s="772"/>
      <c r="Y10" s="3126"/>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300"/>
      <c r="Q11" s="1793" t="str">
        <f t="shared" si="6"/>
        <v>容积率</v>
      </c>
      <c r="R11" s="770" t="s">
        <v>21</v>
      </c>
      <c r="S11" s="771" t="e">
        <f t="shared" si="0"/>
        <v>#N/A</v>
      </c>
      <c r="T11" s="770" t="s">
        <v>21</v>
      </c>
      <c r="U11" s="771" t="e">
        <f t="shared" si="1"/>
        <v>#N/A</v>
      </c>
      <c r="V11" s="770" t="s">
        <v>21</v>
      </c>
      <c r="W11" s="771" t="e">
        <f t="shared" si="2"/>
        <v>#N/A</v>
      </c>
      <c r="X11" s="772"/>
      <c r="Y11" s="3126"/>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300"/>
      <c r="Q12" s="1793">
        <f t="shared" si="6"/>
        <v>111</v>
      </c>
      <c r="R12" s="770" t="s">
        <v>21</v>
      </c>
      <c r="S12" s="771">
        <f t="shared" si="0"/>
        <v>100</v>
      </c>
      <c r="T12" s="770" t="s">
        <v>21</v>
      </c>
      <c r="U12" s="771">
        <f t="shared" si="1"/>
        <v>100</v>
      </c>
      <c r="V12" s="770" t="s">
        <v>21</v>
      </c>
      <c r="W12" s="771">
        <f t="shared" si="2"/>
        <v>100</v>
      </c>
      <c r="X12" s="772"/>
      <c r="Y12" s="3126"/>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300"/>
      <c r="Q13" s="1793">
        <f t="shared" si="6"/>
        <v>111</v>
      </c>
      <c r="R13" s="770" t="s">
        <v>21</v>
      </c>
      <c r="S13" s="771">
        <f t="shared" si="0"/>
        <v>100</v>
      </c>
      <c r="T13" s="770" t="s">
        <v>21</v>
      </c>
      <c r="U13" s="771">
        <f t="shared" si="1"/>
        <v>100</v>
      </c>
      <c r="V13" s="770" t="s">
        <v>21</v>
      </c>
      <c r="W13" s="771">
        <f t="shared" si="2"/>
        <v>100</v>
      </c>
      <c r="X13" s="772"/>
      <c r="Y13" s="3126"/>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300"/>
      <c r="Q14" s="1793">
        <f t="shared" si="6"/>
        <v>111</v>
      </c>
      <c r="R14" s="770" t="s">
        <v>21</v>
      </c>
      <c r="S14" s="771">
        <f t="shared" si="0"/>
        <v>100</v>
      </c>
      <c r="T14" s="770" t="s">
        <v>21</v>
      </c>
      <c r="U14" s="771">
        <f t="shared" si="1"/>
        <v>100</v>
      </c>
      <c r="V14" s="770" t="s">
        <v>21</v>
      </c>
      <c r="W14" s="771">
        <f t="shared" si="2"/>
        <v>100</v>
      </c>
      <c r="X14" s="772"/>
      <c r="Y14" s="3126"/>
      <c r="Z14" s="55">
        <f t="shared" si="7"/>
        <v>111</v>
      </c>
      <c r="AA14" s="773">
        <f t="shared" si="3"/>
        <v>1</v>
      </c>
      <c r="AB14" s="773">
        <f t="shared" si="4"/>
        <v>1</v>
      </c>
      <c r="AC14" s="773">
        <f t="shared" si="5"/>
        <v>1</v>
      </c>
    </row>
    <row r="15" spans="1:29" ht="15">
      <c r="A15" s="440" t="s">
        <v>2545</v>
      </c>
      <c r="B15" s="69" t="s">
        <v>2078</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306" t="s">
        <v>2546</v>
      </c>
      <c r="Q15" s="1808" t="str">
        <f t="shared" si="6"/>
        <v>居住社区成熟度</v>
      </c>
      <c r="R15" s="774" t="s">
        <v>21</v>
      </c>
      <c r="S15" s="775">
        <f t="shared" si="0"/>
        <v>100</v>
      </c>
      <c r="T15" s="774" t="s">
        <v>21</v>
      </c>
      <c r="U15" s="775">
        <f t="shared" si="1"/>
        <v>100</v>
      </c>
      <c r="V15" s="774" t="s">
        <v>21</v>
      </c>
      <c r="W15" s="775">
        <f t="shared" si="2"/>
        <v>100</v>
      </c>
      <c r="X15" s="1811"/>
      <c r="Y15" s="3308"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1"/>
      <c r="M16" s="1132"/>
      <c r="N16" s="1132"/>
      <c r="O16" s="1132"/>
      <c r="P16" s="3307"/>
      <c r="Q16" s="1808"/>
      <c r="R16" s="774"/>
      <c r="S16" s="775"/>
      <c r="T16" s="774"/>
      <c r="U16" s="775"/>
      <c r="V16" s="774"/>
      <c r="W16" s="775"/>
      <c r="X16" s="1811"/>
      <c r="Y16" s="3309"/>
      <c r="Z16" s="1812"/>
      <c r="AA16" s="1809">
        <v>1</v>
      </c>
      <c r="AB16" s="1809">
        <v>1</v>
      </c>
      <c r="AC16" s="1809">
        <v>1</v>
      </c>
    </row>
    <row r="17" spans="1:29" ht="15">
      <c r="A17" s="428"/>
      <c r="B17" s="451" t="s">
        <v>2084</v>
      </c>
      <c r="C17" s="2602"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307"/>
      <c r="Q17" s="1808" t="str">
        <f>B17</f>
        <v>交通便捷度</v>
      </c>
      <c r="R17" s="774" t="s">
        <v>21</v>
      </c>
      <c r="S17" s="775">
        <f>F17</f>
        <v>100</v>
      </c>
      <c r="T17" s="774" t="s">
        <v>21</v>
      </c>
      <c r="U17" s="775">
        <f>H17</f>
        <v>100</v>
      </c>
      <c r="V17" s="774" t="s">
        <v>21</v>
      </c>
      <c r="W17" s="775">
        <f>J17</f>
        <v>100</v>
      </c>
      <c r="X17" s="1811"/>
      <c r="Y17" s="3309"/>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1"/>
      <c r="M18" s="1132"/>
      <c r="N18" s="1132"/>
      <c r="O18" s="1132"/>
      <c r="P18" s="3307"/>
      <c r="Q18" s="1808"/>
      <c r="R18" s="774"/>
      <c r="S18" s="775"/>
      <c r="T18" s="774"/>
      <c r="U18" s="775"/>
      <c r="V18" s="774"/>
      <c r="W18" s="775"/>
      <c r="X18" s="1811"/>
      <c r="Y18" s="3309"/>
      <c r="Z18" s="1812"/>
      <c r="AA18" s="1809">
        <v>1</v>
      </c>
      <c r="AB18" s="1809">
        <v>1</v>
      </c>
      <c r="AC18" s="1809">
        <v>1</v>
      </c>
    </row>
    <row r="19" spans="1:29" ht="15">
      <c r="A19" s="428"/>
      <c r="B19" s="451" t="s">
        <v>2083</v>
      </c>
      <c r="C19" s="2602"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307"/>
      <c r="Q19" s="1808" t="str">
        <f>B19</f>
        <v>公共配套设施</v>
      </c>
      <c r="R19" s="774" t="s">
        <v>21</v>
      </c>
      <c r="S19" s="775">
        <f>F19</f>
        <v>100</v>
      </c>
      <c r="T19" s="774" t="s">
        <v>21</v>
      </c>
      <c r="U19" s="775">
        <f>H19</f>
        <v>100</v>
      </c>
      <c r="V19" s="774" t="s">
        <v>21</v>
      </c>
      <c r="W19" s="775">
        <f>J19</f>
        <v>100</v>
      </c>
      <c r="X19" s="1811"/>
      <c r="Y19" s="3309"/>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1"/>
      <c r="M20" s="1132"/>
      <c r="N20" s="1132"/>
      <c r="O20" s="1132"/>
      <c r="P20" s="3307"/>
      <c r="Q20" s="1808"/>
      <c r="R20" s="774"/>
      <c r="S20" s="775"/>
      <c r="T20" s="774"/>
      <c r="U20" s="775"/>
      <c r="V20" s="774"/>
      <c r="W20" s="775"/>
      <c r="X20" s="1811"/>
      <c r="Y20" s="3309"/>
      <c r="Z20" s="1812"/>
      <c r="AA20" s="1809">
        <v>1</v>
      </c>
      <c r="AB20" s="1809">
        <v>1</v>
      </c>
      <c r="AC20" s="1809">
        <v>1</v>
      </c>
    </row>
    <row r="21" spans="1:29" ht="15">
      <c r="A21" s="428"/>
      <c r="B21" s="1384" t="s">
        <v>2085</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307"/>
      <c r="Q21" s="1808" t="str">
        <f>B21</f>
        <v>基础设施水平</v>
      </c>
      <c r="R21" s="774" t="s">
        <v>17</v>
      </c>
      <c r="S21" s="775">
        <f>F21</f>
        <v>100</v>
      </c>
      <c r="T21" s="774" t="s">
        <v>17</v>
      </c>
      <c r="U21" s="775">
        <f>H21</f>
        <v>100</v>
      </c>
      <c r="V21" s="774" t="s">
        <v>17</v>
      </c>
      <c r="W21" s="775">
        <f>J21</f>
        <v>100</v>
      </c>
      <c r="X21" s="1811"/>
      <c r="Y21" s="3309"/>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1"/>
      <c r="M22" s="1132"/>
      <c r="N22" s="1132"/>
      <c r="O22" s="1132"/>
      <c r="P22" s="3307"/>
      <c r="Q22" s="1808"/>
      <c r="R22" s="774"/>
      <c r="S22" s="775"/>
      <c r="T22" s="774"/>
      <c r="U22" s="775"/>
      <c r="V22" s="774"/>
      <c r="W22" s="775"/>
      <c r="X22" s="1811"/>
      <c r="Y22" s="3309"/>
      <c r="Z22" s="1812"/>
      <c r="AA22" s="1809">
        <v>1</v>
      </c>
      <c r="AB22" s="1809">
        <v>1</v>
      </c>
      <c r="AC22" s="1809">
        <v>1</v>
      </c>
    </row>
    <row r="23" spans="1:29" ht="15">
      <c r="A23" s="428"/>
      <c r="B23" s="451" t="s">
        <v>2087</v>
      </c>
      <c r="C23" s="2602"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307"/>
      <c r="Q23" s="1808" t="str">
        <f>B23</f>
        <v>自然及人文环境</v>
      </c>
      <c r="R23" s="774" t="s">
        <v>21</v>
      </c>
      <c r="S23" s="775">
        <f>F23</f>
        <v>100</v>
      </c>
      <c r="T23" s="774" t="s">
        <v>21</v>
      </c>
      <c r="U23" s="775">
        <f>H23</f>
        <v>100</v>
      </c>
      <c r="V23" s="774" t="s">
        <v>21</v>
      </c>
      <c r="W23" s="775">
        <f>J23</f>
        <v>100</v>
      </c>
      <c r="X23" s="1811"/>
      <c r="Y23" s="3309"/>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1"/>
      <c r="M24" s="1132"/>
      <c r="N24" s="1132"/>
      <c r="O24" s="1132"/>
      <c r="P24" s="3307"/>
      <c r="Q24" s="1808"/>
      <c r="R24" s="774"/>
      <c r="S24" s="775"/>
      <c r="T24" s="774"/>
      <c r="U24" s="775"/>
      <c r="V24" s="774"/>
      <c r="W24" s="775"/>
      <c r="X24" s="1811"/>
      <c r="Y24" s="3309"/>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307"/>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309"/>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307"/>
      <c r="Q26" s="1808" t="str">
        <f t="shared" si="11"/>
        <v>朝向</v>
      </c>
      <c r="R26" s="774" t="s">
        <v>21</v>
      </c>
      <c r="S26" s="775">
        <f t="shared" si="12"/>
        <v>100</v>
      </c>
      <c r="T26" s="774" t="s">
        <v>21</v>
      </c>
      <c r="U26" s="775">
        <f t="shared" si="13"/>
        <v>100</v>
      </c>
      <c r="V26" s="774" t="s">
        <v>21</v>
      </c>
      <c r="W26" s="775">
        <f t="shared" si="14"/>
        <v>100</v>
      </c>
      <c r="X26" s="1811"/>
      <c r="Y26" s="3309"/>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307"/>
      <c r="Q27" s="1793">
        <f t="shared" si="11"/>
        <v>111</v>
      </c>
      <c r="R27" s="770" t="s">
        <v>21</v>
      </c>
      <c r="S27" s="771">
        <f t="shared" si="12"/>
        <v>100</v>
      </c>
      <c r="T27" s="770" t="s">
        <v>21</v>
      </c>
      <c r="U27" s="771">
        <f t="shared" si="13"/>
        <v>100</v>
      </c>
      <c r="V27" s="770" t="s">
        <v>21</v>
      </c>
      <c r="W27" s="771">
        <f t="shared" si="14"/>
        <v>100</v>
      </c>
      <c r="X27" s="772"/>
      <c r="Y27" s="3309"/>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307"/>
      <c r="Q28" s="1808">
        <f t="shared" si="11"/>
        <v>111</v>
      </c>
      <c r="R28" s="774" t="s">
        <v>21</v>
      </c>
      <c r="S28" s="775">
        <f t="shared" si="12"/>
        <v>100</v>
      </c>
      <c r="T28" s="774" t="s">
        <v>21</v>
      </c>
      <c r="U28" s="775">
        <f t="shared" si="13"/>
        <v>100</v>
      </c>
      <c r="V28" s="774" t="s">
        <v>21</v>
      </c>
      <c r="W28" s="775">
        <f t="shared" si="14"/>
        <v>100</v>
      </c>
      <c r="X28" s="1811"/>
      <c r="Y28" s="3309"/>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307"/>
      <c r="Q29" s="1808">
        <f t="shared" si="11"/>
        <v>111</v>
      </c>
      <c r="R29" s="774" t="s">
        <v>21</v>
      </c>
      <c r="S29" s="775">
        <f t="shared" si="12"/>
        <v>100</v>
      </c>
      <c r="T29" s="774" t="s">
        <v>21</v>
      </c>
      <c r="U29" s="775">
        <f t="shared" si="13"/>
        <v>100</v>
      </c>
      <c r="V29" s="774" t="s">
        <v>21</v>
      </c>
      <c r="W29" s="775">
        <f t="shared" si="14"/>
        <v>100</v>
      </c>
      <c r="X29" s="1811"/>
      <c r="Y29" s="3309"/>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307"/>
      <c r="Q30" s="1808">
        <f t="shared" si="11"/>
        <v>111</v>
      </c>
      <c r="R30" s="774" t="s">
        <v>21</v>
      </c>
      <c r="S30" s="775">
        <f t="shared" si="12"/>
        <v>100</v>
      </c>
      <c r="T30" s="774" t="s">
        <v>21</v>
      </c>
      <c r="U30" s="775">
        <f t="shared" si="13"/>
        <v>100</v>
      </c>
      <c r="V30" s="774" t="s">
        <v>21</v>
      </c>
      <c r="W30" s="775">
        <f t="shared" si="14"/>
        <v>100</v>
      </c>
      <c r="X30" s="1811"/>
      <c r="Y30" s="3309"/>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307"/>
      <c r="Q31" s="1808">
        <f t="shared" si="11"/>
        <v>111</v>
      </c>
      <c r="R31" s="774" t="s">
        <v>21</v>
      </c>
      <c r="S31" s="775">
        <f t="shared" si="12"/>
        <v>100</v>
      </c>
      <c r="T31" s="774" t="s">
        <v>21</v>
      </c>
      <c r="U31" s="775">
        <f t="shared" si="13"/>
        <v>100</v>
      </c>
      <c r="V31" s="774" t="s">
        <v>21</v>
      </c>
      <c r="W31" s="775">
        <f t="shared" si="14"/>
        <v>100</v>
      </c>
      <c r="X31" s="1811"/>
      <c r="Y31" s="3309"/>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310" t="s">
        <v>2551</v>
      </c>
      <c r="Q32" s="1808" t="str">
        <f t="shared" si="11"/>
        <v>建筑类型</v>
      </c>
      <c r="R32" s="774" t="s">
        <v>21</v>
      </c>
      <c r="S32" s="775">
        <f t="shared" si="12"/>
        <v>100</v>
      </c>
      <c r="T32" s="774" t="s">
        <v>21</v>
      </c>
      <c r="U32" s="775">
        <f t="shared" si="13"/>
        <v>100</v>
      </c>
      <c r="V32" s="774" t="s">
        <v>21</v>
      </c>
      <c r="W32" s="775">
        <f t="shared" si="14"/>
        <v>100</v>
      </c>
      <c r="X32" s="1811"/>
      <c r="Y32" s="3313"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311"/>
      <c r="Q33" s="776" t="str">
        <f t="shared" si="11"/>
        <v>项目建筑规模</v>
      </c>
      <c r="R33" s="777" t="s">
        <v>21</v>
      </c>
      <c r="S33" s="778" t="e">
        <f t="shared" si="12"/>
        <v>#N/A</v>
      </c>
      <c r="T33" s="777" t="s">
        <v>21</v>
      </c>
      <c r="U33" s="778" t="e">
        <f t="shared" si="13"/>
        <v>#N/A</v>
      </c>
      <c r="V33" s="777" t="s">
        <v>21</v>
      </c>
      <c r="W33" s="778" t="e">
        <f t="shared" si="14"/>
        <v>#N/A</v>
      </c>
      <c r="X33" s="779"/>
      <c r="Y33" s="3313"/>
      <c r="Z33" s="780"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311"/>
      <c r="Q34" s="1808" t="str">
        <f t="shared" si="11"/>
        <v>建筑结构</v>
      </c>
      <c r="R34" s="774" t="s">
        <v>21</v>
      </c>
      <c r="S34" s="775">
        <f t="shared" si="12"/>
        <v>100</v>
      </c>
      <c r="T34" s="774" t="s">
        <v>21</v>
      </c>
      <c r="U34" s="775">
        <f t="shared" si="13"/>
        <v>100</v>
      </c>
      <c r="V34" s="774" t="s">
        <v>21</v>
      </c>
      <c r="W34" s="775">
        <f t="shared" si="14"/>
        <v>100</v>
      </c>
      <c r="X34" s="1811"/>
      <c r="Y34" s="3313"/>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311"/>
      <c r="Q35" s="1808" t="str">
        <f t="shared" si="11"/>
        <v>建筑品质</v>
      </c>
      <c r="R35" s="774" t="s">
        <v>21</v>
      </c>
      <c r="S35" s="775">
        <f t="shared" si="12"/>
        <v>100</v>
      </c>
      <c r="T35" s="774" t="s">
        <v>21</v>
      </c>
      <c r="U35" s="775">
        <f t="shared" si="13"/>
        <v>100</v>
      </c>
      <c r="V35" s="774" t="s">
        <v>21</v>
      </c>
      <c r="W35" s="775">
        <f t="shared" si="14"/>
        <v>100</v>
      </c>
      <c r="X35" s="1811"/>
      <c r="Y35" s="3313"/>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311"/>
      <c r="Q36" s="1808" t="str">
        <f t="shared" si="11"/>
        <v>公共部分装修</v>
      </c>
      <c r="R36" s="774" t="s">
        <v>21</v>
      </c>
      <c r="S36" s="775">
        <f t="shared" si="12"/>
        <v>100</v>
      </c>
      <c r="T36" s="774" t="s">
        <v>21</v>
      </c>
      <c r="U36" s="775">
        <f t="shared" si="13"/>
        <v>100</v>
      </c>
      <c r="V36" s="774" t="s">
        <v>21</v>
      </c>
      <c r="W36" s="775">
        <f t="shared" si="14"/>
        <v>100</v>
      </c>
      <c r="X36" s="1811"/>
      <c r="Y36" s="3313"/>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311"/>
      <c r="Q37" s="1793" t="str">
        <f t="shared" si="11"/>
        <v>成新度</v>
      </c>
      <c r="R37" s="770" t="s">
        <v>21</v>
      </c>
      <c r="S37" s="771" t="e">
        <f t="shared" si="12"/>
        <v>#N/A</v>
      </c>
      <c r="T37" s="770" t="s">
        <v>21</v>
      </c>
      <c r="U37" s="771" t="e">
        <f t="shared" si="13"/>
        <v>#N/A</v>
      </c>
      <c r="V37" s="770" t="s">
        <v>21</v>
      </c>
      <c r="W37" s="771" t="e">
        <f t="shared" si="14"/>
        <v>#N/A</v>
      </c>
      <c r="X37" s="772"/>
      <c r="Y37" s="3313"/>
      <c r="Z37" s="55" t="str">
        <f t="shared" si="18"/>
        <v>成新度</v>
      </c>
      <c r="AA37" s="773" t="e">
        <f t="shared" si="15"/>
        <v>#N/A</v>
      </c>
      <c r="AB37" s="773" t="e">
        <f t="shared" si="16"/>
        <v>#N/A</v>
      </c>
      <c r="AC37" s="773"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311" t="s">
        <v>2551</v>
      </c>
      <c r="Q38" s="1808" t="str">
        <f t="shared" si="11"/>
        <v>物业管理</v>
      </c>
      <c r="R38" s="774" t="s">
        <v>21</v>
      </c>
      <c r="S38" s="775">
        <f t="shared" si="12"/>
        <v>100</v>
      </c>
      <c r="T38" s="774" t="s">
        <v>21</v>
      </c>
      <c r="U38" s="775">
        <f t="shared" si="13"/>
        <v>100</v>
      </c>
      <c r="V38" s="774" t="s">
        <v>21</v>
      </c>
      <c r="W38" s="775">
        <f t="shared" si="14"/>
        <v>100</v>
      </c>
      <c r="X38" s="1811"/>
      <c r="Y38" s="3313"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311"/>
      <c r="Q39" s="1808" t="str">
        <f t="shared" si="11"/>
        <v>市政基础设施</v>
      </c>
      <c r="R39" s="774" t="s">
        <v>21</v>
      </c>
      <c r="S39" s="775">
        <f t="shared" si="12"/>
        <v>100</v>
      </c>
      <c r="T39" s="774" t="s">
        <v>21</v>
      </c>
      <c r="U39" s="775">
        <f t="shared" si="13"/>
        <v>100</v>
      </c>
      <c r="V39" s="774" t="s">
        <v>21</v>
      </c>
      <c r="W39" s="775">
        <f t="shared" si="14"/>
        <v>100</v>
      </c>
      <c r="X39" s="1811"/>
      <c r="Y39" s="3313"/>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311"/>
      <c r="Q40" s="1808" t="str">
        <f t="shared" si="11"/>
        <v>房型</v>
      </c>
      <c r="R40" s="774" t="s">
        <v>21</v>
      </c>
      <c r="S40" s="775">
        <f t="shared" si="12"/>
        <v>100</v>
      </c>
      <c r="T40" s="774" t="s">
        <v>21</v>
      </c>
      <c r="U40" s="775">
        <f t="shared" si="13"/>
        <v>100</v>
      </c>
      <c r="V40" s="774" t="s">
        <v>21</v>
      </c>
      <c r="W40" s="775">
        <f t="shared" si="14"/>
        <v>100</v>
      </c>
      <c r="X40" s="1811"/>
      <c r="Y40" s="3313"/>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311"/>
      <c r="Q41" s="776" t="str">
        <f t="shared" si="11"/>
        <v>单套/主力户型建筑面积</v>
      </c>
      <c r="R41" s="777" t="s">
        <v>21</v>
      </c>
      <c r="S41" s="778">
        <f t="shared" si="12"/>
        <v>100</v>
      </c>
      <c r="T41" s="777" t="s">
        <v>21</v>
      </c>
      <c r="U41" s="778">
        <f t="shared" si="13"/>
        <v>100</v>
      </c>
      <c r="V41" s="777" t="s">
        <v>21</v>
      </c>
      <c r="W41" s="778">
        <f t="shared" si="14"/>
        <v>100</v>
      </c>
      <c r="X41" s="779"/>
      <c r="Y41" s="3313"/>
      <c r="Z41" s="780"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311"/>
      <c r="Q42" s="1808" t="str">
        <f t="shared" si="11"/>
        <v>内部装修</v>
      </c>
      <c r="R42" s="774" t="s">
        <v>21</v>
      </c>
      <c r="S42" s="775">
        <f t="shared" si="12"/>
        <v>100</v>
      </c>
      <c r="T42" s="774" t="s">
        <v>21</v>
      </c>
      <c r="U42" s="775">
        <f t="shared" si="13"/>
        <v>100</v>
      </c>
      <c r="V42" s="774" t="s">
        <v>21</v>
      </c>
      <c r="W42" s="775">
        <f t="shared" si="14"/>
        <v>100</v>
      </c>
      <c r="X42" s="1811"/>
      <c r="Y42" s="3313"/>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311"/>
      <c r="Q43" s="1808" t="str">
        <f t="shared" si="11"/>
        <v>内部装修维护情况</v>
      </c>
      <c r="R43" s="774" t="s">
        <v>21</v>
      </c>
      <c r="S43" s="775">
        <f t="shared" si="12"/>
        <v>100</v>
      </c>
      <c r="T43" s="774" t="s">
        <v>21</v>
      </c>
      <c r="U43" s="775">
        <f t="shared" si="13"/>
        <v>100</v>
      </c>
      <c r="V43" s="774" t="s">
        <v>21</v>
      </c>
      <c r="W43" s="775">
        <f t="shared" si="14"/>
        <v>100</v>
      </c>
      <c r="X43" s="1811"/>
      <c r="Y43" s="3313"/>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311"/>
      <c r="Q44" s="1793">
        <f t="shared" si="11"/>
        <v>111</v>
      </c>
      <c r="R44" s="770" t="s">
        <v>21</v>
      </c>
      <c r="S44" s="771">
        <f t="shared" si="12"/>
        <v>100</v>
      </c>
      <c r="T44" s="770" t="s">
        <v>21</v>
      </c>
      <c r="U44" s="771">
        <f t="shared" si="13"/>
        <v>100</v>
      </c>
      <c r="V44" s="770" t="s">
        <v>21</v>
      </c>
      <c r="W44" s="771">
        <f t="shared" si="14"/>
        <v>100</v>
      </c>
      <c r="X44" s="772"/>
      <c r="Y44" s="331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311"/>
      <c r="Q45" s="1808">
        <f t="shared" si="11"/>
        <v>111</v>
      </c>
      <c r="R45" s="774" t="s">
        <v>21</v>
      </c>
      <c r="S45" s="775">
        <f t="shared" si="12"/>
        <v>100</v>
      </c>
      <c r="T45" s="774" t="s">
        <v>21</v>
      </c>
      <c r="U45" s="775">
        <f t="shared" si="13"/>
        <v>100</v>
      </c>
      <c r="V45" s="774" t="s">
        <v>21</v>
      </c>
      <c r="W45" s="775">
        <f t="shared" si="14"/>
        <v>100</v>
      </c>
      <c r="X45" s="1811"/>
      <c r="Y45" s="3313"/>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312"/>
      <c r="Q46" s="1808">
        <f t="shared" si="11"/>
        <v>111</v>
      </c>
      <c r="R46" s="774" t="s">
        <v>20</v>
      </c>
      <c r="S46" s="775">
        <f t="shared" si="12"/>
        <v>100</v>
      </c>
      <c r="T46" s="774" t="s">
        <v>20</v>
      </c>
      <c r="U46" s="775">
        <f t="shared" si="13"/>
        <v>100</v>
      </c>
      <c r="V46" s="774" t="s">
        <v>20</v>
      </c>
      <c r="W46" s="775">
        <f t="shared" si="14"/>
        <v>100</v>
      </c>
      <c r="X46" s="1811"/>
      <c r="Y46" s="3314"/>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4"/>
      <c r="M47" s="1145"/>
      <c r="N47" s="1132"/>
      <c r="O47" s="1145"/>
      <c r="P47" s="3301" t="str">
        <f>A47</f>
        <v>成交单价（元/平方米）</v>
      </c>
      <c r="Q47" s="3301"/>
      <c r="R47" s="3302">
        <f>E47</f>
        <v>0</v>
      </c>
      <c r="S47" s="3302"/>
      <c r="T47" s="3302">
        <f>G47</f>
        <v>0</v>
      </c>
      <c r="U47" s="3302"/>
      <c r="V47" s="3302">
        <f>I47</f>
        <v>0</v>
      </c>
      <c r="W47" s="3302"/>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7"/>
      <c r="L48" s="1144"/>
      <c r="M48" s="1145"/>
      <c r="N48" s="1145"/>
      <c r="O48" s="1145"/>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8"/>
      <c r="L49" s="1144"/>
      <c r="M49" s="1145"/>
      <c r="N49" s="1145"/>
      <c r="O49" s="1145"/>
      <c r="P49" s="3352" t="str">
        <f>A49</f>
        <v>估价对象XX用房的比较价值（楼面单价，元/平方米）</v>
      </c>
      <c r="Q49" s="3353"/>
      <c r="R49" s="3428" t="e">
        <f>IF(F1="售价",ROUND(AVERAGE(R48:V48),0),ROUND(AVERAGE(R48:V48),1))</f>
        <v>#DIV/0!</v>
      </c>
      <c r="S49" s="3428"/>
      <c r="T49" s="3428"/>
      <c r="U49" s="3428"/>
      <c r="V49" s="3428"/>
      <c r="W49" s="342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3" t="s">
        <v>2569</v>
      </c>
      <c r="B57" s="759"/>
      <c r="C57" s="764"/>
      <c r="D57" s="764"/>
      <c r="E57" s="764"/>
      <c r="F57" s="765"/>
      <c r="G57" s="765"/>
      <c r="H57" s="764"/>
      <c r="I57" s="764"/>
      <c r="J57" s="764"/>
      <c r="K57" s="1161"/>
      <c r="L57" s="1162"/>
      <c r="M57" s="1160"/>
      <c r="N57" s="1160"/>
      <c r="O57" s="1160"/>
      <c r="P57" s="2621"/>
      <c r="Q57" s="504"/>
    </row>
    <row r="58" spans="1:29" s="508" customFormat="1" ht="15">
      <c r="A58" s="505" t="s">
        <v>2570</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2085</v>
      </c>
      <c r="C82" s="539" t="s">
        <v>2590</v>
      </c>
      <c r="D82" s="539" t="s">
        <v>2591</v>
      </c>
      <c r="E82" s="539" t="s">
        <v>2592</v>
      </c>
      <c r="F82" s="539" t="s">
        <v>2593</v>
      </c>
      <c r="G82" s="539" t="s">
        <v>2594</v>
      </c>
      <c r="H82" s="539"/>
      <c r="I82" s="539"/>
      <c r="J82" s="539"/>
      <c r="K82" s="539"/>
      <c r="L82" s="539"/>
      <c r="M82" s="1382"/>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2596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2597</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2549</v>
      </c>
      <c r="B100" s="528" t="s">
        <v>2598</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2601</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2602</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2603</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2604</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2605</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c r="E1" s="2652"/>
      <c r="F1" s="2579"/>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2313</v>
      </c>
      <c r="B2" s="1418" t="e">
        <f ca="1">IF(C2="——",ROUND(C49*D3/10000,0),ROUND(C49*D3/10000,0)-D2)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2315</v>
      </c>
      <c r="B3" s="609" t="e">
        <f ca="1">IF(C2="——",C49,ROUND(B2*10000/D3,0))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2631</v>
      </c>
      <c r="B4" s="402"/>
      <c r="C4" s="3318" t="s">
        <v>2632</v>
      </c>
      <c r="D4" s="3319"/>
      <c r="E4" s="3320" t="s">
        <v>2633</v>
      </c>
      <c r="F4" s="3321"/>
      <c r="G4" s="3318" t="s">
        <v>2634</v>
      </c>
      <c r="H4" s="3319"/>
      <c r="I4" s="3318" t="s">
        <v>2635</v>
      </c>
      <c r="J4" s="3319"/>
      <c r="K4" s="610" t="s">
        <v>2636</v>
      </c>
      <c r="L4" s="1131"/>
      <c r="M4" s="1132"/>
      <c r="N4" s="1132"/>
      <c r="O4" s="1132"/>
      <c r="P4" s="3359" t="s">
        <v>2637</v>
      </c>
      <c r="Q4" s="3360"/>
      <c r="R4" s="3363" t="s">
        <v>2633</v>
      </c>
      <c r="S4" s="3364"/>
      <c r="T4" s="3363" t="s">
        <v>2634</v>
      </c>
      <c r="U4" s="3364"/>
      <c r="V4" s="3335" t="s">
        <v>2635</v>
      </c>
      <c r="W4" s="3335"/>
      <c r="X4" s="1811"/>
      <c r="Y4" s="3363" t="s">
        <v>2637</v>
      </c>
      <c r="Z4" s="3364"/>
      <c r="AA4" s="3358" t="s">
        <v>2633</v>
      </c>
      <c r="AB4" s="3335" t="s">
        <v>2634</v>
      </c>
      <c r="AC4" s="3358" t="s">
        <v>2635</v>
      </c>
    </row>
    <row r="5" spans="1:29" ht="15">
      <c r="A5" s="404"/>
      <c r="B5" s="405"/>
      <c r="C5" s="3338" t="s">
        <v>2528</v>
      </c>
      <c r="D5" s="3339"/>
      <c r="E5" s="3349" t="s">
        <v>2529</v>
      </c>
      <c r="F5" s="3350"/>
      <c r="G5" s="3338" t="s">
        <v>2530</v>
      </c>
      <c r="H5" s="3339"/>
      <c r="I5" s="3338" t="s">
        <v>2531</v>
      </c>
      <c r="J5" s="3339"/>
      <c r="K5" s="610"/>
      <c r="L5" s="1131"/>
      <c r="M5" s="1132"/>
      <c r="N5" s="1132"/>
      <c r="O5" s="1132"/>
      <c r="P5" s="3361"/>
      <c r="Q5" s="3325"/>
      <c r="R5" s="3330"/>
      <c r="S5" s="3331"/>
      <c r="T5" s="3330"/>
      <c r="U5" s="3331"/>
      <c r="V5" s="3335"/>
      <c r="W5" s="3335"/>
      <c r="X5" s="1811"/>
      <c r="Y5" s="3330"/>
      <c r="Z5" s="3331"/>
      <c r="AA5" s="3347"/>
      <c r="AB5" s="3335"/>
      <c r="AC5" s="3347"/>
    </row>
    <row r="6" spans="1:29" ht="15.75" thickBot="1">
      <c r="A6" s="406"/>
      <c r="B6" s="407"/>
      <c r="C6" s="3336" t="s">
        <v>2532</v>
      </c>
      <c r="D6" s="3337"/>
      <c r="E6" s="3344" t="s">
        <v>2532</v>
      </c>
      <c r="F6" s="3345"/>
      <c r="G6" s="3336" t="s">
        <v>2532</v>
      </c>
      <c r="H6" s="3337"/>
      <c r="I6" s="3336" t="s">
        <v>2532</v>
      </c>
      <c r="J6" s="3337"/>
      <c r="K6" s="610" t="s">
        <v>2533</v>
      </c>
      <c r="L6" s="1131"/>
      <c r="M6" s="1132"/>
      <c r="N6" s="1132"/>
      <c r="O6" s="1132"/>
      <c r="P6" s="3362"/>
      <c r="Q6" s="3327"/>
      <c r="R6" s="3330"/>
      <c r="S6" s="3331"/>
      <c r="T6" s="3332"/>
      <c r="U6" s="3333"/>
      <c r="V6" s="3335"/>
      <c r="W6" s="3335"/>
      <c r="X6" s="1811"/>
      <c r="Y6" s="3332"/>
      <c r="Z6" s="3333"/>
      <c r="AA6" s="3348"/>
      <c r="AB6" s="3335"/>
      <c r="AC6" s="3348"/>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342" t="s">
        <v>2535</v>
      </c>
      <c r="Q7" s="3343"/>
      <c r="R7" s="770" t="s">
        <v>17</v>
      </c>
      <c r="S7" s="771">
        <f t="shared" ref="S7:S15" si="0">F7</f>
        <v>0</v>
      </c>
      <c r="T7" s="770" t="s">
        <v>17</v>
      </c>
      <c r="U7" s="771">
        <f t="shared" ref="U7:U15" si="1">H7</f>
        <v>0</v>
      </c>
      <c r="V7" s="770" t="s">
        <v>17</v>
      </c>
      <c r="W7" s="771">
        <f t="shared" ref="W7:W15" si="2">J7</f>
        <v>0</v>
      </c>
      <c r="X7" s="772"/>
      <c r="Y7" s="3342" t="s">
        <v>2535</v>
      </c>
      <c r="Z7" s="3341"/>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342" t="s">
        <v>2538</v>
      </c>
      <c r="Q8" s="3341"/>
      <c r="R8" s="770" t="s">
        <v>17</v>
      </c>
      <c r="S8" s="771">
        <f t="shared" si="0"/>
        <v>0</v>
      </c>
      <c r="T8" s="770" t="s">
        <v>17</v>
      </c>
      <c r="U8" s="771">
        <f t="shared" si="1"/>
        <v>0</v>
      </c>
      <c r="V8" s="770" t="s">
        <v>17</v>
      </c>
      <c r="W8" s="771">
        <f t="shared" si="2"/>
        <v>0</v>
      </c>
      <c r="X8" s="772"/>
      <c r="Y8" s="3342" t="s">
        <v>2538</v>
      </c>
      <c r="Z8" s="3341"/>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300" t="s">
        <v>2541</v>
      </c>
      <c r="Q9" s="1793" t="str">
        <f t="shared" ref="Q9:Q15" si="6">B9</f>
        <v>用途</v>
      </c>
      <c r="R9" s="770" t="s">
        <v>17</v>
      </c>
      <c r="S9" s="771">
        <f t="shared" si="0"/>
        <v>100</v>
      </c>
      <c r="T9" s="770" t="s">
        <v>17</v>
      </c>
      <c r="U9" s="771">
        <f t="shared" si="1"/>
        <v>100</v>
      </c>
      <c r="V9" s="770" t="s">
        <v>17</v>
      </c>
      <c r="W9" s="771">
        <f t="shared" si="2"/>
        <v>100</v>
      </c>
      <c r="X9" s="772"/>
      <c r="Y9" s="3126"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300"/>
      <c r="Q10" s="1793" t="str">
        <f t="shared" si="6"/>
        <v>土地使用年限（年）</v>
      </c>
      <c r="R10" s="770" t="s">
        <v>17</v>
      </c>
      <c r="S10" s="771">
        <f t="shared" si="0"/>
        <v>100</v>
      </c>
      <c r="T10" s="770" t="s">
        <v>17</v>
      </c>
      <c r="U10" s="771">
        <f t="shared" si="1"/>
        <v>100</v>
      </c>
      <c r="V10" s="770" t="s">
        <v>17</v>
      </c>
      <c r="W10" s="771">
        <f t="shared" si="2"/>
        <v>100</v>
      </c>
      <c r="X10" s="772"/>
      <c r="Y10" s="3126"/>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300"/>
      <c r="Q11" s="1793" t="str">
        <f t="shared" si="6"/>
        <v>容积率</v>
      </c>
      <c r="R11" s="770" t="s">
        <v>17</v>
      </c>
      <c r="S11" s="771" t="e">
        <f t="shared" si="0"/>
        <v>#N/A</v>
      </c>
      <c r="T11" s="770" t="s">
        <v>17</v>
      </c>
      <c r="U11" s="771" t="e">
        <f t="shared" si="1"/>
        <v>#N/A</v>
      </c>
      <c r="V11" s="770" t="s">
        <v>17</v>
      </c>
      <c r="W11" s="771" t="e">
        <f t="shared" si="2"/>
        <v>#N/A</v>
      </c>
      <c r="X11" s="772"/>
      <c r="Y11" s="3126"/>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300"/>
      <c r="Q12" s="1793">
        <f t="shared" si="6"/>
        <v>111</v>
      </c>
      <c r="R12" s="770" t="s">
        <v>17</v>
      </c>
      <c r="S12" s="771">
        <f t="shared" si="0"/>
        <v>100</v>
      </c>
      <c r="T12" s="770" t="s">
        <v>17</v>
      </c>
      <c r="U12" s="771">
        <f t="shared" si="1"/>
        <v>100</v>
      </c>
      <c r="V12" s="770" t="s">
        <v>17</v>
      </c>
      <c r="W12" s="771">
        <f t="shared" si="2"/>
        <v>100</v>
      </c>
      <c r="X12" s="772"/>
      <c r="Y12" s="3126"/>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300"/>
      <c r="Q13" s="1793">
        <f t="shared" si="6"/>
        <v>111</v>
      </c>
      <c r="R13" s="770" t="s">
        <v>17</v>
      </c>
      <c r="S13" s="771">
        <f t="shared" si="0"/>
        <v>100</v>
      </c>
      <c r="T13" s="770" t="s">
        <v>17</v>
      </c>
      <c r="U13" s="771">
        <f t="shared" si="1"/>
        <v>100</v>
      </c>
      <c r="V13" s="770" t="s">
        <v>17</v>
      </c>
      <c r="W13" s="771">
        <f t="shared" si="2"/>
        <v>100</v>
      </c>
      <c r="X13" s="772"/>
      <c r="Y13" s="3126"/>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300"/>
      <c r="Q14" s="1793">
        <f t="shared" si="6"/>
        <v>111</v>
      </c>
      <c r="R14" s="770" t="s">
        <v>17</v>
      </c>
      <c r="S14" s="771">
        <f t="shared" si="0"/>
        <v>100</v>
      </c>
      <c r="T14" s="770" t="s">
        <v>17</v>
      </c>
      <c r="U14" s="771">
        <f t="shared" si="1"/>
        <v>100</v>
      </c>
      <c r="V14" s="770" t="s">
        <v>17</v>
      </c>
      <c r="W14" s="771">
        <f t="shared" si="2"/>
        <v>100</v>
      </c>
      <c r="X14" s="772"/>
      <c r="Y14" s="3126"/>
      <c r="Z14" s="55">
        <f t="shared" si="7"/>
        <v>111</v>
      </c>
      <c r="AA14" s="773">
        <f t="shared" si="3"/>
        <v>1</v>
      </c>
      <c r="AB14" s="773">
        <f t="shared" si="4"/>
        <v>1</v>
      </c>
      <c r="AC14" s="773">
        <f t="shared" si="5"/>
        <v>1</v>
      </c>
    </row>
    <row r="15" spans="1:29" ht="28.5">
      <c r="A15" s="440" t="s">
        <v>2545</v>
      </c>
      <c r="B15" s="69" t="s">
        <v>2639</v>
      </c>
      <c r="C15" s="2598" t="str">
        <f>估价对象房地状况!C4</f>
        <v>成熟区域，成熟度好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306" t="s">
        <v>2546</v>
      </c>
      <c r="Q15" s="1808" t="str">
        <f t="shared" si="6"/>
        <v>商业繁华度</v>
      </c>
      <c r="R15" s="774" t="s">
        <v>17</v>
      </c>
      <c r="S15" s="775">
        <f t="shared" si="0"/>
        <v>100</v>
      </c>
      <c r="T15" s="774" t="s">
        <v>17</v>
      </c>
      <c r="U15" s="775">
        <f t="shared" si="1"/>
        <v>100</v>
      </c>
      <c r="V15" s="774" t="s">
        <v>17</v>
      </c>
      <c r="W15" s="775">
        <f t="shared" si="2"/>
        <v>100</v>
      </c>
      <c r="X15" s="1811"/>
      <c r="Y15" s="3308" t="s">
        <v>2546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32"/>
      <c r="P16" s="3307"/>
      <c r="Q16" s="1808"/>
      <c r="R16" s="774"/>
      <c r="S16" s="775"/>
      <c r="T16" s="774"/>
      <c r="U16" s="775"/>
      <c r="V16" s="774"/>
      <c r="W16" s="775"/>
      <c r="X16" s="1811"/>
      <c r="Y16" s="3309"/>
      <c r="Z16" s="1812"/>
      <c r="AA16" s="1809">
        <v>1</v>
      </c>
      <c r="AB16" s="1809">
        <v>1</v>
      </c>
      <c r="AC16" s="1809">
        <v>1</v>
      </c>
    </row>
    <row r="17" spans="1:29" ht="15">
      <c r="A17" s="428"/>
      <c r="B17" s="451" t="s">
        <v>2084</v>
      </c>
      <c r="C17" s="2602"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307"/>
      <c r="Q17" s="1808" t="str">
        <f>B17</f>
        <v>交通便捷度</v>
      </c>
      <c r="R17" s="774" t="s">
        <v>17</v>
      </c>
      <c r="S17" s="775">
        <f>F17</f>
        <v>100</v>
      </c>
      <c r="T17" s="774" t="s">
        <v>17</v>
      </c>
      <c r="U17" s="775">
        <f>H17</f>
        <v>100</v>
      </c>
      <c r="V17" s="774" t="s">
        <v>17</v>
      </c>
      <c r="W17" s="775">
        <f>J17</f>
        <v>100</v>
      </c>
      <c r="X17" s="1811"/>
      <c r="Y17" s="3309"/>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32"/>
      <c r="P18" s="3307"/>
      <c r="Q18" s="1808"/>
      <c r="R18" s="774"/>
      <c r="S18" s="775"/>
      <c r="T18" s="774"/>
      <c r="U18" s="775"/>
      <c r="V18" s="774"/>
      <c r="W18" s="775"/>
      <c r="X18" s="1811"/>
      <c r="Y18" s="3309"/>
      <c r="Z18" s="1812"/>
      <c r="AA18" s="1809">
        <v>1</v>
      </c>
      <c r="AB18" s="1809">
        <v>1</v>
      </c>
      <c r="AC18" s="1809">
        <v>1</v>
      </c>
    </row>
    <row r="19" spans="1:29" ht="15">
      <c r="A19" s="428"/>
      <c r="B19" s="451" t="s">
        <v>2640</v>
      </c>
      <c r="C19" s="2602"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307"/>
      <c r="Q19" s="1808" t="str">
        <f>B19</f>
        <v>公共配套设施</v>
      </c>
      <c r="R19" s="774" t="s">
        <v>17</v>
      </c>
      <c r="S19" s="775">
        <f>F19</f>
        <v>100</v>
      </c>
      <c r="T19" s="774" t="s">
        <v>17</v>
      </c>
      <c r="U19" s="775">
        <f>H19</f>
        <v>100</v>
      </c>
      <c r="V19" s="774" t="s">
        <v>17</v>
      </c>
      <c r="W19" s="775">
        <f>J19</f>
        <v>100</v>
      </c>
      <c r="X19" s="1811"/>
      <c r="Y19" s="3309"/>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32"/>
      <c r="P20" s="3307"/>
      <c r="Q20" s="1808"/>
      <c r="R20" s="774"/>
      <c r="S20" s="775"/>
      <c r="T20" s="774"/>
      <c r="U20" s="775"/>
      <c r="V20" s="774"/>
      <c r="W20" s="775"/>
      <c r="X20" s="1811"/>
      <c r="Y20" s="3309"/>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307"/>
      <c r="Q21" s="1808" t="str">
        <f>B21</f>
        <v>基础设施水平</v>
      </c>
      <c r="R21" s="774" t="s">
        <v>17</v>
      </c>
      <c r="S21" s="775">
        <f>F21</f>
        <v>100</v>
      </c>
      <c r="T21" s="774" t="s">
        <v>17</v>
      </c>
      <c r="U21" s="775">
        <f>H21</f>
        <v>100</v>
      </c>
      <c r="V21" s="774" t="s">
        <v>17</v>
      </c>
      <c r="W21" s="775">
        <f>J21</f>
        <v>100</v>
      </c>
      <c r="X21" s="1811"/>
      <c r="Y21" s="3309"/>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32"/>
      <c r="P22" s="3307"/>
      <c r="Q22" s="1808"/>
      <c r="R22" s="774"/>
      <c r="S22" s="775"/>
      <c r="T22" s="774"/>
      <c r="U22" s="775"/>
      <c r="V22" s="774"/>
      <c r="W22" s="775"/>
      <c r="X22" s="1811"/>
      <c r="Y22" s="3309"/>
      <c r="Z22" s="1812"/>
      <c r="AA22" s="1809">
        <v>1</v>
      </c>
      <c r="AB22" s="1809">
        <v>1</v>
      </c>
      <c r="AC22" s="1809">
        <v>1</v>
      </c>
    </row>
    <row r="23" spans="1:29" ht="15">
      <c r="A23" s="428"/>
      <c r="B23" s="451" t="s">
        <v>2087</v>
      </c>
      <c r="C23" s="2659"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307"/>
      <c r="Q23" s="1808" t="str">
        <f>B23</f>
        <v>自然及人文环境</v>
      </c>
      <c r="R23" s="774" t="s">
        <v>17</v>
      </c>
      <c r="S23" s="775">
        <f>F23</f>
        <v>100</v>
      </c>
      <c r="T23" s="774" t="s">
        <v>17</v>
      </c>
      <c r="U23" s="775">
        <f>H23</f>
        <v>100</v>
      </c>
      <c r="V23" s="774" t="s">
        <v>17</v>
      </c>
      <c r="W23" s="775">
        <f>J23</f>
        <v>100</v>
      </c>
      <c r="X23" s="1811"/>
      <c r="Y23" s="3309"/>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41"/>
      <c r="M24" s="1132"/>
      <c r="N24" s="1132"/>
      <c r="O24" s="1132"/>
      <c r="P24" s="3307"/>
      <c r="Q24" s="1808"/>
      <c r="R24" s="774"/>
      <c r="S24" s="775"/>
      <c r="T24" s="774"/>
      <c r="U24" s="775"/>
      <c r="V24" s="774"/>
      <c r="W24" s="775"/>
      <c r="X24" s="1811"/>
      <c r="Y24" s="3309"/>
      <c r="Z24" s="1812"/>
      <c r="AA24" s="1809">
        <v>1</v>
      </c>
      <c r="AB24" s="1809">
        <v>1</v>
      </c>
      <c r="AC24" s="1809">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307"/>
      <c r="Q25" s="1808" t="str">
        <f t="shared" ref="Q25:Q46" si="11">B25</f>
        <v>临街状况</v>
      </c>
      <c r="R25" s="774" t="s">
        <v>17</v>
      </c>
      <c r="S25" s="775">
        <f>F25</f>
        <v>100</v>
      </c>
      <c r="T25" s="774" t="s">
        <v>17</v>
      </c>
      <c r="U25" s="775">
        <f>H25</f>
        <v>100</v>
      </c>
      <c r="V25" s="774" t="s">
        <v>17</v>
      </c>
      <c r="W25" s="775">
        <f>J25</f>
        <v>100</v>
      </c>
      <c r="X25" s="1811"/>
      <c r="Y25" s="3309"/>
      <c r="Z25" s="1812" t="str">
        <f>Q25</f>
        <v>临街状况</v>
      </c>
      <c r="AA25" s="1809">
        <f t="shared" si="3"/>
        <v>1</v>
      </c>
      <c r="AB25" s="1809">
        <f t="shared" si="4"/>
        <v>1</v>
      </c>
      <c r="AC25" s="1809">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307"/>
      <c r="Q26" s="1808" t="str">
        <f t="shared" si="11"/>
        <v>平面位置/可视性</v>
      </c>
      <c r="R26" s="774" t="s">
        <v>17</v>
      </c>
      <c r="S26" s="775">
        <f>F26</f>
        <v>100</v>
      </c>
      <c r="T26" s="774" t="s">
        <v>17</v>
      </c>
      <c r="U26" s="775">
        <f>H26</f>
        <v>100</v>
      </c>
      <c r="V26" s="774" t="s">
        <v>17</v>
      </c>
      <c r="W26" s="775">
        <f>J26</f>
        <v>100</v>
      </c>
      <c r="X26" s="1811"/>
      <c r="Y26" s="3309"/>
      <c r="Z26" s="1812" t="str">
        <f>Q26</f>
        <v>平面位置/可视性</v>
      </c>
      <c r="AA26" s="1809">
        <f t="shared" si="3"/>
        <v>1</v>
      </c>
      <c r="AB26" s="1809">
        <f t="shared" si="4"/>
        <v>1</v>
      </c>
      <c r="AC26" s="1809">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3"/>
      <c r="M27" s="1134"/>
      <c r="N27" s="1134"/>
      <c r="O27" s="1134"/>
      <c r="P27" s="3307"/>
      <c r="Q27" s="1793" t="str">
        <f t="shared" si="11"/>
        <v>人流量</v>
      </c>
      <c r="R27" s="770" t="s">
        <v>17</v>
      </c>
      <c r="S27" s="771">
        <f>F27</f>
        <v>100</v>
      </c>
      <c r="T27" s="770" t="s">
        <v>17</v>
      </c>
      <c r="U27" s="771">
        <f>H27</f>
        <v>100</v>
      </c>
      <c r="V27" s="770" t="s">
        <v>17</v>
      </c>
      <c r="W27" s="771">
        <f>J27</f>
        <v>100</v>
      </c>
      <c r="X27" s="772"/>
      <c r="Y27" s="3309"/>
      <c r="Z27" s="55" t="str">
        <f>Q27</f>
        <v>人流量</v>
      </c>
      <c r="AA27" s="1809">
        <f>D27/F27</f>
        <v>1</v>
      </c>
      <c r="AB27" s="1809">
        <f>D27/H27</f>
        <v>1</v>
      </c>
      <c r="AC27" s="1809">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307"/>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309"/>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307"/>
      <c r="Q29" s="1808">
        <f t="shared" si="11"/>
        <v>111</v>
      </c>
      <c r="R29" s="774" t="s">
        <v>17</v>
      </c>
      <c r="S29" s="775">
        <f t="shared" si="12"/>
        <v>100</v>
      </c>
      <c r="T29" s="774" t="s">
        <v>17</v>
      </c>
      <c r="U29" s="775">
        <f t="shared" si="13"/>
        <v>100</v>
      </c>
      <c r="V29" s="774" t="s">
        <v>17</v>
      </c>
      <c r="W29" s="775">
        <f t="shared" si="14"/>
        <v>100</v>
      </c>
      <c r="X29" s="1811"/>
      <c r="Y29" s="3309"/>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307"/>
      <c r="Q30" s="1808">
        <f t="shared" si="11"/>
        <v>111</v>
      </c>
      <c r="R30" s="774" t="s">
        <v>17</v>
      </c>
      <c r="S30" s="775">
        <f t="shared" si="12"/>
        <v>100</v>
      </c>
      <c r="T30" s="774" t="s">
        <v>17</v>
      </c>
      <c r="U30" s="775">
        <f t="shared" si="13"/>
        <v>100</v>
      </c>
      <c r="V30" s="774" t="s">
        <v>17</v>
      </c>
      <c r="W30" s="775">
        <f t="shared" si="14"/>
        <v>100</v>
      </c>
      <c r="X30" s="1811"/>
      <c r="Y30" s="3309"/>
      <c r="Z30" s="1812">
        <f t="shared" si="15"/>
        <v>111</v>
      </c>
      <c r="AA30" s="1809">
        <f t="shared" si="3"/>
        <v>1</v>
      </c>
      <c r="AB30" s="1809">
        <f t="shared" si="4"/>
        <v>1</v>
      </c>
      <c r="AC30" s="1809">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307"/>
      <c r="Q31" s="1808">
        <f t="shared" si="11"/>
        <v>111</v>
      </c>
      <c r="R31" s="774" t="s">
        <v>17</v>
      </c>
      <c r="S31" s="775">
        <f t="shared" si="12"/>
        <v>100</v>
      </c>
      <c r="T31" s="774" t="s">
        <v>17</v>
      </c>
      <c r="U31" s="775">
        <f t="shared" si="13"/>
        <v>100</v>
      </c>
      <c r="V31" s="774" t="s">
        <v>17</v>
      </c>
      <c r="W31" s="775">
        <f t="shared" si="14"/>
        <v>100</v>
      </c>
      <c r="X31" s="1811"/>
      <c r="Y31" s="3309"/>
      <c r="Z31" s="1812">
        <f t="shared" si="15"/>
        <v>111</v>
      </c>
      <c r="AA31" s="1809">
        <f t="shared" si="3"/>
        <v>1</v>
      </c>
      <c r="AB31" s="1809">
        <f t="shared" si="4"/>
        <v>1</v>
      </c>
      <c r="AC31" s="1809">
        <f t="shared" si="5"/>
        <v>1</v>
      </c>
    </row>
    <row r="32" spans="1:29" ht="15">
      <c r="A32" s="440" t="s">
        <v>2549</v>
      </c>
      <c r="B32" s="71" t="s">
        <v>2646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1"/>
      <c r="M32" s="1132"/>
      <c r="N32" s="1132"/>
      <c r="O32" s="1132"/>
      <c r="P32" s="3310" t="s">
        <v>2551</v>
      </c>
      <c r="Q32" s="1808" t="str">
        <f t="shared" si="11"/>
        <v>商业类型</v>
      </c>
      <c r="R32" s="774" t="s">
        <v>17</v>
      </c>
      <c r="S32" s="775">
        <f t="shared" si="12"/>
        <v>100</v>
      </c>
      <c r="T32" s="774" t="s">
        <v>17</v>
      </c>
      <c r="U32" s="775">
        <f t="shared" si="13"/>
        <v>100</v>
      </c>
      <c r="V32" s="774" t="s">
        <v>17</v>
      </c>
      <c r="W32" s="775">
        <f t="shared" si="14"/>
        <v>100</v>
      </c>
      <c r="X32" s="1811"/>
      <c r="Y32" s="3313" t="s">
        <v>2551</v>
      </c>
      <c r="Z32" s="1812" t="str">
        <f t="shared" si="15"/>
        <v>商业类型</v>
      </c>
      <c r="AA32" s="1809">
        <f t="shared" si="3"/>
        <v>1</v>
      </c>
      <c r="AB32" s="1809">
        <f t="shared" si="4"/>
        <v>1</v>
      </c>
      <c r="AC32" s="1809">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311"/>
      <c r="Q33" s="776" t="str">
        <f t="shared" si="11"/>
        <v>项目建筑规模</v>
      </c>
      <c r="R33" s="777" t="s">
        <v>17</v>
      </c>
      <c r="S33" s="778" t="e">
        <f t="shared" si="12"/>
        <v>#N/A</v>
      </c>
      <c r="T33" s="777" t="s">
        <v>17</v>
      </c>
      <c r="U33" s="778" t="e">
        <f t="shared" si="13"/>
        <v>#N/A</v>
      </c>
      <c r="V33" s="777" t="s">
        <v>17</v>
      </c>
      <c r="W33" s="778" t="e">
        <f t="shared" si="14"/>
        <v>#N/A</v>
      </c>
      <c r="X33" s="779"/>
      <c r="Y33" s="3313"/>
      <c r="Z33" s="780" t="str">
        <f t="shared" si="15"/>
        <v>项目建筑规模</v>
      </c>
      <c r="AA33" s="1809" t="e">
        <f t="shared" si="3"/>
        <v>#N/A</v>
      </c>
      <c r="AB33" s="1809" t="e">
        <f t="shared" si="4"/>
        <v>#N/A</v>
      </c>
      <c r="AC33" s="1809" t="e">
        <f t="shared" si="5"/>
        <v>#N/A</v>
      </c>
    </row>
    <row r="34" spans="1:29" ht="15">
      <c r="A34" s="472"/>
      <c r="B34" s="422" t="s">
        <v>2553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1"/>
      <c r="M34" s="1132"/>
      <c r="N34" s="1132"/>
      <c r="O34" s="1132"/>
      <c r="P34" s="3311"/>
      <c r="Q34" s="1808" t="str">
        <f t="shared" si="11"/>
        <v>建筑结构</v>
      </c>
      <c r="R34" s="774" t="s">
        <v>17</v>
      </c>
      <c r="S34" s="775">
        <f t="shared" si="12"/>
        <v>100</v>
      </c>
      <c r="T34" s="774" t="s">
        <v>17</v>
      </c>
      <c r="U34" s="775">
        <f t="shared" si="13"/>
        <v>100</v>
      </c>
      <c r="V34" s="774" t="s">
        <v>17</v>
      </c>
      <c r="W34" s="775">
        <f t="shared" si="14"/>
        <v>100</v>
      </c>
      <c r="X34" s="1811"/>
      <c r="Y34" s="3313"/>
      <c r="Z34" s="1812" t="str">
        <f t="shared" si="15"/>
        <v>建筑结构</v>
      </c>
      <c r="AA34" s="1809">
        <f t="shared" si="3"/>
        <v>1</v>
      </c>
      <c r="AB34" s="1809">
        <f t="shared" si="4"/>
        <v>1</v>
      </c>
      <c r="AC34" s="1809">
        <f t="shared" si="5"/>
        <v>1</v>
      </c>
    </row>
    <row r="35" spans="1:29" ht="15">
      <c r="A35" s="472"/>
      <c r="B35" s="422" t="s">
        <v>2647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1"/>
      <c r="M35" s="1132"/>
      <c r="N35" s="1132"/>
      <c r="O35" s="1132"/>
      <c r="P35" s="3311"/>
      <c r="Q35" s="1808" t="str">
        <f t="shared" si="11"/>
        <v>公共部分装修</v>
      </c>
      <c r="R35" s="774" t="s">
        <v>17</v>
      </c>
      <c r="S35" s="775">
        <f t="shared" si="12"/>
        <v>100</v>
      </c>
      <c r="T35" s="774" t="s">
        <v>17</v>
      </c>
      <c r="U35" s="775">
        <f t="shared" si="13"/>
        <v>100</v>
      </c>
      <c r="V35" s="774" t="s">
        <v>17</v>
      </c>
      <c r="W35" s="775">
        <f t="shared" si="14"/>
        <v>100</v>
      </c>
      <c r="X35" s="1811"/>
      <c r="Y35" s="3313"/>
      <c r="Z35" s="1812" t="str">
        <f t="shared" si="15"/>
        <v>公共部分装修</v>
      </c>
      <c r="AA35" s="1809">
        <f t="shared" si="3"/>
        <v>1</v>
      </c>
      <c r="AB35" s="1809">
        <f t="shared" si="4"/>
        <v>1</v>
      </c>
      <c r="AC35" s="1809">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311"/>
      <c r="Q36" s="1808" t="str">
        <f t="shared" si="11"/>
        <v>成新度</v>
      </c>
      <c r="R36" s="774" t="s">
        <v>17</v>
      </c>
      <c r="S36" s="775" t="e">
        <f t="shared" si="12"/>
        <v>#N/A</v>
      </c>
      <c r="T36" s="774" t="s">
        <v>17</v>
      </c>
      <c r="U36" s="775" t="e">
        <f t="shared" si="13"/>
        <v>#N/A</v>
      </c>
      <c r="V36" s="774" t="s">
        <v>17</v>
      </c>
      <c r="W36" s="775" t="e">
        <f t="shared" si="14"/>
        <v>#N/A</v>
      </c>
      <c r="X36" s="1811"/>
      <c r="Y36" s="3313"/>
      <c r="Z36" s="1812" t="str">
        <f t="shared" si="15"/>
        <v>成新度</v>
      </c>
      <c r="AA36" s="1809" t="e">
        <f t="shared" si="3"/>
        <v>#N/A</v>
      </c>
      <c r="AB36" s="1809" t="e">
        <f t="shared" si="4"/>
        <v>#N/A</v>
      </c>
      <c r="AC36" s="1809" t="e">
        <f t="shared" si="5"/>
        <v>#N/A</v>
      </c>
    </row>
    <row r="37" spans="1:29" s="117" customFormat="1" ht="15">
      <c r="A37" s="473"/>
      <c r="B37" s="422" t="s">
        <v>2649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3"/>
      <c r="M37" s="1134"/>
      <c r="N37" s="1134"/>
      <c r="O37" s="1134"/>
      <c r="P37" s="3311"/>
      <c r="Q37" s="1793" t="str">
        <f t="shared" si="11"/>
        <v>市政基础设施</v>
      </c>
      <c r="R37" s="770" t="s">
        <v>17</v>
      </c>
      <c r="S37" s="771">
        <f t="shared" si="12"/>
        <v>100</v>
      </c>
      <c r="T37" s="770" t="s">
        <v>17</v>
      </c>
      <c r="U37" s="771">
        <f t="shared" si="13"/>
        <v>100</v>
      </c>
      <c r="V37" s="770" t="s">
        <v>17</v>
      </c>
      <c r="W37" s="771">
        <f t="shared" si="14"/>
        <v>100</v>
      </c>
      <c r="X37" s="772"/>
      <c r="Y37" s="3313"/>
      <c r="Z37" s="55" t="str">
        <f t="shared" si="15"/>
        <v>市政基础设施</v>
      </c>
      <c r="AA37" s="773">
        <f t="shared" si="3"/>
        <v>1</v>
      </c>
      <c r="AB37" s="773">
        <f t="shared" si="4"/>
        <v>1</v>
      </c>
      <c r="AC37" s="773">
        <f t="shared" si="5"/>
        <v>1</v>
      </c>
    </row>
    <row r="38" spans="1:29" ht="15">
      <c r="A38" s="472"/>
      <c r="B38" s="422" t="s">
        <v>2650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1"/>
      <c r="M38" s="1132"/>
      <c r="N38" s="1132"/>
      <c r="O38" s="1132"/>
      <c r="P38" s="3311" t="s">
        <v>2551</v>
      </c>
      <c r="Q38" s="1808" t="str">
        <f t="shared" si="11"/>
        <v>业态</v>
      </c>
      <c r="R38" s="774" t="s">
        <v>17</v>
      </c>
      <c r="S38" s="775">
        <f t="shared" si="12"/>
        <v>100</v>
      </c>
      <c r="T38" s="774" t="s">
        <v>17</v>
      </c>
      <c r="U38" s="775">
        <f t="shared" si="13"/>
        <v>100</v>
      </c>
      <c r="V38" s="774" t="s">
        <v>17</v>
      </c>
      <c r="W38" s="775">
        <f t="shared" si="14"/>
        <v>100</v>
      </c>
      <c r="X38" s="1811"/>
      <c r="Y38" s="3313" t="s">
        <v>2551</v>
      </c>
      <c r="Z38" s="1812" t="str">
        <f t="shared" si="15"/>
        <v>业态</v>
      </c>
      <c r="AA38" s="1809">
        <f t="shared" si="3"/>
        <v>1</v>
      </c>
      <c r="AB38" s="1809">
        <f t="shared" si="4"/>
        <v>1</v>
      </c>
      <c r="AC38" s="1809">
        <f t="shared" si="5"/>
        <v>1</v>
      </c>
    </row>
    <row r="39" spans="1:29" ht="15">
      <c r="A39" s="472"/>
      <c r="B39" s="422" t="s">
        <v>2651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1"/>
      <c r="M39" s="1132"/>
      <c r="N39" s="1132"/>
      <c r="O39" s="1132"/>
      <c r="P39" s="3311"/>
      <c r="Q39" s="1808" t="str">
        <f t="shared" si="11"/>
        <v>层高</v>
      </c>
      <c r="R39" s="774" t="s">
        <v>17</v>
      </c>
      <c r="S39" s="775">
        <f t="shared" si="12"/>
        <v>100</v>
      </c>
      <c r="T39" s="774" t="s">
        <v>17</v>
      </c>
      <c r="U39" s="775">
        <f t="shared" si="13"/>
        <v>100</v>
      </c>
      <c r="V39" s="774" t="s">
        <v>17</v>
      </c>
      <c r="W39" s="775">
        <f t="shared" si="14"/>
        <v>100</v>
      </c>
      <c r="X39" s="1811"/>
      <c r="Y39" s="3313"/>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311"/>
      <c r="Q40" s="1808" t="str">
        <f t="shared" si="11"/>
        <v>单套建筑面积</v>
      </c>
      <c r="R40" s="774" t="s">
        <v>17</v>
      </c>
      <c r="S40" s="775">
        <f t="shared" si="12"/>
        <v>100</v>
      </c>
      <c r="T40" s="774" t="s">
        <v>17</v>
      </c>
      <c r="U40" s="775">
        <f t="shared" si="13"/>
        <v>100</v>
      </c>
      <c r="V40" s="774" t="s">
        <v>17</v>
      </c>
      <c r="W40" s="775">
        <f t="shared" si="14"/>
        <v>100</v>
      </c>
      <c r="X40" s="1811"/>
      <c r="Y40" s="3313"/>
      <c r="Z40" s="1812" t="str">
        <f t="shared" si="15"/>
        <v>单套建筑面积</v>
      </c>
      <c r="AA40" s="1809">
        <f t="shared" si="3"/>
        <v>1</v>
      </c>
      <c r="AB40" s="1809">
        <f t="shared" si="4"/>
        <v>1</v>
      </c>
      <c r="AC40" s="1809">
        <f t="shared" si="5"/>
        <v>1</v>
      </c>
    </row>
    <row r="41" spans="1:29" s="471" customFormat="1" ht="15">
      <c r="A41" s="468"/>
      <c r="B41" s="1810"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311"/>
      <c r="Q41" s="776" t="str">
        <f t="shared" si="11"/>
        <v>进深比</v>
      </c>
      <c r="R41" s="777" t="s">
        <v>17</v>
      </c>
      <c r="S41" s="778">
        <f t="shared" si="12"/>
        <v>100</v>
      </c>
      <c r="T41" s="777" t="s">
        <v>17</v>
      </c>
      <c r="U41" s="778">
        <f t="shared" si="13"/>
        <v>100</v>
      </c>
      <c r="V41" s="777" t="s">
        <v>17</v>
      </c>
      <c r="W41" s="778">
        <f t="shared" si="14"/>
        <v>100</v>
      </c>
      <c r="X41" s="779"/>
      <c r="Y41" s="3313"/>
      <c r="Z41" s="780" t="str">
        <f t="shared" si="15"/>
        <v>进深比</v>
      </c>
      <c r="AA41" s="1809">
        <f t="shared" si="3"/>
        <v>1</v>
      </c>
      <c r="AB41" s="1809">
        <f t="shared" si="4"/>
        <v>1</v>
      </c>
      <c r="AC41" s="1809">
        <f t="shared" si="5"/>
        <v>1</v>
      </c>
    </row>
    <row r="42" spans="1:29" ht="15">
      <c r="A42" s="472"/>
      <c r="B42" s="422" t="s">
        <v>2654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1"/>
      <c r="M42" s="1132"/>
      <c r="N42" s="1132"/>
      <c r="O42" s="1132"/>
      <c r="P42" s="3311"/>
      <c r="Q42" s="1808" t="str">
        <f t="shared" si="11"/>
        <v>内部装修</v>
      </c>
      <c r="R42" s="774" t="s">
        <v>17</v>
      </c>
      <c r="S42" s="775">
        <f t="shared" si="12"/>
        <v>100</v>
      </c>
      <c r="T42" s="774" t="s">
        <v>17</v>
      </c>
      <c r="U42" s="775">
        <f t="shared" si="13"/>
        <v>100</v>
      </c>
      <c r="V42" s="774" t="s">
        <v>17</v>
      </c>
      <c r="W42" s="775">
        <f t="shared" si="14"/>
        <v>100</v>
      </c>
      <c r="X42" s="1811"/>
      <c r="Y42" s="3313"/>
      <c r="Z42" s="1812" t="str">
        <f t="shared" si="15"/>
        <v>内部装修</v>
      </c>
      <c r="AA42" s="1809">
        <f t="shared" si="3"/>
        <v>1</v>
      </c>
      <c r="AB42" s="1809">
        <f t="shared" si="4"/>
        <v>1</v>
      </c>
      <c r="AC42" s="1809">
        <f t="shared" si="5"/>
        <v>1</v>
      </c>
    </row>
    <row r="43" spans="1:29" ht="15">
      <c r="A43" s="472"/>
      <c r="B43" s="422" t="s">
        <v>2562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1"/>
      <c r="M43" s="1132"/>
      <c r="N43" s="1132"/>
      <c r="O43" s="1132"/>
      <c r="P43" s="3311"/>
      <c r="Q43" s="1808" t="str">
        <f t="shared" si="11"/>
        <v>内部装修维护情况</v>
      </c>
      <c r="R43" s="774" t="s">
        <v>17</v>
      </c>
      <c r="S43" s="775">
        <f t="shared" si="12"/>
        <v>100</v>
      </c>
      <c r="T43" s="774" t="s">
        <v>17</v>
      </c>
      <c r="U43" s="775">
        <f t="shared" si="13"/>
        <v>100</v>
      </c>
      <c r="V43" s="774" t="s">
        <v>17</v>
      </c>
      <c r="W43" s="775">
        <f t="shared" si="14"/>
        <v>100</v>
      </c>
      <c r="X43" s="1811"/>
      <c r="Y43" s="3313"/>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311"/>
      <c r="Q44" s="1793">
        <f t="shared" si="11"/>
        <v>111</v>
      </c>
      <c r="R44" s="770" t="s">
        <v>17</v>
      </c>
      <c r="S44" s="771">
        <f t="shared" si="12"/>
        <v>100</v>
      </c>
      <c r="T44" s="770" t="s">
        <v>17</v>
      </c>
      <c r="U44" s="771">
        <f t="shared" si="13"/>
        <v>100</v>
      </c>
      <c r="V44" s="770" t="s">
        <v>17</v>
      </c>
      <c r="W44" s="771">
        <f t="shared" si="14"/>
        <v>100</v>
      </c>
      <c r="X44" s="772"/>
      <c r="Y44" s="331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311"/>
      <c r="Q45" s="1808">
        <f t="shared" si="11"/>
        <v>111</v>
      </c>
      <c r="R45" s="774" t="s">
        <v>17</v>
      </c>
      <c r="S45" s="775">
        <f t="shared" si="12"/>
        <v>100</v>
      </c>
      <c r="T45" s="774" t="s">
        <v>17</v>
      </c>
      <c r="U45" s="775">
        <f t="shared" si="13"/>
        <v>100</v>
      </c>
      <c r="V45" s="774" t="s">
        <v>17</v>
      </c>
      <c r="W45" s="775">
        <f t="shared" si="14"/>
        <v>100</v>
      </c>
      <c r="X45" s="1811"/>
      <c r="Y45" s="3313"/>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312"/>
      <c r="Q46" s="1808">
        <f t="shared" si="11"/>
        <v>111</v>
      </c>
      <c r="R46" s="774" t="s">
        <v>17</v>
      </c>
      <c r="S46" s="775">
        <f t="shared" si="12"/>
        <v>100</v>
      </c>
      <c r="T46" s="774" t="s">
        <v>17</v>
      </c>
      <c r="U46" s="775">
        <f t="shared" si="13"/>
        <v>100</v>
      </c>
      <c r="V46" s="774" t="s">
        <v>17</v>
      </c>
      <c r="W46" s="775">
        <f t="shared" si="14"/>
        <v>100</v>
      </c>
      <c r="X46" s="1811"/>
      <c r="Y46" s="3314"/>
      <c r="Z46" s="1812">
        <f t="shared" si="15"/>
        <v>111</v>
      </c>
      <c r="AA46" s="1809">
        <f t="shared" si="3"/>
        <v>1</v>
      </c>
      <c r="AB46" s="1809">
        <f t="shared" si="4"/>
        <v>1</v>
      </c>
      <c r="AC46" s="1809">
        <f t="shared" si="5"/>
        <v>1</v>
      </c>
    </row>
    <row r="47" spans="1:29" ht="15">
      <c r="A47" s="479" t="s">
        <v>2563</v>
      </c>
      <c r="B47" s="480"/>
      <c r="C47" s="1407" t="s">
        <v>1</v>
      </c>
      <c r="D47" s="1408"/>
      <c r="E47" s="1409"/>
      <c r="F47" s="1410"/>
      <c r="G47" s="1411"/>
      <c r="H47" s="1412"/>
      <c r="I47" s="1409"/>
      <c r="J47" s="1412"/>
      <c r="K47" s="783"/>
      <c r="L47" s="1144"/>
      <c r="M47" s="1145"/>
      <c r="N47" s="1132"/>
      <c r="O47" s="1145"/>
      <c r="P47" s="3301" t="str">
        <f>A47</f>
        <v>成交单价（元/平方米）</v>
      </c>
      <c r="Q47" s="3301"/>
      <c r="R47" s="3335">
        <f>E47</f>
        <v>0</v>
      </c>
      <c r="S47" s="3335"/>
      <c r="T47" s="3335">
        <f>G47</f>
        <v>0</v>
      </c>
      <c r="U47" s="3335"/>
      <c r="V47" s="3335">
        <f>I47</f>
        <v>0</v>
      </c>
      <c r="W47" s="3335"/>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4"/>
      <c r="M48" s="1145"/>
      <c r="N48" s="1132"/>
      <c r="O48" s="1145"/>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4"/>
      <c r="M49" s="1145"/>
      <c r="N49" s="1132"/>
      <c r="O49" s="1145"/>
      <c r="P49" s="3352" t="str">
        <f>A49</f>
        <v>估价对象XX用房的比较价值（楼面单价，元/平方米）</v>
      </c>
      <c r="Q49" s="3353"/>
      <c r="R49" s="3428" t="e">
        <f>IF(F1="售价",ROUND(AVERAGE(R48:V48),0),ROUND(AVERAGE(R48:V48),1))</f>
        <v>#DIV/0!</v>
      </c>
      <c r="S49" s="3428"/>
      <c r="T49" s="3428"/>
      <c r="U49" s="3428"/>
      <c r="V49" s="3428"/>
      <c r="W49" s="342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1"/>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1"/>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2"/>
      <c r="M57" s="1160"/>
      <c r="N57" s="1160"/>
      <c r="O57" s="1160"/>
      <c r="P57" s="2662"/>
      <c r="Q57" s="2663"/>
      <c r="R57" s="759"/>
      <c r="S57" s="759"/>
      <c r="T57" s="759"/>
      <c r="U57" s="759"/>
      <c r="V57" s="759"/>
      <c r="W57" s="759"/>
      <c r="X57" s="759"/>
      <c r="Y57" s="759"/>
      <c r="Z57" s="759"/>
      <c r="AA57" s="759"/>
      <c r="AB57" s="759"/>
      <c r="AC57" s="759"/>
    </row>
    <row r="58" spans="1:29" s="508" customFormat="1" ht="15">
      <c r="A58" s="505" t="s">
        <v>2534</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2666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2"/>
      <c r="O88" s="1152"/>
      <c r="P88" s="2625"/>
      <c r="Q88" s="504"/>
    </row>
    <row r="89" spans="1:17" s="117" customFormat="1" ht="15.75" thickBot="1">
      <c r="A89" s="579"/>
      <c r="B89" s="543"/>
      <c r="C89" s="560"/>
      <c r="D89" s="536"/>
      <c r="E89" s="536"/>
      <c r="F89" s="536"/>
      <c r="G89" s="536"/>
      <c r="H89" s="536"/>
      <c r="I89" s="536"/>
      <c r="J89" s="536"/>
      <c r="K89" s="536"/>
      <c r="L89" s="536"/>
      <c r="M89" s="536"/>
      <c r="N89" s="1154"/>
      <c r="O89" s="1154"/>
      <c r="P89" s="262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c r="D92" s="554"/>
      <c r="E92" s="554"/>
      <c r="F92" s="554"/>
      <c r="G92" s="554"/>
      <c r="H92" s="554"/>
      <c r="I92" s="554"/>
      <c r="J92" s="554"/>
      <c r="K92" s="554"/>
      <c r="L92" s="580"/>
      <c r="M92" s="581"/>
      <c r="N92" s="1153"/>
      <c r="O92" s="1153"/>
      <c r="P92" s="2625"/>
      <c r="Q92" s="504"/>
    </row>
    <row r="93" spans="1:17" ht="15.75" thickBot="1">
      <c r="A93" s="534"/>
      <c r="B93" s="543"/>
      <c r="C93" s="536"/>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2549</v>
      </c>
      <c r="B100" s="528" t="s">
        <v>2667</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2602</v>
      </c>
      <c r="C107" s="554"/>
      <c r="D107" s="554"/>
      <c r="E107" s="554"/>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2604</v>
      </c>
      <c r="C112" s="554"/>
      <c r="D112" s="554"/>
      <c r="E112" s="554"/>
      <c r="F112" s="554"/>
      <c r="G112" s="554"/>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2668</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2669</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2670</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2671</v>
      </c>
      <c r="C120" s="583"/>
      <c r="D120" s="583"/>
      <c r="E120" s="583"/>
      <c r="F120" s="583"/>
      <c r="G120" s="555"/>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IF(C2="——",ROUND(C43*D3/10000,0),ROUND(C43*D3/10000,0)-D2)</f>
        <v>#DIV/0!</v>
      </c>
      <c r="C2" s="2581"/>
      <c r="D2" s="112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98810.33</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18" t="s">
        <v>2632</v>
      </c>
      <c r="D4" s="3319"/>
      <c r="E4" s="3320" t="s">
        <v>2633</v>
      </c>
      <c r="F4" s="3321"/>
      <c r="G4" s="3318" t="s">
        <v>2634</v>
      </c>
      <c r="H4" s="3319"/>
      <c r="I4" s="3318" t="s">
        <v>2635</v>
      </c>
      <c r="J4" s="3319"/>
      <c r="K4" s="610" t="s">
        <v>2636</v>
      </c>
      <c r="L4" s="1131"/>
      <c r="M4" s="1132"/>
      <c r="N4" s="1132"/>
      <c r="O4" s="1132"/>
      <c r="P4" s="3359" t="s">
        <v>2637</v>
      </c>
      <c r="Q4" s="3360"/>
      <c r="R4" s="3363" t="s">
        <v>2633</v>
      </c>
      <c r="S4" s="3364"/>
      <c r="T4" s="3363" t="s">
        <v>2634</v>
      </c>
      <c r="U4" s="3364"/>
      <c r="V4" s="3335" t="s">
        <v>2635</v>
      </c>
      <c r="W4" s="3335"/>
      <c r="X4" s="1811"/>
      <c r="Y4" s="3363" t="s">
        <v>2637</v>
      </c>
      <c r="Z4" s="3364"/>
      <c r="AA4" s="3358" t="s">
        <v>2633</v>
      </c>
      <c r="AB4" s="3347" t="s">
        <v>2634</v>
      </c>
      <c r="AC4" s="3358" t="s">
        <v>2635</v>
      </c>
    </row>
    <row r="5" spans="1:29" ht="15">
      <c r="A5" s="404"/>
      <c r="B5" s="405"/>
      <c r="C5" s="3338" t="s">
        <v>2528</v>
      </c>
      <c r="D5" s="3339"/>
      <c r="E5" s="3349" t="s">
        <v>2529</v>
      </c>
      <c r="F5" s="3350"/>
      <c r="G5" s="3338" t="s">
        <v>2530</v>
      </c>
      <c r="H5" s="3339"/>
      <c r="I5" s="3338" t="s">
        <v>2531</v>
      </c>
      <c r="J5" s="3339"/>
      <c r="K5" s="610"/>
      <c r="L5" s="1131"/>
      <c r="M5" s="1132"/>
      <c r="N5" s="1132"/>
      <c r="O5" s="1132"/>
      <c r="P5" s="3361"/>
      <c r="Q5" s="3325"/>
      <c r="R5" s="3330"/>
      <c r="S5" s="3331"/>
      <c r="T5" s="3330"/>
      <c r="U5" s="3331"/>
      <c r="V5" s="3335"/>
      <c r="W5" s="3335"/>
      <c r="X5" s="1811"/>
      <c r="Y5" s="3330"/>
      <c r="Z5" s="3331"/>
      <c r="AA5" s="3347"/>
      <c r="AB5" s="3347"/>
      <c r="AC5" s="3347"/>
    </row>
    <row r="6" spans="1:29" ht="15.75" thickBot="1">
      <c r="A6" s="406"/>
      <c r="B6" s="407"/>
      <c r="C6" s="3336" t="s">
        <v>2532</v>
      </c>
      <c r="D6" s="3337"/>
      <c r="E6" s="3344" t="s">
        <v>2532</v>
      </c>
      <c r="F6" s="3345"/>
      <c r="G6" s="3336" t="s">
        <v>2532</v>
      </c>
      <c r="H6" s="3337"/>
      <c r="I6" s="3336" t="s">
        <v>2532</v>
      </c>
      <c r="J6" s="3337"/>
      <c r="K6" s="610" t="s">
        <v>2533</v>
      </c>
      <c r="L6" s="1131"/>
      <c r="M6" s="1132"/>
      <c r="N6" s="1132"/>
      <c r="O6" s="1132"/>
      <c r="P6" s="3362"/>
      <c r="Q6" s="3327"/>
      <c r="R6" s="3330"/>
      <c r="S6" s="3331"/>
      <c r="T6" s="3332"/>
      <c r="U6" s="3333"/>
      <c r="V6" s="3335"/>
      <c r="W6" s="3335"/>
      <c r="X6" s="1811"/>
      <c r="Y6" s="3332"/>
      <c r="Z6" s="3333"/>
      <c r="AA6" s="3348"/>
      <c r="AB6" s="3348"/>
      <c r="AC6" s="3348"/>
    </row>
    <row r="7" spans="1:29" s="117" customFormat="1" ht="15.75" thickBot="1">
      <c r="A7" s="408" t="s">
        <v>2534</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342" t="s">
        <v>2535</v>
      </c>
      <c r="Q7" s="3343"/>
      <c r="R7" s="770" t="s">
        <v>17</v>
      </c>
      <c r="S7" s="771">
        <f t="shared" ref="S7:S15" si="0">F7</f>
        <v>0</v>
      </c>
      <c r="T7" s="770" t="s">
        <v>17</v>
      </c>
      <c r="U7" s="771">
        <f t="shared" ref="U7:U15" si="1">H7</f>
        <v>0</v>
      </c>
      <c r="V7" s="770" t="s">
        <v>17</v>
      </c>
      <c r="W7" s="771">
        <f t="shared" ref="W7:W15" si="2">J7</f>
        <v>0</v>
      </c>
      <c r="X7" s="772"/>
      <c r="Y7" s="3342" t="s">
        <v>2535</v>
      </c>
      <c r="Z7" s="3341"/>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342" t="s">
        <v>2538</v>
      </c>
      <c r="Q8" s="3341"/>
      <c r="R8" s="770" t="s">
        <v>17</v>
      </c>
      <c r="S8" s="771">
        <f t="shared" si="0"/>
        <v>0</v>
      </c>
      <c r="T8" s="770" t="s">
        <v>17</v>
      </c>
      <c r="U8" s="771">
        <f t="shared" si="1"/>
        <v>0</v>
      </c>
      <c r="V8" s="770" t="s">
        <v>17</v>
      </c>
      <c r="W8" s="771">
        <f t="shared" si="2"/>
        <v>0</v>
      </c>
      <c r="X8" s="772"/>
      <c r="Y8" s="3342" t="s">
        <v>2538</v>
      </c>
      <c r="Z8" s="3341"/>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301" t="s">
        <v>2541</v>
      </c>
      <c r="Q9" s="1793" t="str">
        <f t="shared" ref="Q9:Q15" si="6">B9</f>
        <v>用途</v>
      </c>
      <c r="R9" s="770" t="s">
        <v>17</v>
      </c>
      <c r="S9" s="771">
        <f t="shared" si="0"/>
        <v>100</v>
      </c>
      <c r="T9" s="770" t="s">
        <v>17</v>
      </c>
      <c r="U9" s="771">
        <f t="shared" si="1"/>
        <v>100</v>
      </c>
      <c r="V9" s="770" t="s">
        <v>17</v>
      </c>
      <c r="W9" s="771">
        <f t="shared" si="2"/>
        <v>100</v>
      </c>
      <c r="X9" s="772"/>
      <c r="Y9" s="3126"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301"/>
      <c r="Q10" s="1793" t="str">
        <f t="shared" si="6"/>
        <v>土地使用年限（年）</v>
      </c>
      <c r="R10" s="770" t="s">
        <v>17</v>
      </c>
      <c r="S10" s="771">
        <f t="shared" si="0"/>
        <v>100</v>
      </c>
      <c r="T10" s="770" t="s">
        <v>17</v>
      </c>
      <c r="U10" s="771">
        <f t="shared" si="1"/>
        <v>100</v>
      </c>
      <c r="V10" s="770" t="s">
        <v>17</v>
      </c>
      <c r="W10" s="771">
        <f t="shared" si="2"/>
        <v>100</v>
      </c>
      <c r="X10" s="772"/>
      <c r="Y10" s="3126"/>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301"/>
      <c r="Q11" s="1793" t="str">
        <f t="shared" si="6"/>
        <v>容积率</v>
      </c>
      <c r="R11" s="770" t="s">
        <v>17</v>
      </c>
      <c r="S11" s="771" t="e">
        <f t="shared" si="0"/>
        <v>#N/A</v>
      </c>
      <c r="T11" s="770" t="s">
        <v>17</v>
      </c>
      <c r="U11" s="771" t="e">
        <f t="shared" si="1"/>
        <v>#N/A</v>
      </c>
      <c r="V11" s="770" t="s">
        <v>17</v>
      </c>
      <c r="W11" s="771" t="e">
        <f t="shared" si="2"/>
        <v>#N/A</v>
      </c>
      <c r="X11" s="772"/>
      <c r="Y11" s="3126"/>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301"/>
      <c r="Q12" s="1793">
        <f t="shared" si="6"/>
        <v>111</v>
      </c>
      <c r="R12" s="770" t="s">
        <v>17</v>
      </c>
      <c r="S12" s="771">
        <f t="shared" si="0"/>
        <v>100</v>
      </c>
      <c r="T12" s="770" t="s">
        <v>17</v>
      </c>
      <c r="U12" s="771">
        <f t="shared" si="1"/>
        <v>100</v>
      </c>
      <c r="V12" s="770" t="s">
        <v>17</v>
      </c>
      <c r="W12" s="771">
        <f t="shared" si="2"/>
        <v>100</v>
      </c>
      <c r="X12" s="772"/>
      <c r="Y12" s="3126"/>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301"/>
      <c r="Q13" s="1793">
        <f t="shared" si="6"/>
        <v>111</v>
      </c>
      <c r="R13" s="770" t="s">
        <v>17</v>
      </c>
      <c r="S13" s="771">
        <f t="shared" si="0"/>
        <v>100</v>
      </c>
      <c r="T13" s="770" t="s">
        <v>17</v>
      </c>
      <c r="U13" s="771">
        <f t="shared" si="1"/>
        <v>100</v>
      </c>
      <c r="V13" s="770" t="s">
        <v>17</v>
      </c>
      <c r="W13" s="771">
        <f t="shared" si="2"/>
        <v>100</v>
      </c>
      <c r="X13" s="772"/>
      <c r="Y13" s="3126"/>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301"/>
      <c r="Q14" s="1793">
        <f t="shared" si="6"/>
        <v>111</v>
      </c>
      <c r="R14" s="770" t="s">
        <v>17</v>
      </c>
      <c r="S14" s="771">
        <f t="shared" si="0"/>
        <v>100</v>
      </c>
      <c r="T14" s="770" t="s">
        <v>17</v>
      </c>
      <c r="U14" s="771">
        <f t="shared" si="1"/>
        <v>100</v>
      </c>
      <c r="V14" s="770" t="s">
        <v>17</v>
      </c>
      <c r="W14" s="771">
        <f t="shared" si="2"/>
        <v>100</v>
      </c>
      <c r="X14" s="772"/>
      <c r="Y14" s="3126"/>
      <c r="Z14" s="55">
        <f t="shared" si="7"/>
        <v>111</v>
      </c>
      <c r="AA14" s="773">
        <f t="shared" si="3"/>
        <v>1</v>
      </c>
      <c r="AB14" s="773">
        <f t="shared" si="4"/>
        <v>1</v>
      </c>
      <c r="AC14" s="773">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308" t="s">
        <v>2546</v>
      </c>
      <c r="Q15" s="1808" t="str">
        <f t="shared" si="6"/>
        <v>产业集聚程度</v>
      </c>
      <c r="R15" s="774" t="s">
        <v>17</v>
      </c>
      <c r="S15" s="775">
        <f t="shared" si="0"/>
        <v>100</v>
      </c>
      <c r="T15" s="774" t="s">
        <v>17</v>
      </c>
      <c r="U15" s="775">
        <f t="shared" si="1"/>
        <v>100</v>
      </c>
      <c r="V15" s="774" t="s">
        <v>17</v>
      </c>
      <c r="W15" s="775">
        <f t="shared" si="2"/>
        <v>100</v>
      </c>
      <c r="X15" s="1811"/>
      <c r="Y15" s="3308"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309"/>
      <c r="Q16" s="1808"/>
      <c r="R16" s="774"/>
      <c r="S16" s="775"/>
      <c r="T16" s="774"/>
      <c r="U16" s="775"/>
      <c r="V16" s="774"/>
      <c r="W16" s="775"/>
      <c r="X16" s="1811"/>
      <c r="Y16" s="3309"/>
      <c r="Z16" s="1812"/>
      <c r="AA16" s="1809">
        <v>1</v>
      </c>
      <c r="AB16" s="1809">
        <v>1</v>
      </c>
      <c r="AC16" s="1809">
        <v>1</v>
      </c>
    </row>
    <row r="17" spans="1:29" ht="15">
      <c r="A17" s="428"/>
      <c r="B17" s="451" t="s">
        <v>2084</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309"/>
      <c r="Q17" s="1808" t="str">
        <f>B17</f>
        <v>交通便捷度</v>
      </c>
      <c r="R17" s="774" t="s">
        <v>17</v>
      </c>
      <c r="S17" s="775">
        <f>F17</f>
        <v>100</v>
      </c>
      <c r="T17" s="774" t="s">
        <v>17</v>
      </c>
      <c r="U17" s="775">
        <f>H17</f>
        <v>100</v>
      </c>
      <c r="V17" s="774" t="s">
        <v>17</v>
      </c>
      <c r="W17" s="775">
        <f>J17</f>
        <v>100</v>
      </c>
      <c r="X17" s="1811"/>
      <c r="Y17" s="3309"/>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40"/>
      <c r="P18" s="3309"/>
      <c r="Q18" s="1808"/>
      <c r="R18" s="774"/>
      <c r="S18" s="775"/>
      <c r="T18" s="774"/>
      <c r="U18" s="775"/>
      <c r="V18" s="774"/>
      <c r="W18" s="775"/>
      <c r="X18" s="1811"/>
      <c r="Y18" s="3309"/>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309"/>
      <c r="Q19" s="1808" t="str">
        <f>B19</f>
        <v>公共配套设施</v>
      </c>
      <c r="R19" s="774" t="s">
        <v>17</v>
      </c>
      <c r="S19" s="775">
        <f>F19</f>
        <v>100</v>
      </c>
      <c r="T19" s="774" t="s">
        <v>17</v>
      </c>
      <c r="U19" s="775">
        <f>H19</f>
        <v>100</v>
      </c>
      <c r="V19" s="774" t="s">
        <v>17</v>
      </c>
      <c r="W19" s="775">
        <f>J19</f>
        <v>100</v>
      </c>
      <c r="X19" s="1811"/>
      <c r="Y19" s="3309"/>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40"/>
      <c r="P20" s="3309"/>
      <c r="Q20" s="1808"/>
      <c r="R20" s="774"/>
      <c r="S20" s="775"/>
      <c r="T20" s="774"/>
      <c r="U20" s="775"/>
      <c r="V20" s="774"/>
      <c r="W20" s="775"/>
      <c r="X20" s="1811"/>
      <c r="Y20" s="3309"/>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309"/>
      <c r="Q21" s="1808" t="str">
        <f>B21</f>
        <v>基础设施水平</v>
      </c>
      <c r="R21" s="774" t="s">
        <v>17</v>
      </c>
      <c r="S21" s="775">
        <f>F21</f>
        <v>100</v>
      </c>
      <c r="T21" s="774" t="s">
        <v>17</v>
      </c>
      <c r="U21" s="775">
        <f>H21</f>
        <v>100</v>
      </c>
      <c r="V21" s="774" t="s">
        <v>17</v>
      </c>
      <c r="W21" s="775">
        <f>J21</f>
        <v>100</v>
      </c>
      <c r="X21" s="1811"/>
      <c r="Y21" s="3309"/>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40"/>
      <c r="P22" s="3309"/>
      <c r="Q22" s="1808"/>
      <c r="R22" s="774"/>
      <c r="S22" s="775"/>
      <c r="T22" s="774"/>
      <c r="U22" s="775"/>
      <c r="V22" s="774"/>
      <c r="W22" s="775"/>
      <c r="X22" s="1811"/>
      <c r="Y22" s="3309"/>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309"/>
      <c r="Q23" s="1808" t="str">
        <f>B23</f>
        <v>环境质量</v>
      </c>
      <c r="R23" s="774" t="s">
        <v>17</v>
      </c>
      <c r="S23" s="775">
        <f>F23</f>
        <v>100</v>
      </c>
      <c r="T23" s="774" t="s">
        <v>17</v>
      </c>
      <c r="U23" s="775">
        <f>H23</f>
        <v>100</v>
      </c>
      <c r="V23" s="774" t="s">
        <v>17</v>
      </c>
      <c r="W23" s="775">
        <f>J23</f>
        <v>100</v>
      </c>
      <c r="X23" s="1811"/>
      <c r="Y23" s="3309"/>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1"/>
      <c r="M24" s="1132"/>
      <c r="N24" s="1132"/>
      <c r="O24" s="1140"/>
      <c r="P24" s="3309"/>
      <c r="Q24" s="1808"/>
      <c r="R24" s="774"/>
      <c r="S24" s="775"/>
      <c r="T24" s="774"/>
      <c r="U24" s="775"/>
      <c r="V24" s="774"/>
      <c r="W24" s="775"/>
      <c r="X24" s="1811"/>
      <c r="Y24" s="3309"/>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309"/>
      <c r="Q25" s="1808">
        <f>B25</f>
        <v>111</v>
      </c>
      <c r="R25" s="774" t="s">
        <v>17</v>
      </c>
      <c r="S25" s="775">
        <f>F25</f>
        <v>100</v>
      </c>
      <c r="T25" s="774" t="s">
        <v>17</v>
      </c>
      <c r="U25" s="775">
        <f>H25</f>
        <v>100</v>
      </c>
      <c r="V25" s="774" t="s">
        <v>17</v>
      </c>
      <c r="W25" s="775">
        <f>J25</f>
        <v>100</v>
      </c>
      <c r="X25" s="1811"/>
      <c r="Y25" s="3309"/>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309"/>
      <c r="Q26" s="1808">
        <f t="shared" ref="Q26:Q40" si="11">B26</f>
        <v>111</v>
      </c>
      <c r="R26" s="774" t="s">
        <v>17</v>
      </c>
      <c r="S26" s="775">
        <f>F26</f>
        <v>100</v>
      </c>
      <c r="T26" s="774" t="s">
        <v>17</v>
      </c>
      <c r="U26" s="775">
        <f>H26</f>
        <v>100</v>
      </c>
      <c r="V26" s="774" t="s">
        <v>17</v>
      </c>
      <c r="W26" s="775">
        <f>J26</f>
        <v>100</v>
      </c>
      <c r="X26" s="1811"/>
      <c r="Y26" s="3309"/>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309"/>
      <c r="Q27" s="1793">
        <f t="shared" si="11"/>
        <v>111</v>
      </c>
      <c r="R27" s="770" t="s">
        <v>17</v>
      </c>
      <c r="S27" s="771">
        <f>F27</f>
        <v>100</v>
      </c>
      <c r="T27" s="770" t="s">
        <v>17</v>
      </c>
      <c r="U27" s="771">
        <f>H27</f>
        <v>100</v>
      </c>
      <c r="V27" s="770" t="s">
        <v>17</v>
      </c>
      <c r="W27" s="771">
        <f>J27</f>
        <v>100</v>
      </c>
      <c r="X27" s="772"/>
      <c r="Y27" s="3309"/>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309"/>
      <c r="Q28" s="1808">
        <f t="shared" si="11"/>
        <v>111</v>
      </c>
      <c r="R28" s="774" t="s">
        <v>17</v>
      </c>
      <c r="S28" s="775">
        <f t="shared" ref="S28:S40" si="12">F28</f>
        <v>100</v>
      </c>
      <c r="T28" s="774" t="s">
        <v>17</v>
      </c>
      <c r="U28" s="775">
        <f t="shared" ref="U28:U40" si="13">H28</f>
        <v>100</v>
      </c>
      <c r="V28" s="774" t="s">
        <v>17</v>
      </c>
      <c r="W28" s="775">
        <f t="shared" ref="W28:W40" si="14">J28</f>
        <v>100</v>
      </c>
      <c r="X28" s="1811"/>
      <c r="Y28" s="3309"/>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357" t="s">
        <v>2551</v>
      </c>
      <c r="Q29" s="1808" t="str">
        <f t="shared" si="11"/>
        <v>建筑类型</v>
      </c>
      <c r="R29" s="774" t="s">
        <v>17</v>
      </c>
      <c r="S29" s="775">
        <f t="shared" si="12"/>
        <v>100</v>
      </c>
      <c r="T29" s="774" t="s">
        <v>17</v>
      </c>
      <c r="U29" s="775">
        <f t="shared" si="13"/>
        <v>100</v>
      </c>
      <c r="V29" s="774" t="s">
        <v>17</v>
      </c>
      <c r="W29" s="775">
        <f t="shared" si="14"/>
        <v>100</v>
      </c>
      <c r="X29" s="1811"/>
      <c r="Y29" s="3313"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313"/>
      <c r="Q30" s="776" t="str">
        <f t="shared" si="11"/>
        <v>项目建筑规模</v>
      </c>
      <c r="R30" s="777" t="s">
        <v>17</v>
      </c>
      <c r="S30" s="778" t="e">
        <f t="shared" si="12"/>
        <v>#N/A</v>
      </c>
      <c r="T30" s="777" t="s">
        <v>17</v>
      </c>
      <c r="U30" s="778" t="e">
        <f t="shared" si="13"/>
        <v>#N/A</v>
      </c>
      <c r="V30" s="777" t="s">
        <v>17</v>
      </c>
      <c r="W30" s="778" t="e">
        <f t="shared" si="14"/>
        <v>#N/A</v>
      </c>
      <c r="X30" s="779"/>
      <c r="Y30" s="3313"/>
      <c r="Z30" s="780"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313"/>
      <c r="Q31" s="1808" t="str">
        <f t="shared" si="11"/>
        <v>建筑结构</v>
      </c>
      <c r="R31" s="774" t="s">
        <v>17</v>
      </c>
      <c r="S31" s="775">
        <f t="shared" si="12"/>
        <v>100</v>
      </c>
      <c r="T31" s="774" t="s">
        <v>17</v>
      </c>
      <c r="U31" s="775">
        <f t="shared" si="13"/>
        <v>100</v>
      </c>
      <c r="V31" s="774" t="s">
        <v>17</v>
      </c>
      <c r="W31" s="775">
        <f t="shared" si="14"/>
        <v>100</v>
      </c>
      <c r="X31" s="1811"/>
      <c r="Y31" s="3313"/>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313"/>
      <c r="Q32" s="1808" t="str">
        <f t="shared" si="11"/>
        <v>公共部分装修</v>
      </c>
      <c r="R32" s="774" t="s">
        <v>17</v>
      </c>
      <c r="S32" s="775">
        <f t="shared" si="12"/>
        <v>100</v>
      </c>
      <c r="T32" s="774" t="s">
        <v>17</v>
      </c>
      <c r="U32" s="775">
        <f t="shared" si="13"/>
        <v>100</v>
      </c>
      <c r="V32" s="774" t="s">
        <v>17</v>
      </c>
      <c r="W32" s="775">
        <f t="shared" si="14"/>
        <v>100</v>
      </c>
      <c r="X32" s="1811"/>
      <c r="Y32" s="3313"/>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313"/>
      <c r="Q33" s="1808" t="str">
        <f t="shared" si="11"/>
        <v>成新度</v>
      </c>
      <c r="R33" s="774" t="s">
        <v>17</v>
      </c>
      <c r="S33" s="775" t="e">
        <f t="shared" si="12"/>
        <v>#N/A</v>
      </c>
      <c r="T33" s="774" t="s">
        <v>17</v>
      </c>
      <c r="U33" s="775" t="e">
        <f t="shared" si="13"/>
        <v>#N/A</v>
      </c>
      <c r="V33" s="774" t="s">
        <v>17</v>
      </c>
      <c r="W33" s="775" t="e">
        <f t="shared" si="14"/>
        <v>#N/A</v>
      </c>
      <c r="X33" s="1811"/>
      <c r="Y33" s="3313"/>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313"/>
      <c r="Q34" s="1793" t="str">
        <f t="shared" si="11"/>
        <v>物业管理</v>
      </c>
      <c r="R34" s="770" t="s">
        <v>17</v>
      </c>
      <c r="S34" s="771">
        <f t="shared" si="12"/>
        <v>100</v>
      </c>
      <c r="T34" s="770" t="s">
        <v>17</v>
      </c>
      <c r="U34" s="771">
        <f t="shared" si="13"/>
        <v>100</v>
      </c>
      <c r="V34" s="770" t="s">
        <v>17</v>
      </c>
      <c r="W34" s="771">
        <f t="shared" si="14"/>
        <v>100</v>
      </c>
      <c r="X34" s="772"/>
      <c r="Y34" s="3313"/>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313" t="s">
        <v>2551</v>
      </c>
      <c r="Q35" s="1808" t="str">
        <f t="shared" si="11"/>
        <v>市政基础设施</v>
      </c>
      <c r="R35" s="774" t="s">
        <v>17</v>
      </c>
      <c r="S35" s="775">
        <f t="shared" si="12"/>
        <v>100</v>
      </c>
      <c r="T35" s="774" t="s">
        <v>17</v>
      </c>
      <c r="U35" s="775">
        <f t="shared" si="13"/>
        <v>100</v>
      </c>
      <c r="V35" s="774" t="s">
        <v>17</v>
      </c>
      <c r="W35" s="775">
        <f t="shared" si="14"/>
        <v>100</v>
      </c>
      <c r="X35" s="1811"/>
      <c r="Y35" s="3313"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313"/>
      <c r="Q36" s="1808" t="str">
        <f t="shared" si="11"/>
        <v>内部装修</v>
      </c>
      <c r="R36" s="774" t="s">
        <v>17</v>
      </c>
      <c r="S36" s="775">
        <f t="shared" si="12"/>
        <v>100</v>
      </c>
      <c r="T36" s="774" t="s">
        <v>17</v>
      </c>
      <c r="U36" s="775">
        <f t="shared" si="13"/>
        <v>100</v>
      </c>
      <c r="V36" s="774" t="s">
        <v>17</v>
      </c>
      <c r="W36" s="775">
        <f t="shared" si="14"/>
        <v>100</v>
      </c>
      <c r="X36" s="1811"/>
      <c r="Y36" s="3313"/>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313"/>
      <c r="Q37" s="1808" t="str">
        <f t="shared" si="11"/>
        <v>内部装修状况</v>
      </c>
      <c r="R37" s="774" t="s">
        <v>17</v>
      </c>
      <c r="S37" s="775">
        <f t="shared" si="12"/>
        <v>100</v>
      </c>
      <c r="T37" s="774" t="s">
        <v>17</v>
      </c>
      <c r="U37" s="775">
        <f t="shared" si="13"/>
        <v>100</v>
      </c>
      <c r="V37" s="774" t="s">
        <v>17</v>
      </c>
      <c r="W37" s="775">
        <f t="shared" si="14"/>
        <v>100</v>
      </c>
      <c r="X37" s="1811"/>
      <c r="Y37" s="3313"/>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313"/>
      <c r="Q38" s="776">
        <f t="shared" si="11"/>
        <v>111</v>
      </c>
      <c r="R38" s="777" t="s">
        <v>17</v>
      </c>
      <c r="S38" s="778">
        <f t="shared" si="12"/>
        <v>100</v>
      </c>
      <c r="T38" s="777" t="s">
        <v>17</v>
      </c>
      <c r="U38" s="778">
        <f t="shared" si="13"/>
        <v>100</v>
      </c>
      <c r="V38" s="777" t="s">
        <v>17</v>
      </c>
      <c r="W38" s="778">
        <f t="shared" si="14"/>
        <v>100</v>
      </c>
      <c r="X38" s="779"/>
      <c r="Y38" s="3313"/>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313"/>
      <c r="Q39" s="1808">
        <f t="shared" si="11"/>
        <v>111</v>
      </c>
      <c r="R39" s="774" t="s">
        <v>17</v>
      </c>
      <c r="S39" s="775">
        <f t="shared" si="12"/>
        <v>100</v>
      </c>
      <c r="T39" s="774" t="s">
        <v>17</v>
      </c>
      <c r="U39" s="775">
        <f t="shared" si="13"/>
        <v>100</v>
      </c>
      <c r="V39" s="774" t="s">
        <v>17</v>
      </c>
      <c r="W39" s="775">
        <f t="shared" si="14"/>
        <v>100</v>
      </c>
      <c r="X39" s="1811"/>
      <c r="Y39" s="3313"/>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314"/>
      <c r="Q40" s="1808">
        <f t="shared" si="11"/>
        <v>111</v>
      </c>
      <c r="R40" s="774" t="s">
        <v>17</v>
      </c>
      <c r="S40" s="775">
        <f t="shared" si="12"/>
        <v>100</v>
      </c>
      <c r="T40" s="774" t="s">
        <v>17</v>
      </c>
      <c r="U40" s="775">
        <f t="shared" si="13"/>
        <v>100</v>
      </c>
      <c r="V40" s="774" t="s">
        <v>17</v>
      </c>
      <c r="W40" s="775">
        <f t="shared" si="14"/>
        <v>100</v>
      </c>
      <c r="X40" s="1811"/>
      <c r="Y40" s="3314"/>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3"/>
      <c r="L41" s="1144"/>
      <c r="M41" s="1145"/>
      <c r="N41" s="1132"/>
      <c r="O41" s="1145"/>
      <c r="P41" s="3301" t="str">
        <f>A41</f>
        <v>成交单价（元/平方米）</v>
      </c>
      <c r="Q41" s="3301"/>
      <c r="R41" s="3302">
        <f>E41</f>
        <v>0</v>
      </c>
      <c r="S41" s="3302"/>
      <c r="T41" s="3302">
        <f>G41</f>
        <v>0</v>
      </c>
      <c r="U41" s="3302"/>
      <c r="V41" s="3302">
        <f>I41</f>
        <v>0</v>
      </c>
      <c r="W41" s="3302"/>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4"/>
      <c r="M42" s="1145"/>
      <c r="N42" s="1132"/>
      <c r="O42" s="1145"/>
      <c r="P42" s="3301" t="str">
        <f>A42</f>
        <v>比较价值（元/平方米）</v>
      </c>
      <c r="Q42" s="3301"/>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4"/>
      <c r="M43" s="1145"/>
      <c r="N43" s="1145"/>
      <c r="O43" s="1145"/>
      <c r="P43" s="3352" t="str">
        <f>A43</f>
        <v>估价对象XX用房的比较价值（楼面单价，元/平方米）</v>
      </c>
      <c r="Q43" s="3353"/>
      <c r="R43" s="3428" t="e">
        <f>IF(F1="售价",ROUND(AVERAGE(R42:V42),0),ROUND(AVERAGE(R42:V42),1))</f>
        <v>#DIV/0!</v>
      </c>
      <c r="S43" s="3428"/>
      <c r="T43" s="3428"/>
      <c r="U43" s="3428"/>
      <c r="V43" s="3428"/>
      <c r="W43" s="3428"/>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2660</v>
      </c>
      <c r="B51" s="759"/>
      <c r="C51" s="764"/>
      <c r="D51" s="764"/>
      <c r="E51" s="764"/>
      <c r="F51" s="765"/>
      <c r="G51" s="765"/>
      <c r="H51" s="764"/>
      <c r="I51" s="764"/>
      <c r="J51" s="764"/>
      <c r="K51" s="1161"/>
      <c r="L51" s="1162"/>
      <c r="M51" s="1160"/>
      <c r="N51" s="1160"/>
      <c r="O51" s="1160"/>
      <c r="P51" s="503"/>
      <c r="Q51" s="504"/>
    </row>
    <row r="52" spans="1:17" s="508" customFormat="1" ht="15">
      <c r="A52" s="505" t="s">
        <v>2534</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2574</v>
      </c>
      <c r="B57" s="528" t="s">
        <v>2540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2549</v>
      </c>
      <c r="B88" s="528" t="s">
        <v>2598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959"/>
      <c r="B4" s="3086" t="s">
        <v>1624</v>
      </c>
      <c r="C4" s="3086"/>
      <c r="D4" s="3086"/>
      <c r="E4" s="1959"/>
    </row>
    <row r="5" spans="1:5" ht="16.5" thickTop="1">
      <c r="A5" s="1957"/>
      <c r="B5" s="3084" t="s">
        <v>1616</v>
      </c>
      <c r="C5" s="1960" t="s">
        <v>1617</v>
      </c>
      <c r="D5" s="1041">
        <f ca="1">'结果表（酒店）'!H101</f>
        <v>373911</v>
      </c>
      <c r="E5" s="1957"/>
    </row>
    <row r="6" spans="1:5" ht="15.75">
      <c r="A6" s="1957"/>
      <c r="B6" s="3084"/>
      <c r="C6" s="1960" t="s">
        <v>1618</v>
      </c>
      <c r="D6" s="1041" t="str">
        <f ca="1">NUMBERSTRING(INT(D5*10000),2)&amp;"元整"</f>
        <v>叁拾柒亿叁仟玖佰壹拾壹万元整</v>
      </c>
      <c r="E6" s="1957"/>
    </row>
    <row r="7" spans="1:5" ht="15.75">
      <c r="A7" s="1957"/>
      <c r="B7" s="3089"/>
      <c r="C7" s="1961" t="s">
        <v>1619</v>
      </c>
      <c r="D7" s="1042">
        <f ca="1">'结果表（酒店）'!H102</f>
        <v>37841</v>
      </c>
      <c r="E7" s="1957"/>
    </row>
    <row r="8" spans="1:5" ht="15.75">
      <c r="A8" s="1957"/>
      <c r="B8" s="3090" t="str">
        <f>'结果表（酒店）'!E103</f>
        <v>2.估价师知悉的法定优先受偿款</v>
      </c>
      <c r="C8" s="1962" t="s">
        <v>1620</v>
      </c>
      <c r="D8" s="1042">
        <f>'结果表（酒店）'!H103</f>
        <v>0</v>
      </c>
      <c r="E8" s="1957"/>
    </row>
    <row r="9" spans="1:5" ht="15.75">
      <c r="A9" s="1957"/>
      <c r="B9" s="3092"/>
      <c r="C9" s="1960" t="s">
        <v>1618</v>
      </c>
      <c r="D9" s="1041" t="str">
        <f>NUMBERSTRING(INT(D8*10000),2)&amp;"元整"</f>
        <v>零元整</v>
      </c>
      <c r="E9" s="1957"/>
    </row>
    <row r="10" spans="1:5" ht="15">
      <c r="A10" s="1957"/>
      <c r="B10" s="1963" t="s">
        <v>1623</v>
      </c>
      <c r="C10" s="1964" t="s">
        <v>1621</v>
      </c>
      <c r="D10" s="1043">
        <f>'结果表（酒店）'!H104</f>
        <v>0</v>
      </c>
      <c r="E10" s="1957"/>
    </row>
    <row r="11" spans="1:5" ht="15">
      <c r="A11" s="1957"/>
      <c r="B11" s="1963" t="s">
        <v>1625</v>
      </c>
      <c r="C11" s="1964" t="s">
        <v>1626</v>
      </c>
      <c r="D11" s="1043">
        <f>'结果表（酒店）'!H105</f>
        <v>0</v>
      </c>
      <c r="E11" s="1957"/>
    </row>
    <row r="12" spans="1:5" ht="15">
      <c r="A12" s="1957"/>
      <c r="B12" s="1963" t="s">
        <v>1627</v>
      </c>
      <c r="C12" s="1964" t="s">
        <v>1626</v>
      </c>
      <c r="D12" s="1043">
        <f>'结果表（酒店）'!H106</f>
        <v>0</v>
      </c>
      <c r="E12" s="1957"/>
    </row>
    <row r="13" spans="1:5" ht="15.75">
      <c r="A13" s="1957"/>
      <c r="B13" s="3083" t="str">
        <f>'结果表（酒店）'!E107</f>
        <v>3.房地产抵押价值</v>
      </c>
      <c r="C13" s="1965" t="s">
        <v>1617</v>
      </c>
      <c r="D13" s="1044">
        <f ca="1">'结果表（酒店）'!H107</f>
        <v>373911</v>
      </c>
      <c r="E13" s="1957"/>
    </row>
    <row r="14" spans="1:5" ht="15.75">
      <c r="A14" s="1957"/>
      <c r="B14" s="3084"/>
      <c r="C14" s="1960" t="s">
        <v>1618</v>
      </c>
      <c r="D14" s="1041" t="str">
        <f ca="1">NUMBERSTRING(INT(D13*10000),2)&amp;"元整"</f>
        <v>叁拾柒亿叁仟玖佰壹拾壹万元整</v>
      </c>
      <c r="E14" s="1957"/>
    </row>
    <row r="15" spans="1:5" ht="15">
      <c r="A15" s="1957"/>
      <c r="B15" s="3089"/>
      <c r="C15" s="1961" t="s">
        <v>1628</v>
      </c>
      <c r="D15" s="1053">
        <f ca="1">'结果表（酒店）'!H108</f>
        <v>37841</v>
      </c>
      <c r="E15" s="1957"/>
    </row>
    <row r="16" spans="1:5" ht="15">
      <c r="A16" s="1957"/>
      <c r="B16" s="3090" t="str">
        <f>'结果表（酒店）'!E109</f>
        <v>——</v>
      </c>
      <c r="C16" s="1965" t="s">
        <v>1629</v>
      </c>
      <c r="D16" s="1966" t="str">
        <f>'结果表（酒店）'!H109</f>
        <v>——</v>
      </c>
      <c r="E16" s="1957"/>
    </row>
    <row r="17" spans="1:5" ht="15.75">
      <c r="A17" s="1957"/>
      <c r="B17" s="3091"/>
      <c r="C17" s="1960" t="s">
        <v>1630</v>
      </c>
      <c r="D17" s="1041" t="e">
        <f>NUMBERSTRING(INT(D16*10000),2)&amp;"元整"</f>
        <v>#VALUE!</v>
      </c>
      <c r="E17" s="1957"/>
    </row>
    <row r="18" spans="1:5" ht="15">
      <c r="A18" s="1957"/>
      <c r="B18" s="3092"/>
      <c r="C18" s="1961" t="s">
        <v>1619</v>
      </c>
      <c r="D18" s="1053" t="str">
        <f>'结果表（酒店）'!H110</f>
        <v>——</v>
      </c>
      <c r="E18" s="1957"/>
    </row>
    <row r="19" spans="1:5" ht="15.75">
      <c r="A19" s="1957"/>
      <c r="B19" s="3083" t="str">
        <f>'结果表（酒店）'!E111</f>
        <v>——</v>
      </c>
      <c r="C19" s="1965" t="s">
        <v>1617</v>
      </c>
      <c r="D19" s="1042" t="str">
        <f>'结果表（酒店）'!H111</f>
        <v>——</v>
      </c>
      <c r="E19" s="1957"/>
    </row>
    <row r="20" spans="1:5" ht="15.75">
      <c r="A20" s="1957"/>
      <c r="B20" s="3084"/>
      <c r="C20" s="1960" t="s">
        <v>1630</v>
      </c>
      <c r="D20" s="1041" t="e">
        <f>NUMBERSTRING(INT(D19*10000),2)&amp;"元整"</f>
        <v>#VALUE!</v>
      </c>
      <c r="E20" s="1957"/>
    </row>
    <row r="21" spans="1:5" ht="15.75" thickBot="1">
      <c r="A21" s="1957"/>
      <c r="B21" s="3085"/>
      <c r="C21" s="1967" t="s">
        <v>1628</v>
      </c>
      <c r="D21" s="1054" t="str">
        <f>'结果表（酒店）'!H112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2313</v>
      </c>
      <c r="B2" s="1418" t="e">
        <f ca="1">IF(C2="——",IF(B37="元/平方米",ROUND(C39*D3/10000,0),ROUND(F3*C39/10000,0)),IF(B37="元/平方米",ROUND(C39*D3/10000,0),ROUND(F3*C39/10000,0))-D2)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6"/>
      <c r="H3" s="1126"/>
      <c r="I3" s="1126"/>
      <c r="J3" s="1126"/>
      <c r="K3" s="1128"/>
      <c r="L3" s="1129"/>
      <c r="M3" s="1130"/>
      <c r="N3" s="1130"/>
      <c r="O3" s="1130"/>
      <c r="P3" s="1419"/>
      <c r="Q3" s="768"/>
      <c r="R3" s="768"/>
      <c r="S3" s="768"/>
      <c r="T3" s="768"/>
      <c r="U3" s="768"/>
      <c r="V3" s="768"/>
      <c r="W3" s="768"/>
      <c r="X3" s="768"/>
      <c r="Y3" s="768"/>
      <c r="Z3" s="768"/>
      <c r="AA3" s="768"/>
      <c r="AB3" s="786"/>
      <c r="AC3" s="782"/>
    </row>
    <row r="4" spans="1:29" ht="15">
      <c r="A4" s="401" t="s">
        <v>2631</v>
      </c>
      <c r="B4" s="402"/>
      <c r="C4" s="3318" t="s">
        <v>2632</v>
      </c>
      <c r="D4" s="3319"/>
      <c r="E4" s="3320" t="s">
        <v>2633</v>
      </c>
      <c r="F4" s="3321"/>
      <c r="G4" s="3318" t="s">
        <v>2634</v>
      </c>
      <c r="H4" s="3319"/>
      <c r="I4" s="3318" t="s">
        <v>2635</v>
      </c>
      <c r="J4" s="3319"/>
      <c r="K4" s="610" t="s">
        <v>2636</v>
      </c>
      <c r="L4" s="1131"/>
      <c r="M4" s="1132"/>
      <c r="N4" s="1132"/>
      <c r="O4" s="1132"/>
      <c r="P4" s="3359" t="s">
        <v>2637</v>
      </c>
      <c r="Q4" s="3360"/>
      <c r="R4" s="3363" t="s">
        <v>2633</v>
      </c>
      <c r="S4" s="3364"/>
      <c r="T4" s="3363" t="s">
        <v>2634</v>
      </c>
      <c r="U4" s="3364"/>
      <c r="V4" s="3335" t="s">
        <v>2635</v>
      </c>
      <c r="W4" s="3335"/>
      <c r="X4" s="1811"/>
      <c r="Y4" s="3363" t="s">
        <v>2637</v>
      </c>
      <c r="Z4" s="3364"/>
      <c r="AA4" s="3358" t="s">
        <v>2633</v>
      </c>
      <c r="AB4" s="3347" t="s">
        <v>2634</v>
      </c>
      <c r="AC4" s="3358" t="s">
        <v>2635</v>
      </c>
    </row>
    <row r="5" spans="1:29" ht="15">
      <c r="A5" s="404"/>
      <c r="B5" s="405"/>
      <c r="C5" s="3338" t="s">
        <v>2528</v>
      </c>
      <c r="D5" s="3339"/>
      <c r="E5" s="3349" t="s">
        <v>2529</v>
      </c>
      <c r="F5" s="3350"/>
      <c r="G5" s="3338" t="s">
        <v>2530</v>
      </c>
      <c r="H5" s="3339"/>
      <c r="I5" s="3338" t="s">
        <v>2531</v>
      </c>
      <c r="J5" s="3339"/>
      <c r="K5" s="610"/>
      <c r="L5" s="1131"/>
      <c r="M5" s="1132"/>
      <c r="N5" s="1132"/>
      <c r="O5" s="1132"/>
      <c r="P5" s="3361"/>
      <c r="Q5" s="3325"/>
      <c r="R5" s="3330"/>
      <c r="S5" s="3331"/>
      <c r="T5" s="3330"/>
      <c r="U5" s="3331"/>
      <c r="V5" s="3335"/>
      <c r="W5" s="3335"/>
      <c r="X5" s="1811"/>
      <c r="Y5" s="3330"/>
      <c r="Z5" s="3331"/>
      <c r="AA5" s="3347"/>
      <c r="AB5" s="3347"/>
      <c r="AC5" s="3347"/>
    </row>
    <row r="6" spans="1:29" ht="15.75" thickBot="1">
      <c r="A6" s="406"/>
      <c r="B6" s="407"/>
      <c r="C6" s="3336" t="s">
        <v>2532</v>
      </c>
      <c r="D6" s="3337"/>
      <c r="E6" s="3344" t="s">
        <v>2532</v>
      </c>
      <c r="F6" s="3345"/>
      <c r="G6" s="3336" t="s">
        <v>2532</v>
      </c>
      <c r="H6" s="3337"/>
      <c r="I6" s="3336" t="s">
        <v>2532</v>
      </c>
      <c r="J6" s="3337"/>
      <c r="K6" s="610" t="s">
        <v>2533</v>
      </c>
      <c r="L6" s="1131"/>
      <c r="M6" s="1132"/>
      <c r="N6" s="1132"/>
      <c r="O6" s="1132"/>
      <c r="P6" s="3362"/>
      <c r="Q6" s="3327"/>
      <c r="R6" s="3330"/>
      <c r="S6" s="3331"/>
      <c r="T6" s="3332"/>
      <c r="U6" s="3333"/>
      <c r="V6" s="3335"/>
      <c r="W6" s="3335"/>
      <c r="X6" s="1811"/>
      <c r="Y6" s="3332"/>
      <c r="Z6" s="3333"/>
      <c r="AA6" s="3348"/>
      <c r="AB6" s="3348"/>
      <c r="AC6" s="3348"/>
    </row>
    <row r="7" spans="1:29" s="117" customFormat="1" ht="15.75" thickBot="1">
      <c r="A7" s="408" t="s">
        <v>2534</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342" t="s">
        <v>2535</v>
      </c>
      <c r="Q7" s="3343"/>
      <c r="R7" s="770" t="s">
        <v>17</v>
      </c>
      <c r="S7" s="771">
        <f t="shared" ref="S7:S14" si="0">F7</f>
        <v>0</v>
      </c>
      <c r="T7" s="770" t="s">
        <v>17</v>
      </c>
      <c r="U7" s="771">
        <f t="shared" ref="U7:U14" si="1">H7</f>
        <v>0</v>
      </c>
      <c r="V7" s="770" t="s">
        <v>17</v>
      </c>
      <c r="W7" s="771">
        <f t="shared" ref="W7:W14" si="2">J7</f>
        <v>0</v>
      </c>
      <c r="X7" s="772"/>
      <c r="Y7" s="3342" t="s">
        <v>2535</v>
      </c>
      <c r="Z7" s="3341"/>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342" t="s">
        <v>2538</v>
      </c>
      <c r="Q8" s="3341"/>
      <c r="R8" s="770" t="s">
        <v>17</v>
      </c>
      <c r="S8" s="771">
        <f t="shared" si="0"/>
        <v>0</v>
      </c>
      <c r="T8" s="770" t="s">
        <v>17</v>
      </c>
      <c r="U8" s="771">
        <f t="shared" si="1"/>
        <v>0</v>
      </c>
      <c r="V8" s="770" t="s">
        <v>17</v>
      </c>
      <c r="W8" s="771">
        <f t="shared" si="2"/>
        <v>0</v>
      </c>
      <c r="X8" s="772"/>
      <c r="Y8" s="3342" t="s">
        <v>2538</v>
      </c>
      <c r="Z8" s="3341"/>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301" t="s">
        <v>2541</v>
      </c>
      <c r="Q9" s="1793" t="str">
        <f t="shared" ref="Q9:Q14" si="6">B9</f>
        <v>用途</v>
      </c>
      <c r="R9" s="770" t="s">
        <v>17</v>
      </c>
      <c r="S9" s="771">
        <f t="shared" si="0"/>
        <v>100</v>
      </c>
      <c r="T9" s="770" t="s">
        <v>17</v>
      </c>
      <c r="U9" s="771">
        <f t="shared" si="1"/>
        <v>100</v>
      </c>
      <c r="V9" s="770" t="s">
        <v>17</v>
      </c>
      <c r="W9" s="771">
        <f t="shared" si="2"/>
        <v>100</v>
      </c>
      <c r="X9" s="772"/>
      <c r="Y9" s="3126"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301"/>
      <c r="Q10" s="1793" t="str">
        <f t="shared" si="6"/>
        <v>土地使用年限（年）</v>
      </c>
      <c r="R10" s="770" t="s">
        <v>17</v>
      </c>
      <c r="S10" s="771">
        <f t="shared" si="0"/>
        <v>100</v>
      </c>
      <c r="T10" s="770" t="s">
        <v>17</v>
      </c>
      <c r="U10" s="771">
        <f t="shared" si="1"/>
        <v>100</v>
      </c>
      <c r="V10" s="770" t="s">
        <v>17</v>
      </c>
      <c r="W10" s="771">
        <f t="shared" si="2"/>
        <v>100</v>
      </c>
      <c r="X10" s="772"/>
      <c r="Y10" s="31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301"/>
      <c r="Q11" s="1793">
        <f t="shared" si="6"/>
        <v>111</v>
      </c>
      <c r="R11" s="770" t="s">
        <v>17</v>
      </c>
      <c r="S11" s="771">
        <f t="shared" si="0"/>
        <v>100</v>
      </c>
      <c r="T11" s="770" t="s">
        <v>17</v>
      </c>
      <c r="U11" s="771">
        <f t="shared" si="1"/>
        <v>100</v>
      </c>
      <c r="V11" s="770" t="s">
        <v>17</v>
      </c>
      <c r="W11" s="771">
        <f t="shared" si="2"/>
        <v>100</v>
      </c>
      <c r="X11" s="772"/>
      <c r="Y11" s="31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301"/>
      <c r="Q12" s="1793">
        <f t="shared" si="6"/>
        <v>111</v>
      </c>
      <c r="R12" s="770" t="s">
        <v>17</v>
      </c>
      <c r="S12" s="771">
        <f t="shared" si="0"/>
        <v>100</v>
      </c>
      <c r="T12" s="770" t="s">
        <v>17</v>
      </c>
      <c r="U12" s="771">
        <f t="shared" si="1"/>
        <v>100</v>
      </c>
      <c r="V12" s="770" t="s">
        <v>17</v>
      </c>
      <c r="W12" s="771">
        <f t="shared" si="2"/>
        <v>100</v>
      </c>
      <c r="X12" s="772"/>
      <c r="Y12" s="31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301"/>
      <c r="Q13" s="1793">
        <f t="shared" si="6"/>
        <v>111</v>
      </c>
      <c r="R13" s="770" t="s">
        <v>17</v>
      </c>
      <c r="S13" s="771">
        <f t="shared" si="0"/>
        <v>100</v>
      </c>
      <c r="T13" s="770" t="s">
        <v>17</v>
      </c>
      <c r="U13" s="771">
        <f t="shared" si="1"/>
        <v>100</v>
      </c>
      <c r="V13" s="770" t="s">
        <v>17</v>
      </c>
      <c r="W13" s="771">
        <f t="shared" si="2"/>
        <v>100</v>
      </c>
      <c r="X13" s="772"/>
      <c r="Y13" s="3126"/>
      <c r="Z13" s="55">
        <f t="shared" si="7"/>
        <v>111</v>
      </c>
      <c r="AA13" s="773">
        <f t="shared" si="3"/>
        <v>1</v>
      </c>
      <c r="AB13" s="773">
        <f t="shared" si="4"/>
        <v>1</v>
      </c>
      <c r="AC13" s="773">
        <f t="shared" si="5"/>
        <v>1</v>
      </c>
    </row>
    <row r="14" spans="1:29" ht="15">
      <c r="A14" s="401" t="s">
        <v>2545</v>
      </c>
      <c r="B14" s="629" t="s">
        <v>2695</v>
      </c>
      <c r="C14" s="2688"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308" t="s">
        <v>2546</v>
      </c>
      <c r="Q14" s="1808" t="str">
        <f t="shared" si="6"/>
        <v>交通便捷度</v>
      </c>
      <c r="R14" s="774" t="s">
        <v>17</v>
      </c>
      <c r="S14" s="775">
        <f t="shared" si="0"/>
        <v>100</v>
      </c>
      <c r="T14" s="774" t="s">
        <v>17</v>
      </c>
      <c r="U14" s="775">
        <f t="shared" si="1"/>
        <v>100</v>
      </c>
      <c r="V14" s="774" t="s">
        <v>17</v>
      </c>
      <c r="W14" s="775">
        <f t="shared" si="2"/>
        <v>100</v>
      </c>
      <c r="X14" s="1811"/>
      <c r="Y14" s="3308"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309"/>
      <c r="Q15" s="1808"/>
      <c r="R15" s="774"/>
      <c r="S15" s="775"/>
      <c r="T15" s="774"/>
      <c r="U15" s="775"/>
      <c r="V15" s="774"/>
      <c r="W15" s="775"/>
      <c r="X15" s="1811"/>
      <c r="Y15" s="3309"/>
      <c r="Z15" s="1812"/>
      <c r="AA15" s="1809">
        <v>1</v>
      </c>
      <c r="AB15" s="1809">
        <v>1</v>
      </c>
      <c r="AC15" s="1809">
        <v>1</v>
      </c>
    </row>
    <row r="16" spans="1:29" ht="15">
      <c r="A16" s="404"/>
      <c r="B16" s="631" t="s">
        <v>2674</v>
      </c>
      <c r="C16" s="2602"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309"/>
      <c r="Q16" s="1808" t="str">
        <f>B16</f>
        <v>公共配套设施</v>
      </c>
      <c r="R16" s="774" t="s">
        <v>17</v>
      </c>
      <c r="S16" s="775">
        <f>F16</f>
        <v>100</v>
      </c>
      <c r="T16" s="774" t="s">
        <v>17</v>
      </c>
      <c r="U16" s="775">
        <f>H16</f>
        <v>100</v>
      </c>
      <c r="V16" s="774" t="s">
        <v>17</v>
      </c>
      <c r="W16" s="775">
        <f>J16</f>
        <v>100</v>
      </c>
      <c r="X16" s="1811"/>
      <c r="Y16" s="3309"/>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1"/>
      <c r="M17" s="1132"/>
      <c r="N17" s="1132"/>
      <c r="O17" s="1132"/>
      <c r="P17" s="3309"/>
      <c r="Q17" s="1808"/>
      <c r="R17" s="774"/>
      <c r="S17" s="775"/>
      <c r="T17" s="774"/>
      <c r="U17" s="775"/>
      <c r="V17" s="774"/>
      <c r="W17" s="775"/>
      <c r="X17" s="1811"/>
      <c r="Y17" s="3309"/>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309"/>
      <c r="Q18" s="1808" t="str">
        <f>B18</f>
        <v>基础设施水平</v>
      </c>
      <c r="R18" s="774" t="s">
        <v>17</v>
      </c>
      <c r="S18" s="775">
        <f>F18</f>
        <v>100</v>
      </c>
      <c r="T18" s="774" t="s">
        <v>17</v>
      </c>
      <c r="U18" s="775">
        <f>H18</f>
        <v>100</v>
      </c>
      <c r="V18" s="774" t="s">
        <v>17</v>
      </c>
      <c r="W18" s="775">
        <f>J18</f>
        <v>100</v>
      </c>
      <c r="X18" s="1811"/>
      <c r="Y18" s="3309"/>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1"/>
      <c r="M19" s="1132"/>
      <c r="N19" s="1132"/>
      <c r="O19" s="1132"/>
      <c r="P19" s="3309"/>
      <c r="Q19" s="1808"/>
      <c r="R19" s="774"/>
      <c r="S19" s="775"/>
      <c r="T19" s="774"/>
      <c r="U19" s="775"/>
      <c r="V19" s="774"/>
      <c r="W19" s="775"/>
      <c r="X19" s="1811"/>
      <c r="Y19" s="3309"/>
      <c r="Z19" s="1812"/>
      <c r="AA19" s="1809">
        <v>1</v>
      </c>
      <c r="AB19" s="1809">
        <v>1</v>
      </c>
      <c r="AC19" s="1809">
        <v>1</v>
      </c>
    </row>
    <row r="20" spans="1:29" ht="15">
      <c r="A20" s="404"/>
      <c r="B20" s="631" t="s">
        <v>2696</v>
      </c>
      <c r="C20" s="2602"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309"/>
      <c r="Q20" s="1808" t="str">
        <f>B20</f>
        <v>自然及人文环境</v>
      </c>
      <c r="R20" s="774" t="s">
        <v>17</v>
      </c>
      <c r="S20" s="775">
        <f>F20</f>
        <v>100</v>
      </c>
      <c r="T20" s="774" t="s">
        <v>17</v>
      </c>
      <c r="U20" s="775">
        <f>H20</f>
        <v>100</v>
      </c>
      <c r="V20" s="774" t="s">
        <v>17</v>
      </c>
      <c r="W20" s="775">
        <f>J20</f>
        <v>100</v>
      </c>
      <c r="X20" s="1811"/>
      <c r="Y20" s="330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309"/>
      <c r="Q21" s="1808"/>
      <c r="R21" s="774"/>
      <c r="S21" s="775"/>
      <c r="T21" s="774"/>
      <c r="U21" s="775"/>
      <c r="V21" s="774"/>
      <c r="W21" s="775"/>
      <c r="X21" s="1811"/>
      <c r="Y21" s="3309"/>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309"/>
      <c r="Q22" s="1808" t="str">
        <f>B22</f>
        <v>楼层</v>
      </c>
      <c r="R22" s="774" t="s">
        <v>17</v>
      </c>
      <c r="S22" s="775">
        <f>F22</f>
        <v>100</v>
      </c>
      <c r="T22" s="774" t="s">
        <v>17</v>
      </c>
      <c r="U22" s="775">
        <f>H22</f>
        <v>100</v>
      </c>
      <c r="V22" s="774" t="s">
        <v>17</v>
      </c>
      <c r="W22" s="775">
        <f>J22</f>
        <v>100</v>
      </c>
      <c r="X22" s="1811"/>
      <c r="Y22" s="330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309"/>
      <c r="Q23" s="1808">
        <f>B23</f>
        <v>111</v>
      </c>
      <c r="R23" s="774" t="s">
        <v>17</v>
      </c>
      <c r="S23" s="775">
        <f>F23</f>
        <v>100</v>
      </c>
      <c r="T23" s="774" t="s">
        <v>17</v>
      </c>
      <c r="U23" s="775">
        <f>H23</f>
        <v>100</v>
      </c>
      <c r="V23" s="774" t="s">
        <v>17</v>
      </c>
      <c r="W23" s="775">
        <f>J23</f>
        <v>100</v>
      </c>
      <c r="X23" s="1811"/>
      <c r="Y23" s="330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309"/>
      <c r="Q24" s="1808">
        <f t="shared" ref="Q24:Q36" si="11">B24</f>
        <v>111</v>
      </c>
      <c r="R24" s="774" t="s">
        <v>17</v>
      </c>
      <c r="S24" s="775">
        <f>F24</f>
        <v>100</v>
      </c>
      <c r="T24" s="774" t="s">
        <v>17</v>
      </c>
      <c r="U24" s="775">
        <f>H24</f>
        <v>100</v>
      </c>
      <c r="V24" s="774" t="s">
        <v>17</v>
      </c>
      <c r="W24" s="775">
        <f>J24</f>
        <v>100</v>
      </c>
      <c r="X24" s="1811"/>
      <c r="Y24" s="330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309"/>
      <c r="Q25" s="1793">
        <f t="shared" si="11"/>
        <v>111</v>
      </c>
      <c r="R25" s="770" t="s">
        <v>17</v>
      </c>
      <c r="S25" s="771">
        <f>F25</f>
        <v>100</v>
      </c>
      <c r="T25" s="770" t="s">
        <v>17</v>
      </c>
      <c r="U25" s="771">
        <f>H25</f>
        <v>100</v>
      </c>
      <c r="V25" s="770" t="s">
        <v>17</v>
      </c>
      <c r="W25" s="771">
        <f>J25</f>
        <v>100</v>
      </c>
      <c r="X25" s="772"/>
      <c r="Y25" s="3309"/>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57" t="s">
        <v>2551</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313"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313"/>
      <c r="Q27" s="776" t="str">
        <f t="shared" si="11"/>
        <v>项目停车位配比</v>
      </c>
      <c r="R27" s="777" t="s">
        <v>17</v>
      </c>
      <c r="S27" s="778">
        <f t="shared" si="12"/>
        <v>100</v>
      </c>
      <c r="T27" s="777" t="s">
        <v>17</v>
      </c>
      <c r="U27" s="778">
        <f t="shared" si="13"/>
        <v>100</v>
      </c>
      <c r="V27" s="777" t="s">
        <v>17</v>
      </c>
      <c r="W27" s="778">
        <f t="shared" si="14"/>
        <v>100</v>
      </c>
      <c r="X27" s="779"/>
      <c r="Y27" s="3313"/>
      <c r="Z27" s="780"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313"/>
      <c r="Q28" s="1808" t="str">
        <f t="shared" si="11"/>
        <v>公共部分装修</v>
      </c>
      <c r="R28" s="774" t="s">
        <v>17</v>
      </c>
      <c r="S28" s="775">
        <f t="shared" si="12"/>
        <v>100</v>
      </c>
      <c r="T28" s="774" t="s">
        <v>17</v>
      </c>
      <c r="U28" s="775">
        <f t="shared" si="13"/>
        <v>100</v>
      </c>
      <c r="V28" s="774" t="s">
        <v>17</v>
      </c>
      <c r="W28" s="775">
        <f t="shared" si="14"/>
        <v>100</v>
      </c>
      <c r="X28" s="1811"/>
      <c r="Y28" s="3313"/>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313"/>
      <c r="Q29" s="1808" t="str">
        <f t="shared" si="11"/>
        <v>成新率</v>
      </c>
      <c r="R29" s="774" t="s">
        <v>17</v>
      </c>
      <c r="S29" s="775" t="e">
        <f t="shared" si="12"/>
        <v>#N/A</v>
      </c>
      <c r="T29" s="774" t="s">
        <v>17</v>
      </c>
      <c r="U29" s="775" t="e">
        <f t="shared" si="13"/>
        <v>#N/A</v>
      </c>
      <c r="V29" s="774" t="s">
        <v>17</v>
      </c>
      <c r="W29" s="775" t="e">
        <f t="shared" si="14"/>
        <v>#N/A</v>
      </c>
      <c r="X29" s="1811"/>
      <c r="Y29" s="3313"/>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313"/>
      <c r="Q30" s="1808" t="str">
        <f t="shared" si="11"/>
        <v>物业等级</v>
      </c>
      <c r="R30" s="774" t="s">
        <v>17</v>
      </c>
      <c r="S30" s="775">
        <f t="shared" si="12"/>
        <v>100</v>
      </c>
      <c r="T30" s="774" t="s">
        <v>17</v>
      </c>
      <c r="U30" s="775">
        <f t="shared" si="13"/>
        <v>100</v>
      </c>
      <c r="V30" s="774" t="s">
        <v>17</v>
      </c>
      <c r="W30" s="775">
        <f t="shared" si="14"/>
        <v>100</v>
      </c>
      <c r="X30" s="1811"/>
      <c r="Y30" s="3313"/>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313"/>
      <c r="Q31" s="1793" t="str">
        <f t="shared" si="11"/>
        <v>停车位面积</v>
      </c>
      <c r="R31" s="770" t="s">
        <v>17</v>
      </c>
      <c r="S31" s="771" t="e">
        <f t="shared" si="12"/>
        <v>#N/A</v>
      </c>
      <c r="T31" s="770" t="s">
        <v>17</v>
      </c>
      <c r="U31" s="771" t="e">
        <f t="shared" si="13"/>
        <v>#N/A</v>
      </c>
      <c r="V31" s="770" t="s">
        <v>17</v>
      </c>
      <c r="W31" s="771" t="e">
        <f t="shared" si="14"/>
        <v>#N/A</v>
      </c>
      <c r="X31" s="772"/>
      <c r="Y31" s="3313"/>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313" t="s">
        <v>2551</v>
      </c>
      <c r="Q32" s="1808" t="str">
        <f t="shared" si="11"/>
        <v>车位类型</v>
      </c>
      <c r="R32" s="774" t="s">
        <v>17</v>
      </c>
      <c r="S32" s="775">
        <f t="shared" si="12"/>
        <v>100</v>
      </c>
      <c r="T32" s="774" t="s">
        <v>17</v>
      </c>
      <c r="U32" s="775">
        <f t="shared" si="13"/>
        <v>100</v>
      </c>
      <c r="V32" s="774" t="s">
        <v>17</v>
      </c>
      <c r="W32" s="775">
        <f t="shared" si="14"/>
        <v>100</v>
      </c>
      <c r="X32" s="1811"/>
      <c r="Y32" s="3313"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313"/>
      <c r="Q33" s="1808" t="str">
        <f t="shared" si="11"/>
        <v>是否直接入户</v>
      </c>
      <c r="R33" s="774" t="s">
        <v>17</v>
      </c>
      <c r="S33" s="775">
        <f t="shared" si="12"/>
        <v>100</v>
      </c>
      <c r="T33" s="774" t="s">
        <v>17</v>
      </c>
      <c r="U33" s="775">
        <f t="shared" si="13"/>
        <v>100</v>
      </c>
      <c r="V33" s="774" t="s">
        <v>17</v>
      </c>
      <c r="W33" s="775">
        <f t="shared" si="14"/>
        <v>100</v>
      </c>
      <c r="X33" s="1811"/>
      <c r="Y33" s="331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313"/>
      <c r="Q34" s="1808">
        <f t="shared" si="11"/>
        <v>111</v>
      </c>
      <c r="R34" s="774" t="s">
        <v>17</v>
      </c>
      <c r="S34" s="775">
        <f t="shared" si="12"/>
        <v>100</v>
      </c>
      <c r="T34" s="774" t="s">
        <v>17</v>
      </c>
      <c r="U34" s="775">
        <f t="shared" si="13"/>
        <v>100</v>
      </c>
      <c r="V34" s="774" t="s">
        <v>17</v>
      </c>
      <c r="W34" s="775">
        <f t="shared" si="14"/>
        <v>100</v>
      </c>
      <c r="X34" s="1811"/>
      <c r="Y34" s="331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313"/>
      <c r="Q35" s="776">
        <f t="shared" si="11"/>
        <v>111</v>
      </c>
      <c r="R35" s="777" t="s">
        <v>17</v>
      </c>
      <c r="S35" s="778">
        <f t="shared" si="12"/>
        <v>100</v>
      </c>
      <c r="T35" s="777" t="s">
        <v>17</v>
      </c>
      <c r="U35" s="778">
        <f t="shared" si="13"/>
        <v>100</v>
      </c>
      <c r="V35" s="777" t="s">
        <v>17</v>
      </c>
      <c r="W35" s="778">
        <f t="shared" si="14"/>
        <v>100</v>
      </c>
      <c r="X35" s="779"/>
      <c r="Y35" s="3313"/>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313"/>
      <c r="Q36" s="1808">
        <f t="shared" si="11"/>
        <v>111</v>
      </c>
      <c r="R36" s="774" t="s">
        <v>17</v>
      </c>
      <c r="S36" s="775">
        <f t="shared" si="12"/>
        <v>100</v>
      </c>
      <c r="T36" s="774" t="s">
        <v>17</v>
      </c>
      <c r="U36" s="775">
        <f t="shared" si="13"/>
        <v>100</v>
      </c>
      <c r="V36" s="774" t="s">
        <v>17</v>
      </c>
      <c r="W36" s="775">
        <f t="shared" si="14"/>
        <v>100</v>
      </c>
      <c r="X36" s="1811"/>
      <c r="Y36" s="3313"/>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4"/>
      <c r="M37" s="1145"/>
      <c r="N37" s="1132"/>
      <c r="O37" s="1145"/>
      <c r="P37" s="3301" t="str">
        <f>A37</f>
        <v>成交单价</v>
      </c>
      <c r="Q37" s="3301"/>
      <c r="R37" s="3302">
        <f>E37</f>
        <v>0</v>
      </c>
      <c r="S37" s="3302"/>
      <c r="T37" s="3302">
        <f>G37</f>
        <v>0</v>
      </c>
      <c r="U37" s="3302"/>
      <c r="V37" s="3302">
        <f>I37</f>
        <v>0</v>
      </c>
      <c r="W37" s="3302"/>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301" t="str">
        <f>A38</f>
        <v>比较价值（元/平方米）</v>
      </c>
      <c r="Q38" s="3301"/>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4"/>
      <c r="M39" s="1145"/>
      <c r="N39" s="1145"/>
      <c r="O39" s="1145"/>
      <c r="P39" s="3352" t="str">
        <f>A39</f>
        <v>估价对象XX用房的比较价值（楼面单价，元/平方米）</v>
      </c>
      <c r="Q39" s="3353"/>
      <c r="R39" s="3428" t="e">
        <f>IF(F1="售价",ROUND(AVERAGE(R38:V38),0),ROUND(AVERAGE(R38:V38),1))</f>
        <v>#DIV/0!</v>
      </c>
      <c r="S39" s="3428"/>
      <c r="T39" s="3428"/>
      <c r="U39" s="3428"/>
      <c r="V39" s="3428"/>
      <c r="W39" s="3428"/>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2713</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2714</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2589</v>
      </c>
      <c r="C65" s="578" t="s">
        <v>2583</v>
      </c>
      <c r="D65" s="578" t="s">
        <v>2584</v>
      </c>
      <c r="E65" s="578" t="s">
        <v>2585</v>
      </c>
      <c r="F65" s="578" t="s">
        <v>2586</v>
      </c>
      <c r="G65" s="578" t="s">
        <v>2587</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2675</v>
      </c>
      <c r="C67" s="660" t="s">
        <v>2661</v>
      </c>
      <c r="D67" s="660" t="s">
        <v>2662</v>
      </c>
      <c r="E67" s="660" t="s">
        <v>2663</v>
      </c>
      <c r="F67" s="660" t="s">
        <v>2664</v>
      </c>
      <c r="G67" s="660" t="s">
        <v>2665</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2595</v>
      </c>
      <c r="C69" s="578" t="s">
        <v>2583</v>
      </c>
      <c r="D69" s="578" t="s">
        <v>2584</v>
      </c>
      <c r="E69" s="578" t="s">
        <v>2585</v>
      </c>
      <c r="F69" s="578" t="s">
        <v>2586</v>
      </c>
      <c r="G69" s="578" t="s">
        <v>2587</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2715</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2717</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2719</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2722</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IF(C2="——",ROUND(C37*D3/10000,0),ROUND(C37*D3/10000,0)-D2)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18" t="s">
        <v>2632</v>
      </c>
      <c r="D4" s="3319"/>
      <c r="E4" s="3320" t="s">
        <v>2633</v>
      </c>
      <c r="F4" s="3321"/>
      <c r="G4" s="3318" t="s">
        <v>2634</v>
      </c>
      <c r="H4" s="3319"/>
      <c r="I4" s="3318" t="s">
        <v>2635</v>
      </c>
      <c r="J4" s="3319"/>
      <c r="K4" s="610" t="s">
        <v>2636</v>
      </c>
      <c r="L4" s="1131"/>
      <c r="M4" s="1132"/>
      <c r="N4" s="1132"/>
      <c r="O4" s="1132"/>
      <c r="P4" s="3359" t="s">
        <v>2637</v>
      </c>
      <c r="Q4" s="3360"/>
      <c r="R4" s="3363" t="s">
        <v>2633</v>
      </c>
      <c r="S4" s="3364"/>
      <c r="T4" s="3363" t="s">
        <v>2634</v>
      </c>
      <c r="U4" s="3364"/>
      <c r="V4" s="3335" t="s">
        <v>2635</v>
      </c>
      <c r="W4" s="3335"/>
      <c r="X4" s="1811"/>
      <c r="Y4" s="3363" t="s">
        <v>2637</v>
      </c>
      <c r="Z4" s="3364"/>
      <c r="AA4" s="3358" t="s">
        <v>2633</v>
      </c>
      <c r="AB4" s="3347" t="s">
        <v>2634</v>
      </c>
      <c r="AC4" s="3358" t="s">
        <v>2635</v>
      </c>
    </row>
    <row r="5" spans="1:29" ht="15">
      <c r="A5" s="404"/>
      <c r="B5" s="405"/>
      <c r="C5" s="3338" t="s">
        <v>2528</v>
      </c>
      <c r="D5" s="3339"/>
      <c r="E5" s="3349" t="s">
        <v>2529</v>
      </c>
      <c r="F5" s="3350"/>
      <c r="G5" s="3338" t="s">
        <v>2530</v>
      </c>
      <c r="H5" s="3339"/>
      <c r="I5" s="3338" t="s">
        <v>2531</v>
      </c>
      <c r="J5" s="3339"/>
      <c r="K5" s="610"/>
      <c r="L5" s="1131"/>
      <c r="M5" s="1132"/>
      <c r="N5" s="1132"/>
      <c r="O5" s="1132"/>
      <c r="P5" s="3361"/>
      <c r="Q5" s="3325"/>
      <c r="R5" s="3330"/>
      <c r="S5" s="3331"/>
      <c r="T5" s="3330"/>
      <c r="U5" s="3331"/>
      <c r="V5" s="3335"/>
      <c r="W5" s="3335"/>
      <c r="X5" s="1811"/>
      <c r="Y5" s="3330"/>
      <c r="Z5" s="3331"/>
      <c r="AA5" s="3347"/>
      <c r="AB5" s="3347"/>
      <c r="AC5" s="3347"/>
    </row>
    <row r="6" spans="1:29" ht="15.75" thickBot="1">
      <c r="A6" s="406"/>
      <c r="B6" s="407"/>
      <c r="C6" s="3336" t="s">
        <v>2532</v>
      </c>
      <c r="D6" s="3337"/>
      <c r="E6" s="3344" t="s">
        <v>2532</v>
      </c>
      <c r="F6" s="3345"/>
      <c r="G6" s="3336" t="s">
        <v>2532</v>
      </c>
      <c r="H6" s="3337"/>
      <c r="I6" s="3336" t="s">
        <v>2532</v>
      </c>
      <c r="J6" s="3337"/>
      <c r="K6" s="610" t="s">
        <v>2533</v>
      </c>
      <c r="L6" s="1131"/>
      <c r="M6" s="1132"/>
      <c r="N6" s="1132"/>
      <c r="O6" s="1132"/>
      <c r="P6" s="3362"/>
      <c r="Q6" s="3327"/>
      <c r="R6" s="3330"/>
      <c r="S6" s="3331"/>
      <c r="T6" s="3332"/>
      <c r="U6" s="3333"/>
      <c r="V6" s="3335"/>
      <c r="W6" s="3335"/>
      <c r="X6" s="1811"/>
      <c r="Y6" s="3332"/>
      <c r="Z6" s="3333"/>
      <c r="AA6" s="3348"/>
      <c r="AB6" s="3348"/>
      <c r="AC6" s="3348"/>
    </row>
    <row r="7" spans="1:29" s="117" customFormat="1" ht="15.75" thickBot="1">
      <c r="A7" s="408" t="s">
        <v>2534</v>
      </c>
      <c r="B7" s="409"/>
      <c r="C7" s="410">
        <f>'数据-取费表'!B2</f>
        <v>43581</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342" t="s">
        <v>2535</v>
      </c>
      <c r="Q7" s="3343"/>
      <c r="R7" s="770" t="s">
        <v>17</v>
      </c>
      <c r="S7" s="771">
        <f t="shared" ref="S7:S14" si="0">F7</f>
        <v>0</v>
      </c>
      <c r="T7" s="770" t="s">
        <v>17</v>
      </c>
      <c r="U7" s="771">
        <f t="shared" ref="U7:U14" si="1">H7</f>
        <v>0</v>
      </c>
      <c r="V7" s="770" t="s">
        <v>17</v>
      </c>
      <c r="W7" s="771">
        <f t="shared" ref="W7:W14" si="2">J7</f>
        <v>0</v>
      </c>
      <c r="X7" s="772"/>
      <c r="Y7" s="3342" t="s">
        <v>2535</v>
      </c>
      <c r="Z7" s="3341"/>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342" t="s">
        <v>2538</v>
      </c>
      <c r="Q8" s="3341"/>
      <c r="R8" s="770" t="s">
        <v>17</v>
      </c>
      <c r="S8" s="771">
        <f t="shared" si="0"/>
        <v>0</v>
      </c>
      <c r="T8" s="770" t="s">
        <v>17</v>
      </c>
      <c r="U8" s="771">
        <f t="shared" si="1"/>
        <v>0</v>
      </c>
      <c r="V8" s="770" t="s">
        <v>17</v>
      </c>
      <c r="W8" s="771">
        <f t="shared" si="2"/>
        <v>0</v>
      </c>
      <c r="X8" s="772"/>
      <c r="Y8" s="3342" t="s">
        <v>2538</v>
      </c>
      <c r="Z8" s="3341"/>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301" t="s">
        <v>2541</v>
      </c>
      <c r="Q9" s="1793" t="str">
        <f t="shared" ref="Q9:Q14" si="6">B9</f>
        <v>用途</v>
      </c>
      <c r="R9" s="770" t="s">
        <v>17</v>
      </c>
      <c r="S9" s="771">
        <f t="shared" si="0"/>
        <v>100</v>
      </c>
      <c r="T9" s="770" t="s">
        <v>17</v>
      </c>
      <c r="U9" s="771">
        <f t="shared" si="1"/>
        <v>100</v>
      </c>
      <c r="V9" s="770" t="s">
        <v>17</v>
      </c>
      <c r="W9" s="771">
        <f t="shared" si="2"/>
        <v>100</v>
      </c>
      <c r="X9" s="772"/>
      <c r="Y9" s="3126"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301"/>
      <c r="Q10" s="1793" t="str">
        <f t="shared" si="6"/>
        <v>土地使用年限（年）</v>
      </c>
      <c r="R10" s="770" t="s">
        <v>17</v>
      </c>
      <c r="S10" s="771">
        <f t="shared" si="0"/>
        <v>100</v>
      </c>
      <c r="T10" s="770" t="s">
        <v>17</v>
      </c>
      <c r="U10" s="771">
        <f t="shared" si="1"/>
        <v>100</v>
      </c>
      <c r="V10" s="770" t="s">
        <v>17</v>
      </c>
      <c r="W10" s="771">
        <f t="shared" si="2"/>
        <v>100</v>
      </c>
      <c r="X10" s="772"/>
      <c r="Y10" s="3126"/>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301"/>
      <c r="Q11" s="1793">
        <f t="shared" si="6"/>
        <v>111</v>
      </c>
      <c r="R11" s="770" t="s">
        <v>17</v>
      </c>
      <c r="S11" s="771">
        <f t="shared" si="0"/>
        <v>100</v>
      </c>
      <c r="T11" s="770" t="s">
        <v>17</v>
      </c>
      <c r="U11" s="771">
        <f t="shared" si="1"/>
        <v>100</v>
      </c>
      <c r="V11" s="770" t="s">
        <v>17</v>
      </c>
      <c r="W11" s="771">
        <f t="shared" si="2"/>
        <v>100</v>
      </c>
      <c r="X11" s="772"/>
      <c r="Y11" s="3126"/>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301"/>
      <c r="Q12" s="1793">
        <f t="shared" si="6"/>
        <v>111</v>
      </c>
      <c r="R12" s="770" t="s">
        <v>17</v>
      </c>
      <c r="S12" s="771">
        <f t="shared" si="0"/>
        <v>100</v>
      </c>
      <c r="T12" s="770" t="s">
        <v>17</v>
      </c>
      <c r="U12" s="771">
        <f t="shared" si="1"/>
        <v>100</v>
      </c>
      <c r="V12" s="770" t="s">
        <v>17</v>
      </c>
      <c r="W12" s="771">
        <f t="shared" si="2"/>
        <v>100</v>
      </c>
      <c r="X12" s="772"/>
      <c r="Y12" s="3126"/>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301"/>
      <c r="Q13" s="1793">
        <f t="shared" si="6"/>
        <v>111</v>
      </c>
      <c r="R13" s="770" t="s">
        <v>17</v>
      </c>
      <c r="S13" s="771">
        <f t="shared" si="0"/>
        <v>100</v>
      </c>
      <c r="T13" s="770" t="s">
        <v>17</v>
      </c>
      <c r="U13" s="771">
        <f t="shared" si="1"/>
        <v>100</v>
      </c>
      <c r="V13" s="770" t="s">
        <v>17</v>
      </c>
      <c r="W13" s="771">
        <f t="shared" si="2"/>
        <v>100</v>
      </c>
      <c r="X13" s="772"/>
      <c r="Y13" s="3126"/>
      <c r="Z13" s="55">
        <f t="shared" si="7"/>
        <v>111</v>
      </c>
      <c r="AA13" s="773">
        <f t="shared" si="3"/>
        <v>1</v>
      </c>
      <c r="AB13" s="773">
        <f t="shared" si="4"/>
        <v>1</v>
      </c>
      <c r="AC13" s="773">
        <f t="shared" si="5"/>
        <v>1</v>
      </c>
    </row>
    <row r="14" spans="1:29" ht="15">
      <c r="A14" s="440" t="s">
        <v>2545</v>
      </c>
      <c r="B14" s="69" t="s">
        <v>2695</v>
      </c>
      <c r="C14" s="2688"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308" t="s">
        <v>2546</v>
      </c>
      <c r="Q14" s="1808" t="str">
        <f t="shared" si="6"/>
        <v>交通便捷度</v>
      </c>
      <c r="R14" s="774" t="s">
        <v>17</v>
      </c>
      <c r="S14" s="775">
        <f t="shared" si="0"/>
        <v>100</v>
      </c>
      <c r="T14" s="774" t="s">
        <v>17</v>
      </c>
      <c r="U14" s="775">
        <f t="shared" si="1"/>
        <v>100</v>
      </c>
      <c r="V14" s="774" t="s">
        <v>17</v>
      </c>
      <c r="W14" s="775">
        <f t="shared" si="2"/>
        <v>100</v>
      </c>
      <c r="X14" s="1811"/>
      <c r="Y14" s="3308"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309"/>
      <c r="Q15" s="1808"/>
      <c r="R15" s="774"/>
      <c r="S15" s="775"/>
      <c r="T15" s="774"/>
      <c r="U15" s="775"/>
      <c r="V15" s="774"/>
      <c r="W15" s="775"/>
      <c r="X15" s="1811"/>
      <c r="Y15" s="3309"/>
      <c r="Z15" s="1812"/>
      <c r="AA15" s="1809">
        <v>1</v>
      </c>
      <c r="AB15" s="1809">
        <v>1</v>
      </c>
      <c r="AC15" s="1809">
        <v>1</v>
      </c>
    </row>
    <row r="16" spans="1:29" ht="15">
      <c r="A16" s="428"/>
      <c r="B16" s="451" t="s">
        <v>2674</v>
      </c>
      <c r="C16" s="2602"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309"/>
      <c r="Q16" s="1808" t="str">
        <f>B16</f>
        <v>公共配套设施</v>
      </c>
      <c r="R16" s="774" t="s">
        <v>17</v>
      </c>
      <c r="S16" s="775">
        <f>F16</f>
        <v>100</v>
      </c>
      <c r="T16" s="774" t="s">
        <v>17</v>
      </c>
      <c r="U16" s="775">
        <f>H16</f>
        <v>100</v>
      </c>
      <c r="V16" s="774" t="s">
        <v>17</v>
      </c>
      <c r="W16" s="775">
        <f>J16</f>
        <v>100</v>
      </c>
      <c r="X16" s="1811"/>
      <c r="Y16" s="3309"/>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1"/>
      <c r="M17" s="1132"/>
      <c r="N17" s="1132"/>
      <c r="O17" s="1140"/>
      <c r="P17" s="3309"/>
      <c r="Q17" s="1808"/>
      <c r="R17" s="774"/>
      <c r="S17" s="775"/>
      <c r="T17" s="774"/>
      <c r="U17" s="775"/>
      <c r="V17" s="774"/>
      <c r="W17" s="775"/>
      <c r="X17" s="1811"/>
      <c r="Y17" s="3309"/>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309"/>
      <c r="Q18" s="1808" t="str">
        <f>B18</f>
        <v>基础设施水平</v>
      </c>
      <c r="R18" s="774" t="s">
        <v>17</v>
      </c>
      <c r="S18" s="775">
        <f>F18</f>
        <v>100</v>
      </c>
      <c r="T18" s="774" t="s">
        <v>17</v>
      </c>
      <c r="U18" s="775">
        <f>H18</f>
        <v>100</v>
      </c>
      <c r="V18" s="774" t="s">
        <v>17</v>
      </c>
      <c r="W18" s="775">
        <f>J18</f>
        <v>100</v>
      </c>
      <c r="X18" s="1811"/>
      <c r="Y18" s="3309"/>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1"/>
      <c r="M19" s="1132"/>
      <c r="N19" s="1132"/>
      <c r="O19" s="1140"/>
      <c r="P19" s="3309"/>
      <c r="Q19" s="1808"/>
      <c r="R19" s="774"/>
      <c r="S19" s="775"/>
      <c r="T19" s="774"/>
      <c r="U19" s="775"/>
      <c r="V19" s="774"/>
      <c r="W19" s="775"/>
      <c r="X19" s="1811"/>
      <c r="Y19" s="3309"/>
      <c r="Z19" s="1812"/>
      <c r="AA19" s="1809">
        <v>1</v>
      </c>
      <c r="AB19" s="1809">
        <v>1</v>
      </c>
      <c r="AC19" s="1809">
        <v>1</v>
      </c>
    </row>
    <row r="20" spans="1:29" ht="15">
      <c r="A20" s="428"/>
      <c r="B20" s="451" t="s">
        <v>2696</v>
      </c>
      <c r="C20" s="2602"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309"/>
      <c r="Q20" s="1808" t="str">
        <f>B20</f>
        <v>自然及人文环境</v>
      </c>
      <c r="R20" s="774" t="s">
        <v>17</v>
      </c>
      <c r="S20" s="775">
        <f>F20</f>
        <v>100</v>
      </c>
      <c r="T20" s="774" t="s">
        <v>17</v>
      </c>
      <c r="U20" s="775">
        <f>H20</f>
        <v>100</v>
      </c>
      <c r="V20" s="774" t="s">
        <v>17</v>
      </c>
      <c r="W20" s="775">
        <f>J20</f>
        <v>100</v>
      </c>
      <c r="X20" s="1811"/>
      <c r="Y20" s="330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309"/>
      <c r="Q21" s="1808"/>
      <c r="R21" s="774"/>
      <c r="S21" s="775"/>
      <c r="T21" s="774"/>
      <c r="U21" s="775"/>
      <c r="V21" s="774"/>
      <c r="W21" s="775"/>
      <c r="X21" s="1811"/>
      <c r="Y21" s="3309"/>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309"/>
      <c r="Q22" s="1808" t="str">
        <f>B22</f>
        <v>楼层</v>
      </c>
      <c r="R22" s="774" t="s">
        <v>17</v>
      </c>
      <c r="S22" s="775">
        <f>F22</f>
        <v>100</v>
      </c>
      <c r="T22" s="774" t="s">
        <v>17</v>
      </c>
      <c r="U22" s="775">
        <f>H22</f>
        <v>100</v>
      </c>
      <c r="V22" s="774" t="s">
        <v>17</v>
      </c>
      <c r="W22" s="775">
        <f>J22</f>
        <v>100</v>
      </c>
      <c r="X22" s="1811"/>
      <c r="Y22" s="3309"/>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309"/>
      <c r="Q23" s="1808">
        <f>B23</f>
        <v>111</v>
      </c>
      <c r="R23" s="774" t="s">
        <v>17</v>
      </c>
      <c r="S23" s="775">
        <f>F23</f>
        <v>100</v>
      </c>
      <c r="T23" s="774" t="s">
        <v>17</v>
      </c>
      <c r="U23" s="775">
        <f>H23</f>
        <v>100</v>
      </c>
      <c r="V23" s="774" t="s">
        <v>17</v>
      </c>
      <c r="W23" s="775">
        <f>J23</f>
        <v>100</v>
      </c>
      <c r="X23" s="1811"/>
      <c r="Y23" s="3309"/>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309"/>
      <c r="Q24" s="1808">
        <f t="shared" ref="Q24:Q34" si="11">B24</f>
        <v>111</v>
      </c>
      <c r="R24" s="774" t="s">
        <v>17</v>
      </c>
      <c r="S24" s="775">
        <f>F24</f>
        <v>100</v>
      </c>
      <c r="T24" s="774" t="s">
        <v>17</v>
      </c>
      <c r="U24" s="775">
        <f>H24</f>
        <v>100</v>
      </c>
      <c r="V24" s="774" t="s">
        <v>17</v>
      </c>
      <c r="W24" s="775">
        <f>J24</f>
        <v>100</v>
      </c>
      <c r="X24" s="1811"/>
      <c r="Y24" s="3309"/>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309"/>
      <c r="Q25" s="1793">
        <f t="shared" si="11"/>
        <v>111</v>
      </c>
      <c r="R25" s="770" t="s">
        <v>17</v>
      </c>
      <c r="S25" s="771">
        <f>F25</f>
        <v>100</v>
      </c>
      <c r="T25" s="770" t="s">
        <v>17</v>
      </c>
      <c r="U25" s="771">
        <f>H25</f>
        <v>100</v>
      </c>
      <c r="V25" s="770" t="s">
        <v>17</v>
      </c>
      <c r="W25" s="771">
        <f>J25</f>
        <v>100</v>
      </c>
      <c r="X25" s="772"/>
      <c r="Y25" s="3309"/>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357" t="s">
        <v>2551</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313"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313"/>
      <c r="Q27" s="776" t="str">
        <f t="shared" si="11"/>
        <v>成新率</v>
      </c>
      <c r="R27" s="777" t="s">
        <v>17</v>
      </c>
      <c r="S27" s="778" t="e">
        <f t="shared" si="12"/>
        <v>#N/A</v>
      </c>
      <c r="T27" s="777" t="s">
        <v>17</v>
      </c>
      <c r="U27" s="778" t="e">
        <f t="shared" si="13"/>
        <v>#N/A</v>
      </c>
      <c r="V27" s="777" t="s">
        <v>17</v>
      </c>
      <c r="W27" s="778" t="e">
        <f t="shared" si="14"/>
        <v>#N/A</v>
      </c>
      <c r="X27" s="779"/>
      <c r="Y27" s="3313"/>
      <c r="Z27" s="780"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313"/>
      <c r="Q28" s="1808" t="str">
        <f t="shared" si="11"/>
        <v>物业等级</v>
      </c>
      <c r="R28" s="774" t="s">
        <v>17</v>
      </c>
      <c r="S28" s="775">
        <f t="shared" si="12"/>
        <v>100</v>
      </c>
      <c r="T28" s="774" t="s">
        <v>17</v>
      </c>
      <c r="U28" s="775">
        <f t="shared" si="13"/>
        <v>100</v>
      </c>
      <c r="V28" s="774" t="s">
        <v>17</v>
      </c>
      <c r="W28" s="775">
        <f t="shared" si="14"/>
        <v>100</v>
      </c>
      <c r="X28" s="1811"/>
      <c r="Y28" s="3313"/>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313"/>
      <c r="Q29" s="1808" t="str">
        <f t="shared" si="11"/>
        <v>有无电梯</v>
      </c>
      <c r="R29" s="774" t="s">
        <v>17</v>
      </c>
      <c r="S29" s="775">
        <f t="shared" si="12"/>
        <v>100</v>
      </c>
      <c r="T29" s="774" t="s">
        <v>17</v>
      </c>
      <c r="U29" s="775">
        <f t="shared" si="13"/>
        <v>100</v>
      </c>
      <c r="V29" s="774" t="s">
        <v>17</v>
      </c>
      <c r="W29" s="775">
        <f t="shared" si="14"/>
        <v>100</v>
      </c>
      <c r="X29" s="1811"/>
      <c r="Y29" s="3313"/>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313"/>
      <c r="Q30" s="1808" t="str">
        <f t="shared" si="11"/>
        <v>建筑面积</v>
      </c>
      <c r="R30" s="774" t="s">
        <v>17</v>
      </c>
      <c r="S30" s="775" t="e">
        <f t="shared" si="12"/>
        <v>#N/A</v>
      </c>
      <c r="T30" s="774" t="s">
        <v>17</v>
      </c>
      <c r="U30" s="775" t="e">
        <f t="shared" si="13"/>
        <v>#N/A</v>
      </c>
      <c r="V30" s="774" t="s">
        <v>17</v>
      </c>
      <c r="W30" s="775" t="e">
        <f t="shared" si="14"/>
        <v>#N/A</v>
      </c>
      <c r="X30" s="1811"/>
      <c r="Y30" s="3313"/>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313"/>
      <c r="Q31" s="1793" t="str">
        <f t="shared" si="11"/>
        <v>是否封闭</v>
      </c>
      <c r="R31" s="770" t="s">
        <v>17</v>
      </c>
      <c r="S31" s="771">
        <f t="shared" si="12"/>
        <v>100</v>
      </c>
      <c r="T31" s="770" t="s">
        <v>17</v>
      </c>
      <c r="U31" s="771">
        <f t="shared" si="13"/>
        <v>100</v>
      </c>
      <c r="V31" s="770" t="s">
        <v>17</v>
      </c>
      <c r="W31" s="771">
        <f t="shared" si="14"/>
        <v>100</v>
      </c>
      <c r="X31" s="772"/>
      <c r="Y31" s="3313"/>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313" t="s">
        <v>2551</v>
      </c>
      <c r="Q32" s="1808">
        <f t="shared" si="11"/>
        <v>111</v>
      </c>
      <c r="R32" s="774" t="s">
        <v>17</v>
      </c>
      <c r="S32" s="775">
        <f t="shared" si="12"/>
        <v>100</v>
      </c>
      <c r="T32" s="774" t="s">
        <v>17</v>
      </c>
      <c r="U32" s="775">
        <f t="shared" si="13"/>
        <v>100</v>
      </c>
      <c r="V32" s="774" t="s">
        <v>17</v>
      </c>
      <c r="W32" s="775">
        <f t="shared" si="14"/>
        <v>100</v>
      </c>
      <c r="X32" s="1811"/>
      <c r="Y32" s="3313"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313"/>
      <c r="Q33" s="1808">
        <f t="shared" si="11"/>
        <v>111</v>
      </c>
      <c r="R33" s="774" t="s">
        <v>17</v>
      </c>
      <c r="S33" s="775">
        <f t="shared" si="12"/>
        <v>100</v>
      </c>
      <c r="T33" s="774" t="s">
        <v>17</v>
      </c>
      <c r="U33" s="775">
        <f t="shared" si="13"/>
        <v>100</v>
      </c>
      <c r="V33" s="774" t="s">
        <v>17</v>
      </c>
      <c r="W33" s="775">
        <f t="shared" si="14"/>
        <v>100</v>
      </c>
      <c r="X33" s="1811"/>
      <c r="Y33" s="3313"/>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313"/>
      <c r="Q34" s="1808">
        <f t="shared" si="11"/>
        <v>111</v>
      </c>
      <c r="R34" s="774" t="s">
        <v>17</v>
      </c>
      <c r="S34" s="775">
        <f t="shared" si="12"/>
        <v>100</v>
      </c>
      <c r="T34" s="774" t="s">
        <v>17</v>
      </c>
      <c r="U34" s="775">
        <f t="shared" si="13"/>
        <v>100</v>
      </c>
      <c r="V34" s="774" t="s">
        <v>17</v>
      </c>
      <c r="W34" s="775">
        <f t="shared" si="14"/>
        <v>100</v>
      </c>
      <c r="X34" s="1811"/>
      <c r="Y34" s="3313"/>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3"/>
      <c r="L35" s="1144"/>
      <c r="M35" s="1145"/>
      <c r="N35" s="1132"/>
      <c r="O35" s="1145"/>
      <c r="P35" s="3301" t="str">
        <f>A35</f>
        <v>成交单价（元/平方米）</v>
      </c>
      <c r="Q35" s="3301"/>
      <c r="R35" s="3302">
        <f>E35</f>
        <v>0</v>
      </c>
      <c r="S35" s="3302"/>
      <c r="T35" s="3302">
        <f>G35</f>
        <v>0</v>
      </c>
      <c r="U35" s="3302"/>
      <c r="V35" s="3302">
        <f>I35</f>
        <v>0</v>
      </c>
      <c r="W35" s="3302"/>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4"/>
      <c r="M36" s="1145"/>
      <c r="N36" s="1132"/>
      <c r="O36" s="1145"/>
      <c r="P36" s="3301" t="str">
        <f>A36</f>
        <v>比较价值（元/平方米）</v>
      </c>
      <c r="Q36" s="3301"/>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4"/>
      <c r="M37" s="1145"/>
      <c r="N37" s="1145"/>
      <c r="O37" s="1145"/>
      <c r="P37" s="3352" t="str">
        <f>A37</f>
        <v>估价对象XX用房的比较价值（楼面单价，元/平方米）</v>
      </c>
      <c r="Q37" s="3353"/>
      <c r="R37" s="3428" t="e">
        <f>IF(F1="售价",ROUND(AVERAGE(R36:V36),0),ROUND(AVERAGE(R36:V36),1))</f>
        <v>#DIV/0!</v>
      </c>
      <c r="S37" s="3428"/>
      <c r="T37" s="3428"/>
      <c r="U37" s="3428"/>
      <c r="V37" s="3428"/>
      <c r="W37" s="3428"/>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2574</v>
      </c>
      <c r="B51" s="528" t="s">
        <v>2540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2549</v>
      </c>
      <c r="B77" s="528" t="s">
        <v>2602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18" t="s">
        <v>2632</v>
      </c>
      <c r="D4" s="3319"/>
      <c r="E4" s="3320" t="s">
        <v>2633</v>
      </c>
      <c r="F4" s="3321"/>
      <c r="G4" s="3318" t="s">
        <v>2634</v>
      </c>
      <c r="H4" s="3319"/>
      <c r="I4" s="3318" t="s">
        <v>2635</v>
      </c>
      <c r="J4" s="3319"/>
      <c r="K4" s="610" t="s">
        <v>2636</v>
      </c>
      <c r="L4" s="1131"/>
      <c r="M4" s="1132"/>
      <c r="N4" s="1132"/>
      <c r="O4" s="1132"/>
      <c r="P4" s="3359" t="s">
        <v>2637</v>
      </c>
      <c r="Q4" s="3360"/>
      <c r="R4" s="3363" t="s">
        <v>2633</v>
      </c>
      <c r="S4" s="3364"/>
      <c r="T4" s="3363" t="s">
        <v>2634</v>
      </c>
      <c r="U4" s="3364"/>
      <c r="V4" s="3335" t="s">
        <v>2635</v>
      </c>
      <c r="W4" s="3335"/>
      <c r="X4" s="1811"/>
      <c r="Y4" s="3363" t="s">
        <v>2637</v>
      </c>
      <c r="Z4" s="3364"/>
      <c r="AA4" s="3358" t="s">
        <v>2633</v>
      </c>
      <c r="AB4" s="3347" t="s">
        <v>2634</v>
      </c>
      <c r="AC4" s="3358" t="s">
        <v>2635</v>
      </c>
    </row>
    <row r="5" spans="1:29" ht="15">
      <c r="A5" s="404"/>
      <c r="B5" s="405"/>
      <c r="C5" s="3338" t="s">
        <v>2528</v>
      </c>
      <c r="D5" s="3339"/>
      <c r="E5" s="3349" t="s">
        <v>2529</v>
      </c>
      <c r="F5" s="3350"/>
      <c r="G5" s="3338" t="s">
        <v>2530</v>
      </c>
      <c r="H5" s="3339"/>
      <c r="I5" s="3338" t="s">
        <v>2531</v>
      </c>
      <c r="J5" s="3339"/>
      <c r="K5" s="610"/>
      <c r="L5" s="1131"/>
      <c r="M5" s="1132"/>
      <c r="N5" s="1132"/>
      <c r="O5" s="1132"/>
      <c r="P5" s="3361"/>
      <c r="Q5" s="3325"/>
      <c r="R5" s="3330"/>
      <c r="S5" s="3331"/>
      <c r="T5" s="3330"/>
      <c r="U5" s="3331"/>
      <c r="V5" s="3335"/>
      <c r="W5" s="3335"/>
      <c r="X5" s="1811"/>
      <c r="Y5" s="3330"/>
      <c r="Z5" s="3331"/>
      <c r="AA5" s="3347"/>
      <c r="AB5" s="3347"/>
      <c r="AC5" s="3347"/>
    </row>
    <row r="6" spans="1:29" ht="15.75" thickBot="1">
      <c r="A6" s="406"/>
      <c r="B6" s="407"/>
      <c r="C6" s="3365" t="s">
        <v>2781</v>
      </c>
      <c r="D6" s="3366"/>
      <c r="E6" s="3369" t="s">
        <v>2781</v>
      </c>
      <c r="F6" s="3370"/>
      <c r="G6" s="3365" t="s">
        <v>2781</v>
      </c>
      <c r="H6" s="3366"/>
      <c r="I6" s="3365" t="s">
        <v>2781</v>
      </c>
      <c r="J6" s="3366"/>
      <c r="K6" s="610" t="s">
        <v>2533</v>
      </c>
      <c r="L6" s="1131"/>
      <c r="M6" s="1132"/>
      <c r="N6" s="1132"/>
      <c r="O6" s="1132"/>
      <c r="P6" s="3362"/>
      <c r="Q6" s="3327"/>
      <c r="R6" s="3330"/>
      <c r="S6" s="3331"/>
      <c r="T6" s="3332"/>
      <c r="U6" s="3333"/>
      <c r="V6" s="3335"/>
      <c r="W6" s="3335"/>
      <c r="X6" s="1811"/>
      <c r="Y6" s="3332"/>
      <c r="Z6" s="3333"/>
      <c r="AA6" s="3348"/>
      <c r="AB6" s="3348"/>
      <c r="AC6" s="3348"/>
    </row>
    <row r="7" spans="1:29" s="117" customFormat="1" ht="15.75" thickBot="1">
      <c r="A7" s="408" t="s">
        <v>2534</v>
      </c>
      <c r="B7" s="409"/>
      <c r="C7" s="410">
        <f>'数据-取费表'!B2</f>
        <v>43581</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342" t="s">
        <v>2535</v>
      </c>
      <c r="Q7" s="3343"/>
      <c r="R7" s="770" t="s">
        <v>17</v>
      </c>
      <c r="S7" s="771">
        <f t="shared" ref="S7:S15" si="0">F7</f>
        <v>0</v>
      </c>
      <c r="T7" s="770" t="s">
        <v>17</v>
      </c>
      <c r="U7" s="771">
        <f t="shared" ref="U7:U15" si="1">H7</f>
        <v>0</v>
      </c>
      <c r="V7" s="770" t="s">
        <v>17</v>
      </c>
      <c r="W7" s="771">
        <f t="shared" ref="W7:W15" si="2">J7</f>
        <v>0</v>
      </c>
      <c r="X7" s="772"/>
      <c r="Y7" s="3342" t="s">
        <v>2535</v>
      </c>
      <c r="Z7" s="3341"/>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342" t="s">
        <v>2538</v>
      </c>
      <c r="Q8" s="3341"/>
      <c r="R8" s="770" t="s">
        <v>17</v>
      </c>
      <c r="S8" s="771">
        <f t="shared" si="0"/>
        <v>0</v>
      </c>
      <c r="T8" s="770" t="s">
        <v>17</v>
      </c>
      <c r="U8" s="771">
        <f t="shared" si="1"/>
        <v>0</v>
      </c>
      <c r="V8" s="770" t="s">
        <v>17</v>
      </c>
      <c r="W8" s="771">
        <f t="shared" si="2"/>
        <v>0</v>
      </c>
      <c r="X8" s="772"/>
      <c r="Y8" s="3342" t="s">
        <v>2538</v>
      </c>
      <c r="Z8" s="3341"/>
      <c r="AA8" s="773" t="e">
        <f t="shared" ref="AA8:AA40" si="3">D8/F8</f>
        <v>#DIV/0!</v>
      </c>
      <c r="AB8" s="773" t="e">
        <f t="shared" ref="AB8:AB40" si="4">D8/H8</f>
        <v>#DIV/0!</v>
      </c>
      <c r="AC8" s="773"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301" t="s">
        <v>2541</v>
      </c>
      <c r="Q9" s="1793" t="str">
        <f t="shared" ref="Q9:Q15" si="6">B9</f>
        <v>用途</v>
      </c>
      <c r="R9" s="770" t="s">
        <v>17</v>
      </c>
      <c r="S9" s="771">
        <f t="shared" si="0"/>
        <v>100</v>
      </c>
      <c r="T9" s="770" t="s">
        <v>17</v>
      </c>
      <c r="U9" s="771">
        <f t="shared" si="1"/>
        <v>100</v>
      </c>
      <c r="V9" s="770" t="s">
        <v>17</v>
      </c>
      <c r="W9" s="771">
        <f t="shared" si="2"/>
        <v>100</v>
      </c>
      <c r="X9" s="772"/>
      <c r="Y9" s="3126"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121</v>
      </c>
      <c r="G10" s="432"/>
      <c r="H10" s="136">
        <f>ROUND(100/'数据-取费表'!G16,0)</f>
        <v>121</v>
      </c>
      <c r="I10" s="432"/>
      <c r="J10" s="136">
        <f>ROUND(100/'数据-取费表'!G16,0)</f>
        <v>121</v>
      </c>
      <c r="K10" s="672"/>
      <c r="L10" s="1136"/>
      <c r="M10" s="1137"/>
      <c r="N10" s="1137"/>
      <c r="O10" s="1138"/>
      <c r="P10" s="3301"/>
      <c r="Q10" s="1793" t="str">
        <f t="shared" si="6"/>
        <v>土地使用年限（年）</v>
      </c>
      <c r="R10" s="770" t="s">
        <v>17</v>
      </c>
      <c r="S10" s="771">
        <f t="shared" si="0"/>
        <v>121</v>
      </c>
      <c r="T10" s="770" t="s">
        <v>17</v>
      </c>
      <c r="U10" s="771">
        <f t="shared" si="1"/>
        <v>121</v>
      </c>
      <c r="V10" s="770" t="s">
        <v>17</v>
      </c>
      <c r="W10" s="771">
        <f t="shared" si="2"/>
        <v>121</v>
      </c>
      <c r="X10" s="772"/>
      <c r="Y10" s="3126"/>
      <c r="Z10" s="55" t="str">
        <f t="shared" si="7"/>
        <v>土地使用年限（年）</v>
      </c>
      <c r="AA10" s="773">
        <f t="shared" si="3"/>
        <v>0.82644628099173556</v>
      </c>
      <c r="AB10" s="773">
        <f t="shared" si="4"/>
        <v>0.82644628099173556</v>
      </c>
      <c r="AC10" s="773">
        <f t="shared" si="5"/>
        <v>0.82644628099173556</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301"/>
      <c r="Q11" s="1793" t="str">
        <f t="shared" si="6"/>
        <v>容积率</v>
      </c>
      <c r="R11" s="770" t="s">
        <v>17</v>
      </c>
      <c r="S11" s="771" t="e">
        <f t="shared" si="0"/>
        <v>#N/A</v>
      </c>
      <c r="T11" s="770" t="s">
        <v>17</v>
      </c>
      <c r="U11" s="771" t="e">
        <f t="shared" si="1"/>
        <v>#N/A</v>
      </c>
      <c r="V11" s="770" t="s">
        <v>17</v>
      </c>
      <c r="W11" s="771" t="e">
        <f t="shared" si="2"/>
        <v>#N/A</v>
      </c>
      <c r="X11" s="772"/>
      <c r="Y11" s="3126"/>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301"/>
      <c r="Q12" s="1793">
        <f t="shared" si="6"/>
        <v>111</v>
      </c>
      <c r="R12" s="770" t="s">
        <v>17</v>
      </c>
      <c r="S12" s="771">
        <f t="shared" si="0"/>
        <v>100</v>
      </c>
      <c r="T12" s="770" t="s">
        <v>17</v>
      </c>
      <c r="U12" s="771">
        <f t="shared" si="1"/>
        <v>100</v>
      </c>
      <c r="V12" s="770" t="s">
        <v>17</v>
      </c>
      <c r="W12" s="771">
        <f t="shared" si="2"/>
        <v>100</v>
      </c>
      <c r="X12" s="772"/>
      <c r="Y12" s="3126"/>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301"/>
      <c r="Q13" s="1793">
        <f t="shared" si="6"/>
        <v>111</v>
      </c>
      <c r="R13" s="770" t="s">
        <v>17</v>
      </c>
      <c r="S13" s="771">
        <f t="shared" si="0"/>
        <v>100</v>
      </c>
      <c r="T13" s="770" t="s">
        <v>17</v>
      </c>
      <c r="U13" s="771">
        <f t="shared" si="1"/>
        <v>100</v>
      </c>
      <c r="V13" s="770" t="s">
        <v>17</v>
      </c>
      <c r="W13" s="771">
        <f t="shared" si="2"/>
        <v>100</v>
      </c>
      <c r="X13" s="772"/>
      <c r="Y13" s="3126"/>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301"/>
      <c r="Q14" s="1793">
        <f t="shared" si="6"/>
        <v>111</v>
      </c>
      <c r="R14" s="770" t="s">
        <v>17</v>
      </c>
      <c r="S14" s="771">
        <f t="shared" si="0"/>
        <v>100</v>
      </c>
      <c r="T14" s="770" t="s">
        <v>17</v>
      </c>
      <c r="U14" s="771">
        <f t="shared" si="1"/>
        <v>100</v>
      </c>
      <c r="V14" s="770" t="s">
        <v>17</v>
      </c>
      <c r="W14" s="771">
        <f t="shared" si="2"/>
        <v>100</v>
      </c>
      <c r="X14" s="772"/>
      <c r="Y14" s="3126"/>
      <c r="Z14" s="55">
        <f t="shared" si="7"/>
        <v>111</v>
      </c>
      <c r="AA14" s="773">
        <f t="shared" si="3"/>
        <v>1</v>
      </c>
      <c r="AB14" s="773">
        <f t="shared" si="4"/>
        <v>1</v>
      </c>
      <c r="AC14" s="773">
        <f t="shared" si="5"/>
        <v>1</v>
      </c>
    </row>
    <row r="15" spans="1:29" ht="15">
      <c r="A15" s="440" t="s">
        <v>2545</v>
      </c>
      <c r="B15" s="629" t="s">
        <v>2782</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308" t="s">
        <v>2546</v>
      </c>
      <c r="Q15" s="1808" t="str">
        <f t="shared" si="6"/>
        <v>产业集聚程度</v>
      </c>
      <c r="R15" s="774" t="s">
        <v>17</v>
      </c>
      <c r="S15" s="775">
        <f t="shared" si="0"/>
        <v>100</v>
      </c>
      <c r="T15" s="774" t="s">
        <v>17</v>
      </c>
      <c r="U15" s="775">
        <f t="shared" si="1"/>
        <v>100</v>
      </c>
      <c r="V15" s="774" t="s">
        <v>17</v>
      </c>
      <c r="W15" s="775">
        <f t="shared" si="2"/>
        <v>100</v>
      </c>
      <c r="X15" s="1811"/>
      <c r="Y15" s="3308"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1"/>
      <c r="M16" s="1132"/>
      <c r="N16" s="1132"/>
      <c r="O16" s="1140"/>
      <c r="P16" s="3309"/>
      <c r="Q16" s="1808"/>
      <c r="R16" s="774"/>
      <c r="S16" s="775"/>
      <c r="T16" s="774"/>
      <c r="U16" s="775"/>
      <c r="V16" s="774"/>
      <c r="W16" s="775"/>
      <c r="X16" s="1811"/>
      <c r="Y16" s="3309"/>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309"/>
      <c r="Q17" s="1808" t="str">
        <f>B17</f>
        <v>交通便捷度</v>
      </c>
      <c r="R17" s="774" t="s">
        <v>17</v>
      </c>
      <c r="S17" s="775">
        <f>F17</f>
        <v>100</v>
      </c>
      <c r="T17" s="774" t="s">
        <v>17</v>
      </c>
      <c r="U17" s="775">
        <f>H17</f>
        <v>100</v>
      </c>
      <c r="V17" s="774" t="s">
        <v>17</v>
      </c>
      <c r="W17" s="775">
        <f>J17</f>
        <v>100</v>
      </c>
      <c r="X17" s="1811"/>
      <c r="Y17" s="3309"/>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1"/>
      <c r="M18" s="1132"/>
      <c r="N18" s="1132"/>
      <c r="O18" s="1140"/>
      <c r="P18" s="3309"/>
      <c r="Q18" s="1808"/>
      <c r="R18" s="774"/>
      <c r="S18" s="775"/>
      <c r="T18" s="774"/>
      <c r="U18" s="775"/>
      <c r="V18" s="774"/>
      <c r="W18" s="775"/>
      <c r="X18" s="1811"/>
      <c r="Y18" s="3309"/>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309"/>
      <c r="Q19" s="1808" t="str">
        <f t="shared" ref="Q19:Q33" si="8">B19</f>
        <v>区域土地利用方向</v>
      </c>
      <c r="R19" s="774" t="s">
        <v>17</v>
      </c>
      <c r="S19" s="775">
        <f>F19</f>
        <v>100</v>
      </c>
      <c r="T19" s="774" t="s">
        <v>17</v>
      </c>
      <c r="U19" s="775">
        <f>H19</f>
        <v>100</v>
      </c>
      <c r="V19" s="774" t="s">
        <v>17</v>
      </c>
      <c r="W19" s="775">
        <f>J19</f>
        <v>100</v>
      </c>
      <c r="X19" s="1811"/>
      <c r="Y19" s="3309"/>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0"/>
      <c r="L20" s="1141"/>
      <c r="M20" s="1132"/>
      <c r="N20" s="1132"/>
      <c r="O20" s="1140"/>
      <c r="P20" s="3309"/>
      <c r="Q20" s="1808"/>
      <c r="R20" s="774"/>
      <c r="S20" s="775"/>
      <c r="T20" s="774"/>
      <c r="U20" s="775"/>
      <c r="V20" s="774"/>
      <c r="W20" s="775"/>
      <c r="X20" s="1811"/>
      <c r="Y20" s="3309"/>
      <c r="Z20" s="1812"/>
      <c r="AA20" s="1809"/>
      <c r="AB20" s="1809"/>
      <c r="AC20" s="1809"/>
    </row>
    <row r="21" spans="1:29" ht="15">
      <c r="A21" s="404"/>
      <c r="B21" s="631" t="s">
        <v>2783</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309"/>
      <c r="Q21" s="1808" t="str">
        <f t="shared" si="8"/>
        <v>环境状况</v>
      </c>
      <c r="R21" s="774" t="s">
        <v>17</v>
      </c>
      <c r="S21" s="775">
        <f>F21</f>
        <v>100</v>
      </c>
      <c r="T21" s="774" t="s">
        <v>17</v>
      </c>
      <c r="U21" s="775">
        <f>H21</f>
        <v>100</v>
      </c>
      <c r="V21" s="774" t="s">
        <v>17</v>
      </c>
      <c r="W21" s="775">
        <f>J21</f>
        <v>100</v>
      </c>
      <c r="X21" s="1811"/>
      <c r="Y21" s="3309"/>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1"/>
      <c r="M22" s="1132"/>
      <c r="N22" s="1132"/>
      <c r="O22" s="1140"/>
      <c r="P22" s="3309"/>
      <c r="Q22" s="1808"/>
      <c r="R22" s="774"/>
      <c r="S22" s="775"/>
      <c r="T22" s="774"/>
      <c r="U22" s="775"/>
      <c r="V22" s="774"/>
      <c r="W22" s="775"/>
      <c r="X22" s="1811"/>
      <c r="Y22" s="3309"/>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309"/>
      <c r="Q23" s="1793" t="str">
        <f t="shared" si="8"/>
        <v>公共配套设施</v>
      </c>
      <c r="R23" s="770" t="s">
        <v>17</v>
      </c>
      <c r="S23" s="771">
        <f>F23</f>
        <v>100</v>
      </c>
      <c r="T23" s="770" t="s">
        <v>17</v>
      </c>
      <c r="U23" s="771">
        <f>H23</f>
        <v>100</v>
      </c>
      <c r="V23" s="770" t="s">
        <v>17</v>
      </c>
      <c r="W23" s="771">
        <f>J23</f>
        <v>100</v>
      </c>
      <c r="X23" s="772"/>
      <c r="Y23" s="3309"/>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3"/>
      <c r="M24" s="1134"/>
      <c r="N24" s="1134"/>
      <c r="O24" s="1135"/>
      <c r="P24" s="3309"/>
      <c r="Q24" s="1793"/>
      <c r="R24" s="770"/>
      <c r="S24" s="771"/>
      <c r="T24" s="770"/>
      <c r="U24" s="771"/>
      <c r="V24" s="770"/>
      <c r="W24" s="771"/>
      <c r="X24" s="772"/>
      <c r="Y24" s="3309"/>
      <c r="Z24" s="55"/>
      <c r="AA24" s="773">
        <v>1</v>
      </c>
      <c r="AB24" s="773">
        <v>1</v>
      </c>
      <c r="AC24" s="773">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309"/>
      <c r="Q25" s="1793" t="str">
        <f t="shared" ref="Q25" si="9">B25</f>
        <v>基础设施水平</v>
      </c>
      <c r="R25" s="770" t="s">
        <v>17</v>
      </c>
      <c r="S25" s="771">
        <f>F25</f>
        <v>100</v>
      </c>
      <c r="T25" s="770" t="s">
        <v>17</v>
      </c>
      <c r="U25" s="771">
        <f>H25</f>
        <v>100</v>
      </c>
      <c r="V25" s="770" t="s">
        <v>17</v>
      </c>
      <c r="W25" s="771">
        <f>J25</f>
        <v>100</v>
      </c>
      <c r="X25" s="772"/>
      <c r="Y25" s="3309"/>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3"/>
      <c r="M26" s="1134"/>
      <c r="N26" s="1134"/>
      <c r="O26" s="1135"/>
      <c r="P26" s="3309"/>
      <c r="Q26" s="1793"/>
      <c r="R26" s="770"/>
      <c r="S26" s="771"/>
      <c r="T26" s="770"/>
      <c r="U26" s="771"/>
      <c r="V26" s="770"/>
      <c r="W26" s="771"/>
      <c r="X26" s="772"/>
      <c r="Y26" s="3309"/>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309"/>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309"/>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309"/>
      <c r="Q28" s="1808" t="str">
        <f t="shared" si="8"/>
        <v>毗邻道路的类型与等级</v>
      </c>
      <c r="R28" s="774" t="s">
        <v>17</v>
      </c>
      <c r="S28" s="775">
        <f t="shared" si="10"/>
        <v>100</v>
      </c>
      <c r="T28" s="774" t="s">
        <v>17</v>
      </c>
      <c r="U28" s="775">
        <f t="shared" si="11"/>
        <v>100</v>
      </c>
      <c r="V28" s="774" t="s">
        <v>17</v>
      </c>
      <c r="W28" s="775">
        <f t="shared" si="12"/>
        <v>100</v>
      </c>
      <c r="X28" s="1811"/>
      <c r="Y28" s="3309"/>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1"/>
      <c r="M29" s="1132"/>
      <c r="N29" s="1132"/>
      <c r="O29" s="1140"/>
      <c r="P29" s="3309"/>
      <c r="Q29" s="1808"/>
      <c r="R29" s="774"/>
      <c r="S29" s="775"/>
      <c r="T29" s="774"/>
      <c r="U29" s="775"/>
      <c r="V29" s="774"/>
      <c r="W29" s="775"/>
      <c r="X29" s="1811"/>
      <c r="Y29" s="3309"/>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309"/>
      <c r="Q30" s="1808" t="str">
        <f t="shared" si="8"/>
        <v>土地级别</v>
      </c>
      <c r="R30" s="774" t="s">
        <v>17</v>
      </c>
      <c r="S30" s="775">
        <f t="shared" si="10"/>
        <v>100</v>
      </c>
      <c r="T30" s="774" t="s">
        <v>17</v>
      </c>
      <c r="U30" s="775">
        <f t="shared" si="11"/>
        <v>100</v>
      </c>
      <c r="V30" s="774" t="s">
        <v>17</v>
      </c>
      <c r="W30" s="775">
        <f t="shared" si="12"/>
        <v>100</v>
      </c>
      <c r="X30" s="1811"/>
      <c r="Y30" s="3309"/>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309"/>
      <c r="Q31" s="1808">
        <f t="shared" si="8"/>
        <v>111</v>
      </c>
      <c r="R31" s="774" t="s">
        <v>17</v>
      </c>
      <c r="S31" s="775">
        <f t="shared" si="10"/>
        <v>100</v>
      </c>
      <c r="T31" s="774" t="s">
        <v>17</v>
      </c>
      <c r="U31" s="775">
        <f t="shared" si="11"/>
        <v>100</v>
      </c>
      <c r="V31" s="774" t="s">
        <v>17</v>
      </c>
      <c r="W31" s="775">
        <f t="shared" si="12"/>
        <v>100</v>
      </c>
      <c r="X31" s="1811"/>
      <c r="Y31" s="3309"/>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57" t="s">
        <v>2551</v>
      </c>
      <c r="Q32" s="1808">
        <f t="shared" si="8"/>
        <v>111</v>
      </c>
      <c r="R32" s="774" t="s">
        <v>17</v>
      </c>
      <c r="S32" s="775">
        <f t="shared" si="10"/>
        <v>100</v>
      </c>
      <c r="T32" s="774" t="s">
        <v>17</v>
      </c>
      <c r="U32" s="775">
        <f t="shared" si="11"/>
        <v>100</v>
      </c>
      <c r="V32" s="774" t="s">
        <v>17</v>
      </c>
      <c r="W32" s="775">
        <f t="shared" si="12"/>
        <v>100</v>
      </c>
      <c r="X32" s="1811"/>
      <c r="Y32" s="3313"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313"/>
      <c r="Q33" s="1808">
        <f t="shared" si="8"/>
        <v>111</v>
      </c>
      <c r="R33" s="777" t="s">
        <v>17</v>
      </c>
      <c r="S33" s="778">
        <f t="shared" si="10"/>
        <v>100</v>
      </c>
      <c r="T33" s="777" t="s">
        <v>17</v>
      </c>
      <c r="U33" s="778">
        <f t="shared" si="11"/>
        <v>100</v>
      </c>
      <c r="V33" s="777" t="s">
        <v>17</v>
      </c>
      <c r="W33" s="778">
        <f t="shared" si="12"/>
        <v>100</v>
      </c>
      <c r="X33" s="779"/>
      <c r="Y33" s="3313"/>
      <c r="Z33" s="780">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313"/>
      <c r="Q34" s="1808" t="str">
        <f>B34</f>
        <v>宗地面积</v>
      </c>
      <c r="R34" s="774" t="s">
        <v>17</v>
      </c>
      <c r="S34" s="775" t="e">
        <f t="shared" si="10"/>
        <v>#N/A</v>
      </c>
      <c r="T34" s="774" t="s">
        <v>17</v>
      </c>
      <c r="U34" s="775" t="e">
        <f t="shared" si="11"/>
        <v>#N/A</v>
      </c>
      <c r="V34" s="774" t="s">
        <v>17</v>
      </c>
      <c r="W34" s="775" t="e">
        <f t="shared" si="12"/>
        <v>#N/A</v>
      </c>
      <c r="X34" s="1811"/>
      <c r="Y34" s="3313"/>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313"/>
      <c r="Q35" s="1808" t="str">
        <f t="shared" ref="Q35:Q40" si="14">B35</f>
        <v>宗地形状</v>
      </c>
      <c r="R35" s="774" t="s">
        <v>17</v>
      </c>
      <c r="S35" s="775">
        <f t="shared" si="10"/>
        <v>100</v>
      </c>
      <c r="T35" s="774" t="s">
        <v>17</v>
      </c>
      <c r="U35" s="775">
        <f t="shared" si="11"/>
        <v>100</v>
      </c>
      <c r="V35" s="774" t="s">
        <v>17</v>
      </c>
      <c r="W35" s="775">
        <f t="shared" si="12"/>
        <v>100</v>
      </c>
      <c r="X35" s="1811"/>
      <c r="Y35" s="3313"/>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313"/>
      <c r="Q36" s="1808" t="str">
        <f t="shared" si="14"/>
        <v>宗地开发程度</v>
      </c>
      <c r="R36" s="770" t="s">
        <v>17</v>
      </c>
      <c r="S36" s="771">
        <f t="shared" si="10"/>
        <v>100</v>
      </c>
      <c r="T36" s="770" t="s">
        <v>17</v>
      </c>
      <c r="U36" s="771">
        <f t="shared" si="11"/>
        <v>100</v>
      </c>
      <c r="V36" s="770" t="s">
        <v>17</v>
      </c>
      <c r="W36" s="771">
        <f t="shared" si="12"/>
        <v>100</v>
      </c>
      <c r="X36" s="772"/>
      <c r="Y36" s="3313"/>
      <c r="Z36" s="55" t="str">
        <f t="shared" si="13"/>
        <v>宗地开发程度</v>
      </c>
      <c r="AA36" s="773">
        <f t="shared" si="3"/>
        <v>1</v>
      </c>
      <c r="AB36" s="773">
        <f t="shared" si="4"/>
        <v>1</v>
      </c>
      <c r="AC36" s="773">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313" t="s">
        <v>2551</v>
      </c>
      <c r="Q37" s="1808" t="str">
        <f t="shared" si="14"/>
        <v>工程地质条件</v>
      </c>
      <c r="R37" s="774" t="s">
        <v>17</v>
      </c>
      <c r="S37" s="775">
        <f t="shared" si="10"/>
        <v>100</v>
      </c>
      <c r="T37" s="774" t="s">
        <v>17</v>
      </c>
      <c r="U37" s="775">
        <f t="shared" si="11"/>
        <v>100</v>
      </c>
      <c r="V37" s="774" t="s">
        <v>17</v>
      </c>
      <c r="W37" s="775">
        <f t="shared" si="12"/>
        <v>100</v>
      </c>
      <c r="X37" s="1811"/>
      <c r="Y37" s="3313"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313"/>
      <c r="Q38" s="1808">
        <f t="shared" si="14"/>
        <v>111</v>
      </c>
      <c r="R38" s="774" t="s">
        <v>17</v>
      </c>
      <c r="S38" s="775">
        <f t="shared" si="10"/>
        <v>100</v>
      </c>
      <c r="T38" s="774" t="s">
        <v>17</v>
      </c>
      <c r="U38" s="775">
        <f t="shared" si="11"/>
        <v>100</v>
      </c>
      <c r="V38" s="774" t="s">
        <v>17</v>
      </c>
      <c r="W38" s="775">
        <f t="shared" si="12"/>
        <v>100</v>
      </c>
      <c r="X38" s="1811"/>
      <c r="Y38" s="3313"/>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313"/>
      <c r="Q39" s="1808">
        <f t="shared" si="14"/>
        <v>111</v>
      </c>
      <c r="R39" s="774" t="s">
        <v>17</v>
      </c>
      <c r="S39" s="775">
        <f t="shared" si="10"/>
        <v>100</v>
      </c>
      <c r="T39" s="774" t="s">
        <v>17</v>
      </c>
      <c r="U39" s="775">
        <f t="shared" si="11"/>
        <v>100</v>
      </c>
      <c r="V39" s="774" t="s">
        <v>17</v>
      </c>
      <c r="W39" s="775">
        <f t="shared" si="12"/>
        <v>100</v>
      </c>
      <c r="X39" s="1811"/>
      <c r="Y39" s="3313"/>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313"/>
      <c r="Q40" s="1808">
        <f t="shared" si="14"/>
        <v>111</v>
      </c>
      <c r="R40" s="777" t="s">
        <v>17</v>
      </c>
      <c r="S40" s="778">
        <f t="shared" si="10"/>
        <v>100</v>
      </c>
      <c r="T40" s="777" t="s">
        <v>17</v>
      </c>
      <c r="U40" s="778">
        <f t="shared" si="11"/>
        <v>100</v>
      </c>
      <c r="V40" s="777" t="s">
        <v>17</v>
      </c>
      <c r="W40" s="778">
        <f t="shared" si="12"/>
        <v>100</v>
      </c>
      <c r="X40" s="779"/>
      <c r="Y40" s="3313"/>
      <c r="Z40" s="780">
        <f t="shared" si="13"/>
        <v>111</v>
      </c>
      <c r="AA40" s="1809">
        <f t="shared" si="3"/>
        <v>1</v>
      </c>
      <c r="AB40" s="1809">
        <f t="shared" si="4"/>
        <v>1</v>
      </c>
      <c r="AC40" s="1809">
        <f t="shared" si="5"/>
        <v>1</v>
      </c>
    </row>
    <row r="41" spans="1:29" ht="15">
      <c r="A41" s="479" t="s">
        <v>2706</v>
      </c>
      <c r="B41" s="2699" t="s">
        <v>2784</v>
      </c>
      <c r="C41" s="682" t="s">
        <v>1</v>
      </c>
      <c r="D41" s="481"/>
      <c r="E41" s="482"/>
      <c r="F41" s="483"/>
      <c r="G41" s="484"/>
      <c r="H41" s="485"/>
      <c r="I41" s="482"/>
      <c r="J41" s="485"/>
      <c r="K41" s="783"/>
      <c r="L41" s="1144"/>
      <c r="M41" s="1132"/>
      <c r="N41" s="1132"/>
      <c r="O41" s="1145"/>
      <c r="P41" s="3301" t="str">
        <f>A41</f>
        <v>成交单价</v>
      </c>
      <c r="Q41" s="3301"/>
      <c r="R41" s="3335">
        <f>E41</f>
        <v>0</v>
      </c>
      <c r="S41" s="3335"/>
      <c r="T41" s="3335">
        <f>G41</f>
        <v>0</v>
      </c>
      <c r="U41" s="3335"/>
      <c r="V41" s="3335">
        <f>I41</f>
        <v>0</v>
      </c>
      <c r="W41" s="3335"/>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4"/>
      <c r="M42" s="1132"/>
      <c r="N42" s="1132"/>
      <c r="O42" s="1145"/>
      <c r="P42" s="3301" t="str">
        <f>A42</f>
        <v>比较价值（元/平方米）</v>
      </c>
      <c r="Q42" s="3301"/>
      <c r="R42" s="3351" t="e">
        <f>ROUND(PRODUCT(R41,AA7:AA40),0)</f>
        <v>#DIV/0!</v>
      </c>
      <c r="S42" s="3351"/>
      <c r="T42" s="3351" t="e">
        <f>ROUND(PRODUCT(T41,AB7:AB40),0)</f>
        <v>#DIV/0!</v>
      </c>
      <c r="U42" s="3351"/>
      <c r="V42" s="3351" t="e">
        <f>ROUND(PRODUCT(V41,AC7:AC40),0)</f>
        <v>#DIV/0!</v>
      </c>
      <c r="W42" s="3351"/>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4"/>
      <c r="M43" s="1132"/>
      <c r="N43" s="1132"/>
      <c r="O43" s="1145"/>
      <c r="P43" s="3352" t="str">
        <f>A43</f>
        <v>估价对象XX用房的比较价值（楼面单价，元/平方米）</v>
      </c>
      <c r="Q43" s="3353"/>
      <c r="R43" s="3354" t="e">
        <f>ROUND(AVERAGE(R42:V42),0)</f>
        <v>#DIV/0!</v>
      </c>
      <c r="S43" s="3354"/>
      <c r="T43" s="3354"/>
      <c r="U43" s="3354"/>
      <c r="V43" s="3354"/>
      <c r="W43" s="3354"/>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2743</v>
      </c>
      <c r="B50" s="685" t="s">
        <v>2744</v>
      </c>
      <c r="C50" s="2700" t="s">
        <v>2745</v>
      </c>
      <c r="D50" s="2701" t="s">
        <v>2746</v>
      </c>
      <c r="E50" s="686" t="s">
        <v>2747</v>
      </c>
      <c r="F50" s="687" t="s">
        <v>2748</v>
      </c>
      <c r="G50" s="3318" t="s">
        <v>2749</v>
      </c>
      <c r="H50" s="3355"/>
      <c r="I50" s="1812" t="s">
        <v>2785</v>
      </c>
      <c r="J50" s="1812">
        <f>项目基本情况!F35</f>
        <v>0</v>
      </c>
      <c r="K50" s="2703" t="s">
        <v>2751</v>
      </c>
      <c r="L50" s="1107"/>
      <c r="M50" s="1145"/>
      <c r="N50" s="1145"/>
      <c r="O50" s="1145"/>
    </row>
    <row r="51" spans="1:17" s="692" customFormat="1">
      <c r="A51" s="688" t="s">
        <v>2752</v>
      </c>
      <c r="B51" s="689" t="e">
        <f>C43</f>
        <v>#DIV/0!</v>
      </c>
      <c r="C51" s="690">
        <v>1</v>
      </c>
      <c r="D51" s="1164">
        <v>1</v>
      </c>
      <c r="E51" s="690">
        <f>'数据-汇总表'!E8+'数据-汇总表'!E9</f>
        <v>75908.19</v>
      </c>
      <c r="F51" s="691" t="e">
        <f t="shared" ref="F51:F60" si="15">ROUND(B51*E51/10000,0)</f>
        <v>#DIV/0!</v>
      </c>
      <c r="G51" s="3300"/>
      <c r="H51" s="3301"/>
      <c r="I51" s="943">
        <v>1</v>
      </c>
      <c r="J51" s="943">
        <v>1</v>
      </c>
      <c r="K51" s="1146"/>
      <c r="L51" s="942"/>
      <c r="M51" s="942"/>
      <c r="N51" s="942"/>
      <c r="O51" s="942"/>
    </row>
    <row r="52" spans="1:17" s="692" customFormat="1">
      <c r="A52" s="693" t="s">
        <v>2753</v>
      </c>
      <c r="B52" s="262" t="e">
        <f>ROUND($C$43*C52*D52,0)</f>
        <v>#DIV/0!</v>
      </c>
      <c r="C52" s="200">
        <f t="shared" ref="C52:C60" si="16">IF($C$50="北京市系数",I52,J52)</f>
        <v>0.8</v>
      </c>
      <c r="D52" s="1165">
        <v>0.25</v>
      </c>
      <c r="E52" s="694"/>
      <c r="F52" s="691" t="e">
        <f t="shared" si="15"/>
        <v>#DIV/0!</v>
      </c>
      <c r="G52" s="3356" t="s">
        <v>2754</v>
      </c>
      <c r="H52" s="1105" t="str">
        <f>项目基本情况!B37</f>
        <v>二级</v>
      </c>
      <c r="I52" s="943">
        <f>SUMIF(修正!A45:A56,H52,修正!B45:B56)</f>
        <v>0.8</v>
      </c>
      <c r="J52" s="944"/>
      <c r="K52" s="1145"/>
      <c r="L52" s="942"/>
      <c r="M52" s="942"/>
      <c r="N52" s="942"/>
      <c r="O52" s="942"/>
    </row>
    <row r="53" spans="1:17" s="692" customFormat="1">
      <c r="A53" s="693" t="s">
        <v>2755</v>
      </c>
      <c r="B53" s="262" t="e">
        <f t="shared" ref="B53:B60" si="17">ROUND($C$43*C53*D53,0)</f>
        <v>#DIV/0!</v>
      </c>
      <c r="C53" s="200">
        <f t="shared" si="16"/>
        <v>0.5</v>
      </c>
      <c r="D53" s="1165">
        <v>0.25</v>
      </c>
      <c r="E53" s="694"/>
      <c r="F53" s="691" t="e">
        <f t="shared" si="15"/>
        <v>#DIV/0!</v>
      </c>
      <c r="G53" s="3356"/>
      <c r="H53" s="1105" t="str">
        <f>项目基本情况!B37</f>
        <v>二级</v>
      </c>
      <c r="I53" s="943">
        <f>SUMIF(修正!A45:A56,H53,修正!C45:C56)</f>
        <v>0.5</v>
      </c>
      <c r="J53" s="944"/>
      <c r="K53" s="1146"/>
      <c r="L53" s="942"/>
      <c r="M53" s="942"/>
      <c r="N53" s="942"/>
      <c r="O53" s="942"/>
    </row>
    <row r="54" spans="1:17" s="692" customFormat="1">
      <c r="A54" s="693" t="s">
        <v>2756</v>
      </c>
      <c r="B54" s="262" t="e">
        <f t="shared" si="17"/>
        <v>#DIV/0!</v>
      </c>
      <c r="C54" s="200">
        <f t="shared" si="16"/>
        <v>0.36</v>
      </c>
      <c r="D54" s="1165">
        <v>0.25</v>
      </c>
      <c r="E54" s="694"/>
      <c r="F54" s="691" t="e">
        <f t="shared" si="15"/>
        <v>#DIV/0!</v>
      </c>
      <c r="G54" s="3356"/>
      <c r="H54" s="1105" t="str">
        <f>项目基本情况!B37</f>
        <v>二级</v>
      </c>
      <c r="I54" s="943">
        <f>SUMIF(修正!A45:A56,H54,修正!D45:D56)</f>
        <v>0.36</v>
      </c>
      <c r="J54" s="944"/>
      <c r="K54" s="1145"/>
      <c r="L54" s="942"/>
      <c r="M54" s="942"/>
      <c r="N54" s="942"/>
      <c r="O54" s="942"/>
    </row>
    <row r="55" spans="1:17" s="692" customFormat="1">
      <c r="A55" s="693" t="s">
        <v>2757</v>
      </c>
      <c r="B55" s="262" t="e">
        <f t="shared" si="17"/>
        <v>#DIV/0!</v>
      </c>
      <c r="C55" s="200">
        <f t="shared" si="16"/>
        <v>0.3</v>
      </c>
      <c r="D55" s="1165">
        <v>0.25</v>
      </c>
      <c r="E55" s="694"/>
      <c r="F55" s="691" t="e">
        <f t="shared" si="15"/>
        <v>#DIV/0!</v>
      </c>
      <c r="G55" s="3356"/>
      <c r="H55" s="1105" t="str">
        <f>项目基本情况!B37</f>
        <v>二级</v>
      </c>
      <c r="I55" s="943">
        <f>SUMIF(修正!A45:A56,H55,修正!E45:E56)</f>
        <v>0.3</v>
      </c>
      <c r="J55" s="944"/>
      <c r="K55" s="1146"/>
      <c r="L55" s="942"/>
      <c r="M55" s="942"/>
      <c r="N55" s="942"/>
      <c r="O55" s="942"/>
    </row>
    <row r="56" spans="1:17" s="692" customFormat="1">
      <c r="A56" s="693" t="s">
        <v>2758</v>
      </c>
      <c r="B56" s="262" t="e">
        <f t="shared" si="17"/>
        <v>#DIV/0!</v>
      </c>
      <c r="C56" s="200">
        <f t="shared" si="16"/>
        <v>0.3</v>
      </c>
      <c r="D56" s="1165">
        <v>0.25</v>
      </c>
      <c r="E56" s="261">
        <f>'数据-汇总表'!E11</f>
        <v>0</v>
      </c>
      <c r="F56" s="691" t="e">
        <f t="shared" si="15"/>
        <v>#DIV/0!</v>
      </c>
      <c r="G56" s="2704" t="s">
        <v>2759</v>
      </c>
      <c r="H56" s="1105" t="str">
        <f>项目基本情况!C37</f>
        <v>二级</v>
      </c>
      <c r="I56" s="943">
        <f>SUMIF(修正!A45:A56,H56,修正!F45:F56)</f>
        <v>0.3</v>
      </c>
      <c r="J56" s="944"/>
      <c r="K56" s="1145"/>
      <c r="L56" s="942"/>
      <c r="M56" s="942"/>
      <c r="N56" s="942"/>
      <c r="O56" s="942"/>
    </row>
    <row r="57" spans="1:17" s="692" customFormat="1">
      <c r="A57" s="693" t="s">
        <v>2760</v>
      </c>
      <c r="B57" s="262" t="e">
        <f t="shared" si="17"/>
        <v>#DIV/0!</v>
      </c>
      <c r="C57" s="200">
        <f t="shared" si="16"/>
        <v>0.3</v>
      </c>
      <c r="D57" s="1165">
        <v>0.25</v>
      </c>
      <c r="E57" s="261">
        <f>'数据-汇总表'!E12</f>
        <v>6914.72</v>
      </c>
      <c r="F57" s="691" t="e">
        <f t="shared" si="15"/>
        <v>#DIV/0!</v>
      </c>
      <c r="G57" s="1110" t="s">
        <v>2761</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2" customFormat="1">
      <c r="A58" s="693" t="s">
        <v>2762</v>
      </c>
      <c r="B58" s="262" t="e">
        <f t="shared" si="17"/>
        <v>#DIV/0!</v>
      </c>
      <c r="C58" s="200">
        <f t="shared" si="16"/>
        <v>0</v>
      </c>
      <c r="D58" s="1165">
        <v>0.25</v>
      </c>
      <c r="E58" s="261">
        <f>'数据-汇总表'!E13</f>
        <v>0</v>
      </c>
      <c r="F58" s="691" t="e">
        <f t="shared" si="15"/>
        <v>#DIV/0!</v>
      </c>
      <c r="G58" s="1110" t="s">
        <v>2763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2764</v>
      </c>
      <c r="B59" s="262" t="e">
        <f t="shared" si="17"/>
        <v>#DIV/0!</v>
      </c>
      <c r="C59" s="200">
        <f t="shared" si="16"/>
        <v>0.25</v>
      </c>
      <c r="D59" s="1165">
        <v>0.25</v>
      </c>
      <c r="E59" s="261">
        <f>'数据-汇总表'!E14</f>
        <v>15987.419999999998</v>
      </c>
      <c r="F59" s="691" t="e">
        <f t="shared" si="15"/>
        <v>#DIV/0!</v>
      </c>
      <c r="G59" s="2704" t="s">
        <v>2754</v>
      </c>
      <c r="H59" s="1105" t="str">
        <f>项目基本情况!B37</f>
        <v>二级</v>
      </c>
      <c r="I59" s="943">
        <f>SUMIF(修正!A45:A56,H59,修正!H45:H56)</f>
        <v>0.25</v>
      </c>
      <c r="J59" s="944"/>
      <c r="K59" s="1146"/>
      <c r="L59" s="942"/>
      <c r="M59" s="942"/>
      <c r="N59" s="942"/>
      <c r="O59" s="942"/>
    </row>
    <row r="60" spans="1:17" s="692" customFormat="1" ht="15" thickBot="1">
      <c r="A60" s="693" t="s">
        <v>2765</v>
      </c>
      <c r="B60" s="262" t="e">
        <f t="shared" si="17"/>
        <v>#DIV/0!</v>
      </c>
      <c r="C60" s="200">
        <f t="shared" si="16"/>
        <v>0.25</v>
      </c>
      <c r="D60" s="1165">
        <v>0.25</v>
      </c>
      <c r="E60" s="261">
        <f>'数据-汇总表'!E15</f>
        <v>0</v>
      </c>
      <c r="F60" s="691" t="e">
        <f t="shared" si="15"/>
        <v>#DIV/0!</v>
      </c>
      <c r="G60" s="2705" t="s">
        <v>2759</v>
      </c>
      <c r="H60" s="1115" t="str">
        <f>项目基本情况!C37</f>
        <v>二级</v>
      </c>
      <c r="I60" s="943">
        <f>SUMIF(修正!A45:A56,H60,修正!H45:H56)</f>
        <v>0.25</v>
      </c>
      <c r="J60" s="944"/>
      <c r="K60" s="1145"/>
      <c r="L60" s="942"/>
      <c r="M60" s="942"/>
      <c r="N60" s="942"/>
      <c r="O60" s="942"/>
    </row>
    <row r="61" spans="1:17" s="692" customFormat="1" ht="15" thickBot="1">
      <c r="A61" s="695" t="s">
        <v>2766</v>
      </c>
      <c r="B61" s="696" t="s">
        <v>28</v>
      </c>
      <c r="C61" s="696" t="s">
        <v>29</v>
      </c>
      <c r="D61" s="696" t="s">
        <v>1029</v>
      </c>
      <c r="E61" s="696">
        <f>IF(B41="楼面地价",SUM(E51:E60),'数据-汇总表'!D3)</f>
        <v>11147.87</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2660</v>
      </c>
      <c r="B64" s="759"/>
      <c r="C64" s="764"/>
      <c r="D64" s="764"/>
      <c r="E64" s="764"/>
      <c r="F64" s="765"/>
      <c r="G64" s="765"/>
      <c r="H64" s="764"/>
      <c r="I64" s="764"/>
      <c r="J64" s="764"/>
      <c r="K64" s="766"/>
      <c r="L64" s="767"/>
      <c r="M64" s="764"/>
      <c r="N64" s="764"/>
      <c r="O64" s="1160"/>
      <c r="P64" s="503"/>
      <c r="Q64" s="504"/>
    </row>
    <row r="65" spans="1:17" s="508" customFormat="1" ht="15">
      <c r="A65" s="2706" t="s">
        <v>2767</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1" t="s">
        <v>2786</v>
      </c>
      <c r="B66" s="332" t="str">
        <f>"北京市平均增长率"&amp;TEXT('基准地价修正（商业）'!P24,"0.00%")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2574</v>
      </c>
      <c r="B70" s="528" t="s">
        <v>2540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2549</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2776</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2778</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2779</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08" t="str">
        <f>项目基本情况!S2</f>
        <v>北京市朝阳区东三环中路61号楼“富力万丽酒店”酒店、商业、地下车库、地下仓储用房房地产</v>
      </c>
      <c r="B2" s="3209"/>
      <c r="C2" s="3209"/>
      <c r="D2" s="3209"/>
      <c r="E2" s="3209"/>
      <c r="F2" s="3209"/>
      <c r="G2" s="3209"/>
      <c r="H2" s="3209"/>
      <c r="I2" s="3210"/>
    </row>
    <row r="3" spans="1:12" ht="12.75">
      <c r="A3" s="3211" t="s">
        <v>2105</v>
      </c>
      <c r="B3" s="3212"/>
      <c r="C3" s="3212"/>
      <c r="D3" s="3212"/>
      <c r="E3" s="3212"/>
      <c r="F3" s="3212"/>
      <c r="G3" s="3212"/>
      <c r="H3" s="3212"/>
      <c r="I3" s="3212"/>
    </row>
    <row r="4" spans="1:12" ht="14.25">
      <c r="A4" s="2418" t="s">
        <v>2106</v>
      </c>
      <c r="B4" s="2419" t="s">
        <v>2107</v>
      </c>
      <c r="C4" s="2420"/>
      <c r="D4" s="2420"/>
      <c r="E4" s="3213" t="s">
        <v>2108</v>
      </c>
      <c r="F4" s="3214"/>
      <c r="G4" s="3214"/>
      <c r="H4" s="3214"/>
      <c r="I4" s="3215"/>
      <c r="K4" s="2421" t="str">
        <f>IF(ISNUMBER(FIND("比较法",'结果表（库房）'!C4)),"比较法",IF(ISNUMBER(FIND("成本法",'结果表（库房）'!C4)),"成本法",IF(ISNUMBER(FIND("假设开发法",'结果表（库房）'!C4)),"假设开发法",IF(ISNUMBER(FIND("收益法",'结果表（库房）'!C4)),"收益法","基准地价系数修正法"))))</f>
        <v>基准地价系数修正法</v>
      </c>
      <c r="L4" s="2421" t="str">
        <f>IF(ISNUMBER(FIND("比较法",'结果表（库房）'!D4)),"比较法",IF(ISNUMBER(FIND("成本法",'结果表（库房）'!D4)),"成本法",IF(ISNUMBER(FIND("假设开发法",'结果表（库房）'!D4)),"假设开发法",IF(ISNUMBER(FIND("收益法",'结果表（库房）'!D4)),"收益法","基准地价系数修正法"))))</f>
        <v>基准地价系数修正法</v>
      </c>
    </row>
    <row r="5" spans="1:12" ht="12.75">
      <c r="A5" s="3204" t="s">
        <v>2109</v>
      </c>
      <c r="B5" s="3126">
        <v>25</v>
      </c>
      <c r="C5" s="3205"/>
      <c r="D5" s="3207"/>
      <c r="E5" s="140" t="s">
        <v>2110</v>
      </c>
      <c r="F5" s="2422"/>
      <c r="G5" s="2422"/>
      <c r="H5" s="2422"/>
      <c r="I5" s="1829"/>
    </row>
    <row r="6" spans="1:12" ht="12.75">
      <c r="A6" s="3204"/>
      <c r="B6" s="3126"/>
      <c r="C6" s="3216"/>
      <c r="D6" s="3207"/>
      <c r="E6" s="140" t="s">
        <v>2111</v>
      </c>
      <c r="F6" s="2422"/>
      <c r="G6" s="2422"/>
      <c r="H6" s="2422"/>
      <c r="I6" s="1829"/>
    </row>
    <row r="7" spans="1:12" ht="12.75">
      <c r="A7" s="3204"/>
      <c r="B7" s="3126"/>
      <c r="C7" s="3206"/>
      <c r="D7" s="3207"/>
      <c r="E7" s="140" t="s">
        <v>2112</v>
      </c>
      <c r="F7" s="2422"/>
      <c r="G7" s="2422"/>
      <c r="H7" s="2422"/>
      <c r="I7" s="1829"/>
    </row>
    <row r="8" spans="1:12" ht="12.75">
      <c r="A8" s="3204" t="s">
        <v>2113</v>
      </c>
      <c r="B8" s="3126">
        <v>15</v>
      </c>
      <c r="C8" s="3205"/>
      <c r="D8" s="3207"/>
      <c r="E8" s="140" t="s">
        <v>2114</v>
      </c>
      <c r="F8" s="2422"/>
      <c r="G8" s="2422"/>
      <c r="H8" s="2422"/>
      <c r="I8" s="1829"/>
    </row>
    <row r="9" spans="1:12" ht="12.75">
      <c r="A9" s="3204"/>
      <c r="B9" s="3126"/>
      <c r="C9" s="3206"/>
      <c r="D9" s="3207"/>
      <c r="E9" s="140" t="s">
        <v>2115</v>
      </c>
      <c r="F9" s="2422"/>
      <c r="G9" s="2422"/>
      <c r="H9" s="2422"/>
      <c r="I9" s="1829"/>
    </row>
    <row r="10" spans="1:12" ht="12.75">
      <c r="A10" s="3204" t="s">
        <v>2116</v>
      </c>
      <c r="B10" s="3126">
        <v>15</v>
      </c>
      <c r="C10" s="3205"/>
      <c r="D10" s="3207"/>
      <c r="E10" s="140" t="s">
        <v>2117</v>
      </c>
      <c r="F10" s="2422"/>
      <c r="G10" s="2422"/>
      <c r="H10" s="2422"/>
      <c r="I10" s="1829"/>
    </row>
    <row r="11" spans="1:12" ht="12.75">
      <c r="A11" s="3204"/>
      <c r="B11" s="3126"/>
      <c r="C11" s="3206"/>
      <c r="D11" s="3207"/>
      <c r="E11" s="140" t="s">
        <v>2118</v>
      </c>
      <c r="F11" s="2422"/>
      <c r="G11" s="2422"/>
      <c r="H11" s="2422"/>
      <c r="I11" s="1829"/>
    </row>
    <row r="12" spans="1:12" ht="12.75">
      <c r="A12" s="3204" t="s">
        <v>2119</v>
      </c>
      <c r="B12" s="3126">
        <v>15</v>
      </c>
      <c r="C12" s="3205"/>
      <c r="D12" s="3207"/>
      <c r="E12" s="140" t="s">
        <v>2120</v>
      </c>
      <c r="F12" s="2422"/>
      <c r="G12" s="2422"/>
      <c r="H12" s="2422"/>
      <c r="I12" s="1829"/>
    </row>
    <row r="13" spans="1:12" ht="12.75">
      <c r="A13" s="3204"/>
      <c r="B13" s="3126"/>
      <c r="C13" s="3206"/>
      <c r="D13" s="3207"/>
      <c r="E13" s="140" t="s">
        <v>2121</v>
      </c>
      <c r="F13" s="2422"/>
      <c r="G13" s="2422"/>
      <c r="H13" s="2422"/>
      <c r="I13" s="1829"/>
    </row>
    <row r="14" spans="1:12" ht="12.75">
      <c r="A14" s="3204" t="s">
        <v>2122</v>
      </c>
      <c r="B14" s="3126">
        <v>30</v>
      </c>
      <c r="C14" s="3205"/>
      <c r="D14" s="3207"/>
      <c r="E14" s="140" t="s">
        <v>2123</v>
      </c>
      <c r="F14" s="2422"/>
      <c r="G14" s="2422"/>
      <c r="H14" s="2422"/>
      <c r="I14" s="1829"/>
    </row>
    <row r="15" spans="1:12" ht="12.75">
      <c r="A15" s="3204"/>
      <c r="B15" s="3126"/>
      <c r="C15" s="3216"/>
      <c r="D15" s="3207"/>
      <c r="E15" s="140" t="s">
        <v>2124</v>
      </c>
      <c r="F15" s="2422"/>
      <c r="G15" s="2422"/>
      <c r="H15" s="2422"/>
      <c r="I15" s="1829"/>
    </row>
    <row r="16" spans="1:12" ht="12.75">
      <c r="A16" s="3204"/>
      <c r="B16" s="3126"/>
      <c r="C16" s="3206"/>
      <c r="D16" s="3207"/>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SUMIF(INDIRECT("'"&amp;C4&amp;"'"&amp;"!A:A"),'结果表（库房）'!B19,INDIRECT("'"&amp;C4&amp;"'"&amp;"!B:B"))</f>
        <v>#REF!</v>
      </c>
      <c r="D19" s="144" t="e">
        <f ca="1">SUMIF(INDIRECT("'"&amp;D4&amp;"'"&amp;"!A:A"),'结果表（库房）'!B19,INDIRECT("'"&amp;D4&amp;"'"&amp;"!B:B"))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SUMIF(INDIRECT("'"&amp;C4&amp;"'"&amp;"!A:A"),'结果表（库房）'!B20,INDIRECT("'"&amp;C4&amp;"'"&amp;"!B:B"))</f>
        <v>#REF!</v>
      </c>
      <c r="D20" s="147" t="e">
        <f ca="1">SUMIF(INDIRECT("'"&amp;D4&amp;"'"&amp;"!A:A"),'结果表（库房）'!B20,INDIRECT("'"&amp;D4&amp;"'"&amp;"!B:B"))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17" t="s">
        <v>2140</v>
      </c>
      <c r="B24" s="2428" t="s">
        <v>2132</v>
      </c>
      <c r="C24" s="145">
        <f>IF(B30=0,0,D30)</f>
        <v>0</v>
      </c>
      <c r="D24" s="2435"/>
      <c r="E24" s="138"/>
      <c r="F24" s="138"/>
      <c r="G24" s="138"/>
      <c r="H24" s="138"/>
      <c r="I24" s="138"/>
    </row>
    <row r="25" spans="1:35" ht="14.25">
      <c r="A25" s="3218"/>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19" t="s">
        <v>2154</v>
      </c>
      <c r="B36" s="2454" t="s">
        <v>2155</v>
      </c>
      <c r="C36" s="154"/>
      <c r="D36" s="2455"/>
      <c r="E36" s="2456"/>
      <c r="F36" s="2457"/>
      <c r="G36" s="138"/>
      <c r="H36" s="138"/>
      <c r="I36" s="138"/>
    </row>
    <row r="37" spans="1:15" ht="15.75" thickBot="1">
      <c r="A37" s="3220"/>
      <c r="B37" s="2261" t="s">
        <v>2156</v>
      </c>
      <c r="C37" s="156"/>
      <c r="D37" s="1392"/>
      <c r="E37" s="1392"/>
      <c r="F37" s="2457"/>
      <c r="G37" s="138"/>
      <c r="H37" s="138"/>
      <c r="I37" s="138"/>
    </row>
    <row r="38" spans="1:15" ht="15.75" thickBot="1">
      <c r="A38" s="3221"/>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2" t="s">
        <v>2168</v>
      </c>
      <c r="B45" s="3223"/>
      <c r="C45" s="3224"/>
      <c r="D45" s="164" t="e">
        <f ca="1">ROUND(H101*F45,0)</f>
        <v>#REF!</v>
      </c>
      <c r="E45" s="165" t="s">
        <v>2169</v>
      </c>
      <c r="F45" s="166">
        <v>1</v>
      </c>
      <c r="G45" s="167" t="s">
        <v>2170</v>
      </c>
      <c r="H45" s="138"/>
      <c r="I45" s="138"/>
      <c r="J45" s="3225" t="s">
        <v>2171</v>
      </c>
      <c r="K45" s="3225"/>
      <c r="L45" s="3225"/>
      <c r="M45" s="3225"/>
      <c r="N45" s="3225"/>
      <c r="O45" s="3225"/>
    </row>
    <row r="46" spans="1:15" ht="14.25" customHeight="1">
      <c r="A46" s="3226" t="s">
        <v>2172</v>
      </c>
      <c r="B46" s="3227"/>
      <c r="C46" s="3227"/>
      <c r="D46" s="3227"/>
      <c r="E46" s="3227"/>
      <c r="F46" s="3227"/>
      <c r="G46" s="3228"/>
      <c r="H46" s="2473"/>
      <c r="I46" s="168"/>
      <c r="J46" s="2946">
        <v>1</v>
      </c>
      <c r="K46" s="3225" t="s">
        <v>2173</v>
      </c>
      <c r="L46" s="3225"/>
      <c r="M46" s="3229"/>
      <c r="N46" s="3229"/>
      <c r="O46" s="3229"/>
    </row>
    <row r="47" spans="1:15" ht="12" customHeight="1">
      <c r="A47" s="169" t="s">
        <v>2174</v>
      </c>
      <c r="B47" s="170"/>
      <c r="C47" s="171"/>
      <c r="D47" s="172" t="s">
        <v>2175</v>
      </c>
      <c r="E47" s="24" t="s">
        <v>2176</v>
      </c>
      <c r="F47" s="173" t="s">
        <v>2177</v>
      </c>
      <c r="G47" s="174" t="s">
        <v>2178</v>
      </c>
      <c r="H47" s="2473"/>
      <c r="I47" s="168"/>
      <c r="J47" s="2946">
        <v>2</v>
      </c>
      <c r="K47" s="3225" t="s">
        <v>2179</v>
      </c>
      <c r="L47" s="3225"/>
      <c r="M47" s="3230">
        <f>'数据-取费表'!B2</f>
        <v>43581</v>
      </c>
      <c r="N47" s="3230"/>
      <c r="O47" s="3230"/>
    </row>
    <row r="48" spans="1:15" ht="25.5">
      <c r="A48" s="3231" t="s">
        <v>2180</v>
      </c>
      <c r="B48" s="3232"/>
      <c r="C48" s="3232"/>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25" t="s">
        <v>2183</v>
      </c>
      <c r="L48" s="3225"/>
      <c r="M48" s="3233" t="e">
        <f ca="1">H101</f>
        <v>#REF!</v>
      </c>
      <c r="N48" s="3233"/>
      <c r="O48" s="3233"/>
    </row>
    <row r="49" spans="1:35" ht="25.5" customHeight="1">
      <c r="A49" s="176" t="s">
        <v>2184</v>
      </c>
      <c r="B49" s="3234" t="s">
        <v>2185</v>
      </c>
      <c r="C49" s="3234"/>
      <c r="D49" s="177">
        <v>0</v>
      </c>
      <c r="E49" s="23" t="s">
        <v>2186</v>
      </c>
      <c r="F49" s="28" t="s">
        <v>34</v>
      </c>
      <c r="G49" s="3235"/>
      <c r="H49" s="138"/>
      <c r="I49" s="2476"/>
      <c r="J49" s="2946">
        <v>4</v>
      </c>
      <c r="K49" s="3225" t="str">
        <f>IF(项目基本情况!E8="房地产抵押价值","房地产抵押价值","抵押担保权已注销时的房地产抵押价值")</f>
        <v>房地产抵押价值</v>
      </c>
      <c r="L49" s="3225"/>
      <c r="M49" s="3233" t="e">
        <f ca="1">IF(项目基本情况!E8="房地产抵押价值",H107,H109)</f>
        <v>#REF!</v>
      </c>
      <c r="N49" s="3233"/>
      <c r="O49" s="3233"/>
    </row>
    <row r="50" spans="1:35" ht="25.5" customHeight="1">
      <c r="A50" s="178"/>
      <c r="B50" s="3234" t="s">
        <v>2187</v>
      </c>
      <c r="C50" s="3234"/>
      <c r="D50" s="179"/>
      <c r="E50" s="31"/>
      <c r="F50" s="180"/>
      <c r="G50" s="3236"/>
      <c r="H50" s="138"/>
      <c r="I50" s="2476"/>
      <c r="J50" s="3225" t="s">
        <v>2188</v>
      </c>
      <c r="K50" s="3225"/>
      <c r="L50" s="3225"/>
      <c r="M50" s="3225"/>
      <c r="N50" s="3225"/>
      <c r="O50" s="3225"/>
    </row>
    <row r="51" spans="1:35" ht="12" customHeight="1">
      <c r="A51" s="181"/>
      <c r="B51" s="3234" t="s">
        <v>2189</v>
      </c>
      <c r="C51" s="3234"/>
      <c r="D51" s="182"/>
      <c r="E51" s="30"/>
      <c r="F51" s="180"/>
      <c r="G51" s="3237"/>
      <c r="H51" s="138"/>
      <c r="I51" s="2476"/>
      <c r="J51" s="2939" t="s">
        <v>2190</v>
      </c>
      <c r="K51" s="3225" t="s">
        <v>2191</v>
      </c>
      <c r="L51" s="3225"/>
      <c r="M51" s="2939" t="s">
        <v>2192</v>
      </c>
      <c r="N51" s="2939" t="s">
        <v>2193</v>
      </c>
      <c r="O51" s="2939" t="s">
        <v>2194</v>
      </c>
    </row>
    <row r="52" spans="1:35" ht="24" customHeight="1">
      <c r="A52" s="183" t="s">
        <v>2195</v>
      </c>
      <c r="B52" s="3234" t="s">
        <v>2196</v>
      </c>
      <c r="C52" s="3234"/>
      <c r="D52" s="182" t="e">
        <f ca="1">ROUND(D45*'数据-取费表'!B41/(1+'数据-取费表'!C42),0)</f>
        <v>#REF!</v>
      </c>
      <c r="E52" s="11" t="s">
        <v>2197</v>
      </c>
      <c r="F52" s="184">
        <f>'数据-取费表'!B41</f>
        <v>5.6000000000000001E-2</v>
      </c>
      <c r="G52" s="2478"/>
      <c r="H52" s="138"/>
      <c r="I52" s="2476"/>
      <c r="J52" s="2946">
        <v>1</v>
      </c>
      <c r="K52" s="3240" t="s">
        <v>2198</v>
      </c>
      <c r="L52" s="3240"/>
      <c r="M52" s="1750">
        <f>D48</f>
        <v>0</v>
      </c>
      <c r="N52" s="2946" t="str">
        <f>E48</f>
        <v>销售额×税（费）率</v>
      </c>
      <c r="O52" s="1751" t="str">
        <f>F48</f>
        <v>免征</v>
      </c>
    </row>
    <row r="53" spans="1:35" ht="12" customHeight="1">
      <c r="A53" s="183" t="s">
        <v>2199</v>
      </c>
      <c r="B53" s="3238" t="s">
        <v>2200</v>
      </c>
      <c r="C53" s="3239"/>
      <c r="D53" s="182" t="e">
        <f ca="1">ROUND(D45*'数据-取费表'!B41/(1+'数据-取费表'!C42),0)</f>
        <v>#REF!</v>
      </c>
      <c r="E53" s="11" t="s">
        <v>2197</v>
      </c>
      <c r="F53" s="184">
        <f>'数据-取费表'!B41</f>
        <v>5.6000000000000001E-2</v>
      </c>
      <c r="G53" s="2478"/>
      <c r="H53" s="138"/>
      <c r="I53" s="2476"/>
      <c r="J53" s="2946">
        <v>2</v>
      </c>
      <c r="K53" s="3240" t="s">
        <v>2201</v>
      </c>
      <c r="L53" s="3240"/>
      <c r="M53" s="1750" t="e">
        <f t="shared" ref="M53:O54" ca="1" si="0">D55</f>
        <v>#REF!</v>
      </c>
      <c r="N53" s="2946" t="str">
        <f t="shared" si="0"/>
        <v>销售额×税（费）率</v>
      </c>
      <c r="O53" s="1751">
        <f t="shared" si="0"/>
        <v>5.0000000000000001E-4</v>
      </c>
    </row>
    <row r="54" spans="1:35" ht="12" customHeight="1">
      <c r="A54" s="183" t="s">
        <v>2202</v>
      </c>
      <c r="B54" s="3238" t="s">
        <v>2203</v>
      </c>
      <c r="C54" s="3239"/>
      <c r="D54" s="182" t="e">
        <f ca="1">C68</f>
        <v>#REF!</v>
      </c>
      <c r="E54" s="30" t="s">
        <v>2204</v>
      </c>
      <c r="F54" s="184">
        <f>'数据-取费表'!B41</f>
        <v>5.6000000000000001E-2</v>
      </c>
      <c r="G54" s="2478"/>
      <c r="H54" s="2479"/>
      <c r="I54" s="2476"/>
      <c r="J54" s="2946">
        <v>3</v>
      </c>
      <c r="K54" s="3240" t="s">
        <v>2205</v>
      </c>
      <c r="L54" s="3240"/>
      <c r="M54" s="1750" t="e">
        <f t="shared" ca="1" si="0"/>
        <v>#REF!</v>
      </c>
      <c r="N54" s="2946" t="str">
        <f t="shared" si="0"/>
        <v>增值额×税（费）率</v>
      </c>
      <c r="O54" s="1752" t="str">
        <f t="shared" si="0"/>
        <v>——</v>
      </c>
    </row>
    <row r="55" spans="1:35" ht="24" customHeight="1">
      <c r="A55" s="3241" t="s">
        <v>2206</v>
      </c>
      <c r="B55" s="3232"/>
      <c r="C55" s="3232"/>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40" t="str">
        <f>IF(H59="非个人房产","——","个人所得税")</f>
        <v>——</v>
      </c>
      <c r="L55" s="3240"/>
      <c r="M55" s="1753" t="str">
        <f>D59</f>
        <v>——</v>
      </c>
      <c r="N55" s="2947" t="str">
        <f>E59</f>
        <v>——</v>
      </c>
      <c r="O55" s="1754" t="str">
        <f>F59</f>
        <v>——</v>
      </c>
    </row>
    <row r="56" spans="1:35" ht="24.75">
      <c r="A56" s="3241" t="s">
        <v>2209</v>
      </c>
      <c r="B56" s="3232"/>
      <c r="C56" s="3232"/>
      <c r="D56" s="185" t="e">
        <f ca="1">IF(H56="个人住宅",D57,D58)</f>
        <v>#REF!</v>
      </c>
      <c r="E56" s="11" t="s">
        <v>2210</v>
      </c>
      <c r="F56" s="184" t="str">
        <f>IF(H56="正常",F58,"免征")</f>
        <v>——</v>
      </c>
      <c r="G56" s="2480" t="s">
        <v>2211</v>
      </c>
      <c r="H56" s="2481" t="s">
        <v>2208</v>
      </c>
      <c r="I56" s="2482"/>
      <c r="J56" s="2946" t="str">
        <f>IF(项目基本情况!K6="上海银行",IF(J55="",4,J55+1),"")</f>
        <v/>
      </c>
      <c r="K56" s="3242" t="str">
        <f>IF(项目基本情况!K6="上海银行","其他处置费用","")</f>
        <v/>
      </c>
      <c r="L56" s="3243"/>
      <c r="M56" s="1750" t="str">
        <f>IF(项目基本情况!K6="上海银行",M69,"")</f>
        <v/>
      </c>
      <c r="N56" s="3250" t="str">
        <f>IF(项目基本情况!K6="上海银行","包含处置中涉及的律师、诉讼、拍卖、评估等费用","")</f>
        <v/>
      </c>
      <c r="O56" s="3251"/>
    </row>
    <row r="57" spans="1:35" ht="12.75">
      <c r="A57" s="183" t="s">
        <v>2184</v>
      </c>
      <c r="B57" s="3213" t="s">
        <v>2212</v>
      </c>
      <c r="C57" s="3215"/>
      <c r="D57" s="187">
        <v>0</v>
      </c>
      <c r="E57" s="23" t="s">
        <v>2186</v>
      </c>
      <c r="F57" s="155"/>
      <c r="G57" s="2478"/>
      <c r="H57" s="2482"/>
      <c r="I57" s="2482"/>
      <c r="J57" s="3240">
        <f>IF(AND(J55="",J56=""),4,IF(项目基本情况!K6="上海银行",'结果表（库房）'!J56+1,'结果表（库房）'!J55+1))</f>
        <v>4</v>
      </c>
      <c r="K57" s="3240" t="s">
        <v>2213</v>
      </c>
      <c r="L57" s="2483" t="s">
        <v>2214</v>
      </c>
      <c r="M57" s="1755"/>
      <c r="N57" s="1756">
        <f ca="1">SUMIF(M52:M56,"&lt;9e307")</f>
        <v>0</v>
      </c>
      <c r="O57" s="2484"/>
      <c r="P57" s="1749" t="e">
        <f ca="1">N57/M49</f>
        <v>#REF!</v>
      </c>
    </row>
    <row r="58" spans="1:35" ht="24.75">
      <c r="A58" s="183" t="s">
        <v>2195</v>
      </c>
      <c r="B58" s="3213" t="s">
        <v>2215</v>
      </c>
      <c r="C58" s="3214"/>
      <c r="D58" s="185" t="e">
        <f ca="1">IF(H58="转让取得",C81,C97)</f>
        <v>#REF!</v>
      </c>
      <c r="E58" s="11" t="s">
        <v>2210</v>
      </c>
      <c r="F58" s="24" t="s">
        <v>34</v>
      </c>
      <c r="G58" s="2478"/>
      <c r="H58" s="2481" t="s">
        <v>2216</v>
      </c>
      <c r="I58" s="2482"/>
      <c r="J58" s="3240"/>
      <c r="K58" s="3240"/>
      <c r="L58" s="2483" t="s">
        <v>2217</v>
      </c>
      <c r="M58" s="1757"/>
      <c r="N58" s="2485" t="str">
        <f ca="1">NUMBERSTRING(INT(N57*10000),2)&amp;"元整"</f>
        <v>零元整</v>
      </c>
      <c r="O58" s="2486"/>
    </row>
    <row r="59" spans="1:35" ht="24.75" thickBot="1">
      <c r="A59" s="3252" t="s">
        <v>2218</v>
      </c>
      <c r="B59" s="3253"/>
      <c r="C59" s="3253"/>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4">
        <f>J57+1</f>
        <v>5</v>
      </c>
      <c r="K59" s="3240" t="s">
        <v>2220</v>
      </c>
      <c r="L59" s="2946" t="s">
        <v>2214</v>
      </c>
      <c r="M59" s="1758"/>
      <c r="N59" s="1759" t="e">
        <f ca="1">M49-N57</f>
        <v>#REF!</v>
      </c>
      <c r="O59" s="2488"/>
    </row>
    <row r="60" spans="1:35" ht="12" customHeight="1">
      <c r="A60" s="2489"/>
      <c r="B60" s="2411"/>
      <c r="C60" s="2411"/>
      <c r="D60" s="2411"/>
      <c r="E60" s="2161"/>
      <c r="F60" s="2482"/>
      <c r="G60" s="2482"/>
      <c r="H60" s="2490"/>
      <c r="I60" s="138"/>
      <c r="J60" s="3255"/>
      <c r="K60" s="3240"/>
      <c r="L60" s="2483" t="s">
        <v>2217</v>
      </c>
      <c r="M60" s="1757"/>
      <c r="N60" s="2485" t="e">
        <f ca="1">NUMBERSTRING(INT(N59*10000),2)&amp;"元整"</f>
        <v>#REF!</v>
      </c>
      <c r="O60" s="2486"/>
    </row>
    <row r="61" spans="1:35" ht="13.5" thickBot="1">
      <c r="A61" s="3244" t="s">
        <v>2221</v>
      </c>
      <c r="B61" s="3244"/>
      <c r="C61" s="3244"/>
      <c r="D61" s="3244"/>
      <c r="E61" s="3244"/>
      <c r="F61" s="2482"/>
      <c r="G61" s="2482"/>
      <c r="H61" s="2490"/>
      <c r="I61" s="138"/>
      <c r="J61" s="2946">
        <f>J59+1</f>
        <v>6</v>
      </c>
      <c r="K61" s="3240" t="s">
        <v>2222</v>
      </c>
      <c r="L61" s="3240"/>
      <c r="M61" s="1760"/>
      <c r="N61" s="1761" t="e">
        <f ca="1">ROUND(N59*10000/'数据-汇总表'!E3,0)</f>
        <v>#REF!</v>
      </c>
      <c r="O61" s="2491"/>
    </row>
    <row r="62" spans="1:35" ht="12.75">
      <c r="A62" s="3245" t="s">
        <v>2223</v>
      </c>
      <c r="B62" s="3246"/>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47"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47"/>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47"/>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47"/>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47"/>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47"/>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47"/>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8" t="s">
        <v>2242</v>
      </c>
      <c r="B70" s="3249"/>
      <c r="C70" s="3249"/>
      <c r="D70" s="3249"/>
      <c r="E70" s="3249"/>
      <c r="F70" s="3249"/>
      <c r="G70" s="3249"/>
      <c r="H70" s="324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5" t="s">
        <v>2223</v>
      </c>
      <c r="B71" s="3246"/>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8" t="s">
        <v>2251</v>
      </c>
      <c r="F76" s="3234"/>
      <c r="G76" s="3234"/>
      <c r="H76" s="32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56" t="s">
        <v>2256</v>
      </c>
      <c r="F78" s="3257"/>
      <c r="G78" s="3257"/>
      <c r="H78" s="325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8" t="s">
        <v>2260</v>
      </c>
      <c r="B83" s="3249"/>
      <c r="C83" s="3249"/>
      <c r="D83" s="3249"/>
      <c r="E83" s="3249"/>
      <c r="F83" s="3249"/>
      <c r="G83" s="3249"/>
      <c r="H83" s="324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5" t="s">
        <v>2223</v>
      </c>
      <c r="B84" s="3246"/>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6" t="s">
        <v>2269</v>
      </c>
      <c r="F91" s="3257"/>
      <c r="G91" s="3257"/>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6" t="s">
        <v>2273</v>
      </c>
      <c r="F92" s="3257"/>
      <c r="G92" s="3257"/>
      <c r="H92" s="325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56" t="s">
        <v>2256</v>
      </c>
      <c r="F93" s="3257"/>
      <c r="G93" s="3257"/>
      <c r="H93" s="325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9" t="s">
        <v>2277</v>
      </c>
      <c r="F94" s="3260"/>
      <c r="G94" s="3260"/>
      <c r="H94" s="326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62"/>
      <c r="E100" s="3168" t="s">
        <v>2280</v>
      </c>
      <c r="F100" s="3168"/>
      <c r="G100" s="3168"/>
      <c r="H100" s="3262"/>
      <c r="I100" s="138"/>
    </row>
    <row r="101" spans="1:35" ht="18.75" customHeight="1">
      <c r="A101" s="3263" t="s">
        <v>2281</v>
      </c>
      <c r="B101" s="3264"/>
      <c r="C101" s="736">
        <f>C4</f>
        <v>0</v>
      </c>
      <c r="D101" s="737">
        <f>D4</f>
        <v>0</v>
      </c>
      <c r="E101" s="3265" t="s">
        <v>2282</v>
      </c>
      <c r="F101" s="3266"/>
      <c r="G101" s="2513" t="s">
        <v>2283</v>
      </c>
      <c r="H101" s="1046" t="e">
        <f ca="1">H118</f>
        <v>#REF!</v>
      </c>
      <c r="I101" s="138"/>
    </row>
    <row r="102" spans="1:35" ht="18.75" customHeight="1">
      <c r="A102" s="3267" t="s">
        <v>2284</v>
      </c>
      <c r="B102" s="2513" t="s">
        <v>2283</v>
      </c>
      <c r="C102" s="736" t="e">
        <f ca="1">C19</f>
        <v>#REF!</v>
      </c>
      <c r="D102" s="737" t="e">
        <f ca="1">D19</f>
        <v>#REF!</v>
      </c>
      <c r="E102" s="3265"/>
      <c r="F102" s="3266"/>
      <c r="G102" s="2513" t="s">
        <v>2285</v>
      </c>
      <c r="H102" s="371" t="e">
        <f ca="1">I118</f>
        <v>#REF!</v>
      </c>
      <c r="I102" s="138"/>
    </row>
    <row r="103" spans="1:35" ht="42.75" customHeight="1">
      <c r="A103" s="3267"/>
      <c r="B103" s="2513" t="s">
        <v>2285</v>
      </c>
      <c r="C103" s="738" t="e">
        <f ca="1">C20</f>
        <v>#REF!</v>
      </c>
      <c r="D103" s="739" t="e">
        <f ca="1">D20</f>
        <v>#REF!</v>
      </c>
      <c r="E103" s="3268" t="s">
        <v>2286</v>
      </c>
      <c r="F103" s="3269"/>
      <c r="G103" s="2514" t="s">
        <v>2287</v>
      </c>
      <c r="H103" s="1046">
        <f>IF(D36="正常操作",H104+H105+H106,H105+H106)</f>
        <v>0</v>
      </c>
      <c r="I103" s="138"/>
    </row>
    <row r="104" spans="1:35" ht="18.75" customHeight="1">
      <c r="A104" s="3267"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76"/>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7" t="str">
        <f>IF(项目基本情况!E8="已注销","——","3.房地产抵押价值")</f>
        <v>3.房地产抵押价值</v>
      </c>
      <c r="F107" s="3266"/>
      <c r="G107" s="2513" t="s">
        <v>2283</v>
      </c>
      <c r="H107" s="1046" t="e">
        <f ca="1">IF(E107="——","——",H101-H103)</f>
        <v>#REF!</v>
      </c>
      <c r="I107" s="138"/>
    </row>
    <row r="108" spans="1:35" ht="18.75" customHeight="1">
      <c r="A108" s="138"/>
      <c r="B108" s="138"/>
      <c r="C108" s="138"/>
      <c r="D108" s="138"/>
      <c r="E108" s="3277"/>
      <c r="F108" s="3266"/>
      <c r="G108" s="2513" t="s">
        <v>2285</v>
      </c>
      <c r="H108" s="371" t="e">
        <f ca="1">ROUND(H107*10000/'数据-汇总表'!E3,0)</f>
        <v>#REF!</v>
      </c>
      <c r="I108" s="138"/>
    </row>
    <row r="109" spans="1:35" ht="18.75" customHeight="1">
      <c r="A109" s="138"/>
      <c r="B109" s="138"/>
      <c r="C109" s="138"/>
      <c r="D109" s="138"/>
      <c r="E109" s="3277" t="str">
        <f>IF(项目基本情况!E8="已注销及未注销","4.抵押担保权已注销时的房地产抵押价值",IF(项目基本情况!E8="已注销","3.抵押担保权已注销时的房地产抵押价值","——"))</f>
        <v>——</v>
      </c>
      <c r="F109" s="3266"/>
      <c r="G109" s="2513" t="s">
        <v>2283</v>
      </c>
      <c r="H109" s="348" t="str">
        <f>IF(E109="——","——",H101-H105-H106)</f>
        <v>——</v>
      </c>
      <c r="I109" s="138"/>
    </row>
    <row r="110" spans="1:35" ht="18.75" customHeight="1">
      <c r="A110" s="138"/>
      <c r="B110" s="138"/>
      <c r="C110" s="138"/>
      <c r="D110" s="138"/>
      <c r="E110" s="3277"/>
      <c r="F110" s="3266"/>
      <c r="G110" s="2513" t="s">
        <v>2285</v>
      </c>
      <c r="H110" s="371" t="str">
        <f>IF(H109="——","——",ROUND(H109*10000/'数据-汇总表'!E3,0))</f>
        <v>——</v>
      </c>
      <c r="I110" s="138"/>
    </row>
    <row r="111" spans="1:35" ht="18.75" customHeight="1">
      <c r="A111" s="138"/>
      <c r="B111" s="138"/>
      <c r="C111" s="138"/>
      <c r="D111" s="138"/>
      <c r="E111" s="3278" t="str">
        <f>IF(项目基本情况!E9="抵押净值",IF(OR(项目基本情况!E8="已注销",项目基本情况!E8="房地产抵押价值"),"4.抵押净值","5.抵押净值"),"——")</f>
        <v>——</v>
      </c>
      <c r="F111" s="3279"/>
      <c r="G111" s="2513" t="s">
        <v>2283</v>
      </c>
      <c r="H111" s="1046" t="str">
        <f>IF(E111="——","——",N59)</f>
        <v>——</v>
      </c>
      <c r="I111" s="138"/>
    </row>
    <row r="112" spans="1:35" ht="18.75" customHeight="1" thickBot="1">
      <c r="A112" s="138"/>
      <c r="B112" s="138"/>
      <c r="C112" s="138"/>
      <c r="D112" s="138"/>
      <c r="E112" s="3280"/>
      <c r="F112" s="3281"/>
      <c r="G112" s="2518" t="s">
        <v>2285</v>
      </c>
      <c r="H112" s="790" t="str">
        <f>IF(E111="——","——",N61)</f>
        <v>——</v>
      </c>
      <c r="I112" s="138"/>
    </row>
    <row r="113" spans="1:11" ht="18.75" customHeight="1">
      <c r="A113" s="138"/>
      <c r="B113" s="138"/>
      <c r="C113" s="138"/>
      <c r="D113" s="138"/>
      <c r="E113" s="3282" t="s">
        <v>2291</v>
      </c>
      <c r="F113" s="3282"/>
      <c r="G113" s="3282"/>
      <c r="H113" s="3282"/>
      <c r="I113" s="138"/>
    </row>
    <row r="114" spans="1:11" ht="3.75" customHeight="1">
      <c r="A114" s="2411"/>
      <c r="B114" s="2411"/>
      <c r="C114" s="2411"/>
      <c r="D114" s="2411"/>
      <c r="E114" s="2489"/>
      <c r="F114" s="2489"/>
      <c r="G114" s="2489"/>
      <c r="H114" s="2489"/>
      <c r="I114" s="2411"/>
    </row>
    <row r="115" spans="1:11" ht="18.75" customHeight="1">
      <c r="A115" s="3283" t="s">
        <v>2293</v>
      </c>
      <c r="B115" s="3284"/>
      <c r="C115" s="3284"/>
      <c r="D115" s="3284"/>
      <c r="E115" s="3284"/>
      <c r="F115" s="3284"/>
      <c r="G115" s="3284"/>
      <c r="H115" s="3284"/>
      <c r="I115" s="3285"/>
    </row>
    <row r="116" spans="1:11" ht="27" customHeight="1">
      <c r="A116" s="3126" t="s">
        <v>2294</v>
      </c>
      <c r="B116" s="3271" t="s">
        <v>2295</v>
      </c>
      <c r="C116" s="3271" t="s">
        <v>2296</v>
      </c>
      <c r="D116" s="3273" t="s">
        <v>2297</v>
      </c>
      <c r="E116" s="3274"/>
      <c r="F116" s="3275" t="s">
        <v>2298</v>
      </c>
      <c r="G116" s="3275"/>
      <c r="H116" s="3126" t="s">
        <v>2299</v>
      </c>
      <c r="I116" s="3126"/>
    </row>
    <row r="117" spans="1:11" ht="18.75" customHeight="1">
      <c r="A117" s="3126"/>
      <c r="B117" s="3272"/>
      <c r="C117" s="3272"/>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26" t="s">
        <v>2303</v>
      </c>
      <c r="B119" s="3126"/>
      <c r="C119" s="3126"/>
      <c r="D119" s="3289" t="e">
        <f ca="1">NUMBERSTRING(INT(D118*10000),2)&amp;"元整"</f>
        <v>#REF!</v>
      </c>
      <c r="E119" s="3291"/>
      <c r="F119" s="3289" t="e">
        <f ca="1">NUMBERSTRING(INT(F118*10000),2)&amp;"元整"</f>
        <v>#REF!</v>
      </c>
      <c r="G119" s="3291"/>
      <c r="H119" s="3289" t="e">
        <f ca="1">NUMBERSTRING(INT(H118*10000),2)&amp;"元整"</f>
        <v>#REF!</v>
      </c>
      <c r="I119" s="3291"/>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16" t="str">
        <f>IF(D120=0,"故，本次评估不存在"&amp;A120,"故，本次评估"&amp;A120&amp;"为人民币"&amp;D120&amp;"万元整。")</f>
        <v>故，本次评估不存在估价师知悉的法定优先受偿款</v>
      </c>
    </row>
    <row r="121" spans="1:11" ht="18.75" customHeight="1">
      <c r="A121" s="3286" t="s">
        <v>2303</v>
      </c>
      <c r="B121" s="3287"/>
      <c r="C121" s="3288"/>
      <c r="D121" s="3289" t="str">
        <f>IF(D120=0,"零元整",NUMBERSTRING(INT(D120*10000),2)&amp;"元整")</f>
        <v>零元整</v>
      </c>
      <c r="E121" s="3290"/>
      <c r="F121" s="3290"/>
      <c r="G121" s="3290"/>
      <c r="H121" s="3290"/>
      <c r="I121" s="3291"/>
    </row>
    <row r="122" spans="1:11" ht="18.75" customHeight="1">
      <c r="A122" s="3292" t="str">
        <f>IF(项目基本情况!B9="房地产市场价值","",MID(E107,3,LEN(E107)-2))</f>
        <v>房地产抵押价值</v>
      </c>
      <c r="B122" s="3292"/>
      <c r="C122" s="3292"/>
      <c r="D122" s="3293" t="e">
        <f ca="1">H107</f>
        <v>#REF!</v>
      </c>
      <c r="E122" s="3294"/>
      <c r="F122" s="3294"/>
      <c r="G122" s="3294"/>
      <c r="H122" s="3294"/>
      <c r="I122" s="3295"/>
    </row>
    <row r="123" spans="1:11" ht="18.75" customHeight="1">
      <c r="A123" s="3126" t="s">
        <v>2303</v>
      </c>
      <c r="B123" s="3126"/>
      <c r="C123" s="3126"/>
      <c r="D123" s="3289" t="e">
        <f ca="1">NUMBERSTRING(INT(D122*10000),2)&amp;"元整"</f>
        <v>#REF!</v>
      </c>
      <c r="E123" s="3290"/>
      <c r="F123" s="3290"/>
      <c r="G123" s="3290"/>
      <c r="H123" s="3290"/>
      <c r="I123" s="3291"/>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126" t="s">
        <v>2303</v>
      </c>
      <c r="B125" s="3126"/>
      <c r="C125" s="3126"/>
      <c r="D125" s="3289" t="e">
        <f>NUMBERSTRING(INT(D124*10000),2)&amp;"元整"</f>
        <v>#VALUE!</v>
      </c>
      <c r="E125" s="3290"/>
      <c r="F125" s="3290"/>
      <c r="G125" s="3290"/>
      <c r="H125" s="3290"/>
      <c r="I125" s="3291"/>
    </row>
    <row r="126" spans="1:11" ht="18.75" customHeight="1">
      <c r="A126" s="3292" t="str">
        <f>IF(项目基本情况!B9="房地产市场价值","",MID(E111,3,LEN(E111)-2))</f>
        <v/>
      </c>
      <c r="B126" s="3292"/>
      <c r="C126" s="3292"/>
      <c r="D126" s="3293" t="str">
        <f>H111</f>
        <v>——</v>
      </c>
      <c r="E126" s="3294"/>
      <c r="F126" s="3294"/>
      <c r="G126" s="3294"/>
      <c r="H126" s="3294"/>
      <c r="I126" s="3295"/>
    </row>
    <row r="127" spans="1:11" ht="18.75" customHeight="1">
      <c r="A127" s="3126" t="s">
        <v>2303</v>
      </c>
      <c r="B127" s="3126"/>
      <c r="C127" s="3126"/>
      <c r="D127" s="3289" t="e">
        <f>NUMBERSTRING(INT(D126*10000),2)&amp;"元整"</f>
        <v>#VALUE!</v>
      </c>
      <c r="E127" s="3290"/>
      <c r="F127" s="3290"/>
      <c r="G127" s="3290"/>
      <c r="H127" s="3290"/>
      <c r="I127" s="3291"/>
    </row>
    <row r="128" spans="1:11" ht="21.75" customHeight="1">
      <c r="A128" s="3296" t="s">
        <v>2304</v>
      </c>
      <c r="B128" s="3296"/>
      <c r="C128" s="3296"/>
      <c r="D128" s="3296"/>
      <c r="E128" s="3296"/>
      <c r="F128" s="3296"/>
      <c r="G128" s="3296"/>
      <c r="H128" s="3296"/>
      <c r="I128" s="329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G18" sqref="G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3068</v>
      </c>
      <c r="D1" s="1818" t="s">
        <v>70</v>
      </c>
      <c r="E1" s="1819" t="s">
        <v>1381</v>
      </c>
      <c r="F1" s="1284">
        <f ca="1">J53</f>
        <v>23.01</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236644</v>
      </c>
      <c r="C2" s="1843" t="s">
        <v>1510</v>
      </c>
      <c r="D2" s="1843"/>
      <c r="E2" s="1844"/>
      <c r="F2" s="1845"/>
      <c r="G2" s="1846"/>
      <c r="H2" s="1838"/>
      <c r="I2" s="1838"/>
      <c r="J2" s="1838"/>
      <c r="K2" s="1839"/>
      <c r="L2" s="1838"/>
      <c r="M2" s="1838"/>
    </row>
    <row r="3" spans="1:37" ht="18" customHeight="1" thickBot="1">
      <c r="A3" s="1847" t="s">
        <v>1511</v>
      </c>
      <c r="B3" s="1848">
        <f ca="1">IF(ISERROR(B2*10000/F43),0,ROUND(B2*10000/F43,0))</f>
        <v>38411</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20861</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20861</v>
      </c>
      <c r="D6" s="164" t="s">
        <v>3017</v>
      </c>
      <c r="E6" s="347" t="s">
        <v>1399</v>
      </c>
      <c r="F6" s="348">
        <f ca="1">INDIRECT("'数据-取费表'!u"&amp;$G$1)</f>
        <v>3386.081276014238</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61608.09</v>
      </c>
      <c r="G7" s="1849"/>
      <c r="H7" s="349"/>
      <c r="I7" s="3396"/>
      <c r="J7" s="351"/>
      <c r="K7" s="352"/>
      <c r="L7" s="347" t="s">
        <v>1400</v>
      </c>
      <c r="M7" s="348">
        <f ca="1">F7</f>
        <v>61608.09</v>
      </c>
    </row>
    <row r="8" spans="1:37" ht="18" customHeight="1">
      <c r="A8" s="349"/>
      <c r="B8" s="3396"/>
      <c r="C8" s="351"/>
      <c r="D8" s="352"/>
      <c r="E8" s="347" t="s">
        <v>1401</v>
      </c>
      <c r="F8" s="348">
        <f ca="1">INDIRECT("'数据-取费表'!ai"&amp;$G$1)</f>
        <v>1</v>
      </c>
      <c r="G8" s="1849"/>
      <c r="H8" s="349"/>
      <c r="I8" s="3396"/>
      <c r="J8" s="351"/>
      <c r="K8" s="352"/>
      <c r="L8" s="347" t="s">
        <v>1401</v>
      </c>
      <c r="M8" s="348">
        <f ca="1">INDIRECT("'数据-取费表'!ai"&amp;$G$1)</f>
        <v>1</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82294</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61608</v>
      </c>
      <c r="D14" s="2954" t="s">
        <v>1412</v>
      </c>
      <c r="E14" s="2953"/>
      <c r="F14" s="364"/>
      <c r="G14" s="1849"/>
      <c r="H14" s="1202" t="s">
        <v>1035</v>
      </c>
      <c r="I14" s="347" t="s">
        <v>1413</v>
      </c>
      <c r="J14" s="24">
        <f ca="1">C29</f>
        <v>100358</v>
      </c>
      <c r="K14" s="2943"/>
      <c r="L14" s="980"/>
      <c r="M14" s="981"/>
    </row>
    <row r="15" spans="1:37" s="1856" customFormat="1" ht="18" customHeight="1" thickBot="1">
      <c r="A15" s="1202" t="s">
        <v>1036</v>
      </c>
      <c r="B15" s="347" t="s">
        <v>1414</v>
      </c>
      <c r="C15" s="24">
        <f ca="1">ROUND(C14*F15,0)</f>
        <v>3080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2369</v>
      </c>
      <c r="K16" s="1337" t="s">
        <v>1419</v>
      </c>
      <c r="L16" s="2957"/>
      <c r="M16" s="1295"/>
    </row>
    <row r="17" spans="1:37" s="1856" customFormat="1" ht="18" customHeight="1">
      <c r="A17" s="1202" t="s">
        <v>1384</v>
      </c>
      <c r="B17" s="347" t="s">
        <v>1420</v>
      </c>
      <c r="C17" s="24">
        <f ca="1">ROUND(F17*(F43+INDIRECT("'数据-取费表'!S"&amp;$G$1))/10000,0)</f>
        <v>1232</v>
      </c>
      <c r="D17" s="347" t="s">
        <v>1421</v>
      </c>
      <c r="E17" s="347" t="s">
        <v>1422</v>
      </c>
      <c r="F17" s="26">
        <f>'数据-取费表'!B35</f>
        <v>200</v>
      </c>
      <c r="G17" s="1852"/>
      <c r="H17" s="1202" t="s">
        <v>1035</v>
      </c>
      <c r="I17" s="347" t="s">
        <v>1423</v>
      </c>
      <c r="J17" s="24">
        <f ca="1">ROUND(IF(项目基本情况!B11="自然人",J5*M17,J18+J19+J20),1)</f>
        <v>863.9</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924</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66844</v>
      </c>
      <c r="D19" s="140" t="s">
        <v>1430</v>
      </c>
      <c r="E19" s="2941"/>
      <c r="F19" s="26"/>
      <c r="G19" s="1849"/>
      <c r="H19" s="1202" t="s">
        <v>1036</v>
      </c>
      <c r="I19" s="347" t="s">
        <v>1431</v>
      </c>
      <c r="J19" s="24">
        <f ca="1">IF(K19="按租金收入计税",ROUND(J5*M19,2),ROUND(C29*M19*0.7,2))</f>
        <v>843.01</v>
      </c>
      <c r="K19" s="1826" t="s">
        <v>1432</v>
      </c>
      <c r="L19" s="347" t="s">
        <v>1416</v>
      </c>
      <c r="M19" s="367">
        <f>IF(K19="按租金收入计税",'数据-取费表'!B51,'数据-取费表'!B50)</f>
        <v>1.2E-2</v>
      </c>
    </row>
    <row r="20" spans="1:37" s="1856" customFormat="1" ht="18" customHeight="1">
      <c r="A20" s="1202" t="s">
        <v>1039</v>
      </c>
      <c r="B20" s="347" t="s">
        <v>1433</v>
      </c>
      <c r="C20" s="24">
        <f ca="1">ROUND(C19*F20,0)</f>
        <v>2005</v>
      </c>
      <c r="D20" s="369" t="s">
        <v>1434</v>
      </c>
      <c r="E20" s="347" t="s">
        <v>1416</v>
      </c>
      <c r="F20" s="367">
        <f>'数据-取费表'!B37</f>
        <v>0.03</v>
      </c>
      <c r="G20" s="1852"/>
      <c r="H20" s="1202" t="s">
        <v>1383</v>
      </c>
      <c r="I20" s="164" t="s">
        <v>1435</v>
      </c>
      <c r="J20" s="25">
        <f ca="1">ROUND(M20*M21/10000,2)</f>
        <v>20.85</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6950.68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1505.4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4964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0.05</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-2369</v>
      </c>
      <c r="K25" s="1345" t="s">
        <v>1458</v>
      </c>
      <c r="L25" s="1346"/>
      <c r="M25" s="1347"/>
    </row>
    <row r="26" spans="1:37">
      <c r="A26" s="1202" t="s">
        <v>1034</v>
      </c>
      <c r="B26" s="347" t="s">
        <v>1459</v>
      </c>
      <c r="C26" s="24">
        <f ca="1">ROUND((C19+C20)*F26,0)</f>
        <v>17212</v>
      </c>
      <c r="D26" s="369" t="s">
        <v>1460</v>
      </c>
      <c r="E26" s="358" t="s">
        <v>1461</v>
      </c>
      <c r="F26" s="357">
        <f ca="1">INDIRECT("'数据-取费表'!q"&amp;$G$1)</f>
        <v>0.25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7.4999999999999997E-3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100358</v>
      </c>
      <c r="D29" s="1342"/>
      <c r="E29" s="1340"/>
      <c r="F29" s="1343"/>
      <c r="G29" s="1852"/>
      <c r="H29" s="380" t="s">
        <v>1033</v>
      </c>
      <c r="I29" s="381" t="s">
        <v>1473</v>
      </c>
      <c r="J29" s="382">
        <f ca="1">ROUND(J26/(1+F40)^F41,0)</f>
        <v>0</v>
      </c>
      <c r="K29" s="383" t="s">
        <v>1474</v>
      </c>
      <c r="L29" s="384"/>
      <c r="M29" s="385">
        <f ca="1">INDIRECT("'数据-取费表'!k"&amp;$G$1)</f>
        <v>61608.09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4648</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1976.5</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1112.5899999999999</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843.01</v>
      </c>
      <c r="D33" s="1826" t="s">
        <v>3419</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IF(项目基本情况!B11="自然人","——",ROUND(F34*F35/10000,2))</f>
        <v>20.85</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6950.68</v>
      </c>
      <c r="G35" s="1849"/>
      <c r="H35" s="745"/>
      <c r="I35" s="1858"/>
      <c r="J35" s="1859"/>
      <c r="K35" s="1860"/>
      <c r="L35" s="1857"/>
      <c r="M35" s="1857"/>
    </row>
    <row r="36" spans="1:18" ht="18" customHeight="1">
      <c r="A36" s="1352" t="s">
        <v>1039</v>
      </c>
      <c r="B36" s="347" t="s">
        <v>1443</v>
      </c>
      <c r="C36" s="24">
        <f ca="1">ROUND(C29*F36,1)</f>
        <v>1505.4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123.4</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1043.0999999999999</v>
      </c>
      <c r="D38" s="1342" t="s">
        <v>1453</v>
      </c>
      <c r="E38" s="1340" t="s">
        <v>1416</v>
      </c>
      <c r="F38" s="1336">
        <f ca="1">INDIRECT("'数据-取费表'!Am"&amp;$G$1)</f>
        <v>0.05</v>
      </c>
      <c r="G38" s="1849"/>
      <c r="H38" s="1857"/>
      <c r="I38" s="1858"/>
      <c r="J38" s="1859"/>
      <c r="K38" s="1863"/>
      <c r="L38" s="1857"/>
      <c r="M38" s="1857"/>
    </row>
    <row r="39" spans="1:18" ht="24.6" customHeight="1" thickTop="1">
      <c r="A39" s="1329" t="s">
        <v>1031</v>
      </c>
      <c r="B39" s="1344" t="s">
        <v>1457</v>
      </c>
      <c r="C39" s="355">
        <f ca="1">C5-C30</f>
        <v>16213</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236644</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38411</v>
      </c>
      <c r="D43" s="383" t="s">
        <v>1482</v>
      </c>
      <c r="E43" s="384" t="s">
        <v>1483</v>
      </c>
      <c r="F43" s="385">
        <f ca="1">INDIRECT("'数据-取费表'!k"&amp;$G$1)</f>
        <v>61608.09</v>
      </c>
      <c r="G43" s="1849"/>
      <c r="H43" s="732"/>
      <c r="I43" s="732"/>
      <c r="J43" s="732"/>
      <c r="K43" s="751"/>
      <c r="L43" s="732"/>
      <c r="M43" s="732"/>
    </row>
    <row r="44" spans="1:18" s="1840" customFormat="1" ht="18" customHeight="1">
      <c r="A44" s="1864"/>
      <c r="B44" s="1864"/>
      <c r="C44" s="1865"/>
      <c r="D44" s="1864">
        <f ca="1">C30/C6</f>
        <v>0.22280811082881932</v>
      </c>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-264751</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236644</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100358</v>
      </c>
      <c r="R49" s="1884" t="s">
        <v>1523</v>
      </c>
    </row>
    <row r="50" spans="1:18" s="1840" customFormat="1" ht="13.5" thickBot="1">
      <c r="A50" s="1196"/>
      <c r="B50" s="1199"/>
      <c r="C50" s="1368"/>
      <c r="D50" s="1173"/>
      <c r="E50" s="1278" t="s">
        <v>1400</v>
      </c>
      <c r="F50" s="1279">
        <f ca="1">F7</f>
        <v>61608.09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1</v>
      </c>
      <c r="I51" s="1896" t="s">
        <v>1534</v>
      </c>
      <c r="J51" s="1897">
        <f>IF(J49="",J50,J49+J50-YEAR('数据-取费表'!B2))</f>
        <v>49</v>
      </c>
      <c r="K51" s="1898" t="s">
        <v>1535</v>
      </c>
      <c r="L51" s="1899">
        <f ca="1">ROUND(-PV(INDIRECT("'数据-取费表'!h"&amp;$G$1),L48,(C39-C13*C76),0),0)</f>
        <v>118708</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23.01</v>
      </c>
      <c r="K53" s="3393" t="s">
        <v>1542</v>
      </c>
      <c r="L53" s="3394"/>
      <c r="O53" s="1882" t="s">
        <v>1046</v>
      </c>
      <c r="P53" s="1883" t="s">
        <v>1543</v>
      </c>
      <c r="Q53" s="1884">
        <f ca="1">Q47+Q48</f>
        <v>236644</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82294</v>
      </c>
      <c r="D56" s="1912"/>
      <c r="E56" s="1913"/>
      <c r="F56" s="1905"/>
      <c r="I56" s="1914" t="s">
        <v>1548</v>
      </c>
      <c r="J56" s="1915" t="s">
        <v>3056</v>
      </c>
      <c r="K56" s="1885" t="s">
        <v>1549</v>
      </c>
      <c r="L56" s="1888" t="str">
        <f ca="1">IF(L48&lt;J51,"——",L48-J53)</f>
        <v>——</v>
      </c>
      <c r="O56" s="1882" t="s">
        <v>1040</v>
      </c>
      <c r="P56" s="1883" t="s">
        <v>1522</v>
      </c>
      <c r="Q56" s="1884">
        <f ca="1">C40+J29</f>
        <v>236644</v>
      </c>
      <c r="R56" s="1884" t="s">
        <v>1523</v>
      </c>
    </row>
    <row r="57" spans="1:18" s="1840" customFormat="1" ht="24.75" thickBot="1">
      <c r="A57" s="1916"/>
      <c r="B57" s="1170" t="s">
        <v>1472</v>
      </c>
      <c r="C57" s="282">
        <f ca="1">C29</f>
        <v>100358</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2493</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863.9</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843.01</v>
      </c>
      <c r="D61" s="1826" t="s">
        <v>1432</v>
      </c>
      <c r="E61" s="1170" t="s">
        <v>1416</v>
      </c>
      <c r="F61" s="367">
        <f t="shared" si="0"/>
        <v>1.2E-2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20.85</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236644</v>
      </c>
      <c r="R62" s="1884" t="s">
        <v>1047</v>
      </c>
    </row>
    <row r="63" spans="1:18" s="1840" customFormat="1" ht="13.5" thickBot="1">
      <c r="A63" s="372"/>
      <c r="B63" s="1176"/>
      <c r="C63" s="29"/>
      <c r="D63" s="1186"/>
      <c r="E63" s="1170" t="s">
        <v>1441</v>
      </c>
      <c r="F63" s="348">
        <f t="shared" ca="1" si="0"/>
        <v>6950.68</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1505.4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123.4</v>
      </c>
      <c r="D65" s="1184" t="s">
        <v>1448</v>
      </c>
      <c r="E65" s="1170" t="s">
        <v>1416</v>
      </c>
      <c r="F65" s="376">
        <f t="shared" ca="1" si="0"/>
        <v>1.5E-3</v>
      </c>
      <c r="I65" s="1927" t="s">
        <v>1573</v>
      </c>
      <c r="J65" s="1928">
        <v>40</v>
      </c>
      <c r="K65" s="1928">
        <v>30</v>
      </c>
      <c r="L65" s="1928">
        <v>50</v>
      </c>
      <c r="M65" s="1930">
        <v>0.02</v>
      </c>
      <c r="O65" s="1882" t="s">
        <v>1040</v>
      </c>
      <c r="P65" s="1883" t="s">
        <v>1522</v>
      </c>
      <c r="Q65" s="1884">
        <f ca="1">C40+J29</f>
        <v>236644</v>
      </c>
      <c r="R65" s="1884" t="s">
        <v>1523</v>
      </c>
    </row>
    <row r="66" spans="1:18" s="1840" customFormat="1" ht="16.5" thickBot="1">
      <c r="A66" s="1202" t="s">
        <v>1498</v>
      </c>
      <c r="B66" s="1170" t="s">
        <v>1433</v>
      </c>
      <c r="C66" s="24">
        <f ca="1">ROUND(C48*F66,1)</f>
        <v>0</v>
      </c>
      <c r="D66" s="1184" t="s">
        <v>1453</v>
      </c>
      <c r="E66" s="1170" t="s">
        <v>1416</v>
      </c>
      <c r="F66" s="357">
        <f t="shared" ca="1" si="0"/>
        <v>0.05</v>
      </c>
      <c r="O66" s="1882" t="s">
        <v>1041</v>
      </c>
      <c r="P66" s="1883" t="s">
        <v>1552</v>
      </c>
      <c r="Q66" s="1884">
        <f ca="1">L60</f>
        <v>0</v>
      </c>
      <c r="R66" s="1884" t="s">
        <v>1575</v>
      </c>
    </row>
    <row r="67" spans="1:18" s="1840" customFormat="1" ht="16.5" thickBot="1">
      <c r="A67" s="1177" t="s">
        <v>1031</v>
      </c>
      <c r="B67" s="1187" t="s">
        <v>1457</v>
      </c>
      <c r="C67" s="361">
        <f ca="1">C48-C58</f>
        <v>-2493</v>
      </c>
      <c r="D67" s="1183" t="s">
        <v>1458</v>
      </c>
      <c r="E67" s="1188"/>
      <c r="F67" s="1189"/>
      <c r="O67" s="1892" t="s">
        <v>1042</v>
      </c>
      <c r="P67" s="1883" t="s">
        <v>1556</v>
      </c>
      <c r="Q67" s="1931">
        <f ca="1">L51</f>
        <v>118708</v>
      </c>
      <c r="R67" s="1884" t="s">
        <v>1576</v>
      </c>
    </row>
    <row r="68" spans="1:18" s="1840" customFormat="1" ht="16.5" thickBot="1">
      <c r="A68" s="1167" t="s">
        <v>1032</v>
      </c>
      <c r="B68" s="1168" t="s">
        <v>1479</v>
      </c>
      <c r="C68" s="346">
        <f ca="1">ROUND(C67*(1-((1+F70)/(1+F68))^F69)/(F68-F70),0)</f>
        <v>-28107</v>
      </c>
      <c r="D68" s="1185" t="s">
        <v>1463</v>
      </c>
      <c r="E68" s="1170" t="s">
        <v>1464</v>
      </c>
      <c r="F68" s="357">
        <f ca="1">F40</f>
        <v>7.0000000000000007E-2</v>
      </c>
      <c r="O68" s="1892" t="s">
        <v>1043</v>
      </c>
      <c r="P68" s="1932" t="s">
        <v>1577</v>
      </c>
      <c r="Q68" s="1884">
        <f ca="1">ROUND(Q69-Q70*Q71,0)</f>
        <v>9218</v>
      </c>
      <c r="R68" s="1884" t="s">
        <v>1051</v>
      </c>
    </row>
    <row r="69" spans="1:18" s="1840" customFormat="1" ht="13.5" thickBot="1">
      <c r="A69" s="1171"/>
      <c r="B69" s="1172"/>
      <c r="C69" s="351"/>
      <c r="D69" s="1190" t="s">
        <v>1467</v>
      </c>
      <c r="E69" s="1170" t="s">
        <v>1468</v>
      </c>
      <c r="F69" s="379">
        <f ca="1">F41</f>
        <v>23.01</v>
      </c>
      <c r="O69" s="1892" t="s">
        <v>1048</v>
      </c>
      <c r="P69" s="1932" t="s">
        <v>1578</v>
      </c>
      <c r="Q69" s="1884">
        <f ca="1">C39</f>
        <v>16213</v>
      </c>
      <c r="R69" s="1884" t="s">
        <v>1523</v>
      </c>
    </row>
    <row r="70" spans="1:18" s="1840" customFormat="1" ht="13.5" thickBot="1">
      <c r="A70" s="1174"/>
      <c r="B70" s="1175"/>
      <c r="C70" s="355"/>
      <c r="D70" s="1186"/>
      <c r="E70" s="1170" t="s">
        <v>1471</v>
      </c>
      <c r="F70" s="1276"/>
      <c r="O70" s="1892" t="s">
        <v>1049</v>
      </c>
      <c r="P70" s="1932" t="s">
        <v>1579</v>
      </c>
      <c r="Q70" s="1884">
        <f ca="1">C13</f>
        <v>82294</v>
      </c>
      <c r="R70" s="1884" t="s">
        <v>1523</v>
      </c>
    </row>
    <row r="71" spans="1:18" s="1840" customFormat="1" ht="13.5" thickBot="1">
      <c r="A71" s="1191" t="s">
        <v>1033</v>
      </c>
      <c r="B71" s="1192" t="s">
        <v>1481</v>
      </c>
      <c r="C71" s="382">
        <f ca="1">ROUND(C68*10000/F71,0)</f>
        <v>-4562</v>
      </c>
      <c r="D71" s="1193" t="s">
        <v>1482</v>
      </c>
      <c r="E71" s="1194" t="s">
        <v>1483</v>
      </c>
      <c r="F71" s="385">
        <f ca="1">F43</f>
        <v>61608.09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6995</v>
      </c>
      <c r="D75" s="1840"/>
      <c r="E75" s="1840"/>
      <c r="F75" s="1840"/>
      <c r="K75" s="1866"/>
      <c r="L75" s="1840"/>
      <c r="O75" s="1882" t="s">
        <v>1046</v>
      </c>
      <c r="P75" s="1883" t="s">
        <v>1543</v>
      </c>
      <c r="Q75" s="1884">
        <f ca="1">Q65+Q66</f>
        <v>236644</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0.56899999999999995</v>
      </c>
    </row>
    <row r="80" spans="1:18">
      <c r="B80" s="386" t="s">
        <v>1505</v>
      </c>
      <c r="C80" s="318">
        <f ca="1">ROUND(C75/C39,3)</f>
        <v>0.43099999999999999</v>
      </c>
    </row>
    <row r="81" spans="2:3">
      <c r="B81" s="314" t="s">
        <v>1506</v>
      </c>
      <c r="C81" s="282"/>
    </row>
    <row r="82" spans="2:3">
      <c r="B82" s="317" t="s">
        <v>1507</v>
      </c>
      <c r="C82" s="319">
        <f ca="1">1-C83</f>
        <v>0.65200000000000002</v>
      </c>
    </row>
    <row r="83" spans="2:3">
      <c r="B83" s="317" t="s">
        <v>1508</v>
      </c>
      <c r="C83" s="318">
        <f ca="1">ROUND(C13/C40,3)</f>
        <v>0.34799999999999998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workbookViewId="0">
      <selection sqref="A1:I32"/>
    </sheetView>
  </sheetViews>
  <sheetFormatPr defaultRowHeight="13.5"/>
  <cols>
    <col min="1" max="1" width="10.5" customWidth="1"/>
    <col min="2" max="2" width="12.875" customWidth="1"/>
    <col min="3" max="3" width="8.75" customWidth="1"/>
  </cols>
  <sheetData>
    <row r="1" spans="1:15" ht="14.25">
      <c r="A1" s="3445" t="s">
        <v>1076</v>
      </c>
      <c r="B1" s="3446"/>
      <c r="C1" s="3447"/>
      <c r="D1" s="3448">
        <f>SUM(I10,I15,I20,I21,I23)</f>
        <v>29801</v>
      </c>
      <c r="E1" s="3448"/>
      <c r="F1" s="3448"/>
      <c r="G1" s="3448"/>
      <c r="H1" s="3448"/>
      <c r="I1" s="3449"/>
    </row>
    <row r="2" spans="1:15">
      <c r="A2" s="3435" t="s">
        <v>1077</v>
      </c>
      <c r="B2" s="3436" t="s">
        <v>1078</v>
      </c>
      <c r="C2" s="3436"/>
      <c r="D2" s="1302" t="s">
        <v>1079</v>
      </c>
      <c r="E2" s="1302" t="s">
        <v>1080</v>
      </c>
      <c r="F2" s="1302" t="s">
        <v>1081</v>
      </c>
      <c r="G2" s="1302" t="s">
        <v>1082</v>
      </c>
      <c r="H2" s="1302" t="s">
        <v>1083</v>
      </c>
      <c r="I2" s="1303" t="s">
        <v>1084</v>
      </c>
    </row>
    <row r="3" spans="1:15">
      <c r="A3" s="3435"/>
      <c r="B3" s="3436" t="s">
        <v>3420</v>
      </c>
      <c r="C3" s="3436"/>
      <c r="D3" s="1304">
        <v>11</v>
      </c>
      <c r="E3" s="1302">
        <v>3673</v>
      </c>
      <c r="F3" s="1305">
        <v>0.75</v>
      </c>
      <c r="G3" s="3074">
        <v>0.72599999999999998</v>
      </c>
      <c r="H3" s="1306">
        <v>365</v>
      </c>
      <c r="I3" s="1307">
        <f>ROUND(D3*E3*F3*G3*H3/10000,0)</f>
        <v>803</v>
      </c>
      <c r="K3">
        <f>E3*F3</f>
        <v>2754.75</v>
      </c>
      <c r="M3">
        <v>1631</v>
      </c>
      <c r="N3">
        <v>1864</v>
      </c>
      <c r="O3">
        <f>M3/N3</f>
        <v>0.875</v>
      </c>
    </row>
    <row r="4" spans="1:15">
      <c r="A4" s="3435"/>
      <c r="B4" s="3436" t="s">
        <v>1085</v>
      </c>
      <c r="C4" s="3436"/>
      <c r="D4" s="1304">
        <v>23</v>
      </c>
      <c r="E4" s="1302">
        <v>2156</v>
      </c>
      <c r="F4" s="1305">
        <v>0.75</v>
      </c>
      <c r="G4" s="3074">
        <f>G3</f>
        <v>0.72599999999999998</v>
      </c>
      <c r="H4" s="1306">
        <v>365</v>
      </c>
      <c r="I4" s="1307">
        <f>ROUND(D4*E4*F4*G4*H4/10000,0)</f>
        <v>986</v>
      </c>
      <c r="K4">
        <f>E4*F4</f>
        <v>1617</v>
      </c>
      <c r="M4">
        <v>1923</v>
      </c>
      <c r="N4">
        <v>2156</v>
      </c>
      <c r="O4">
        <f>M4/N4</f>
        <v>0.89192949907235619</v>
      </c>
    </row>
    <row r="5" spans="1:15">
      <c r="A5" s="3435"/>
      <c r="B5" s="3436" t="s">
        <v>3421</v>
      </c>
      <c r="C5" s="3436"/>
      <c r="D5" s="1304">
        <f>D10-D4-D3</f>
        <v>488</v>
      </c>
      <c r="E5" s="1302">
        <v>1864</v>
      </c>
      <c r="F5" s="1305">
        <v>0.75</v>
      </c>
      <c r="G5" s="3074">
        <f>G3</f>
        <v>0.72599999999999998</v>
      </c>
      <c r="H5" s="1306">
        <v>365</v>
      </c>
      <c r="I5" s="1307">
        <f>ROUND(D5*E5*F5*G5*H5/10000,0)</f>
        <v>18078</v>
      </c>
      <c r="K5">
        <f>E5*F5</f>
        <v>1398</v>
      </c>
      <c r="M5">
        <v>3673</v>
      </c>
      <c r="N5">
        <v>3673</v>
      </c>
      <c r="O5">
        <f>M5/N5</f>
        <v>1</v>
      </c>
    </row>
    <row r="6" spans="1:15">
      <c r="A6" s="3435"/>
      <c r="B6" s="3436"/>
      <c r="C6" s="3436"/>
      <c r="D6" s="1304"/>
      <c r="E6" s="1302"/>
      <c r="F6" s="1305"/>
      <c r="G6" s="1305"/>
      <c r="H6" s="1306"/>
      <c r="I6" s="1307">
        <f t="shared" ref="I6:I9" si="0">ROUND(D6*E6*F6*G6*H6/10000,0)</f>
        <v>0</v>
      </c>
    </row>
    <row r="7" spans="1:15">
      <c r="A7" s="3435"/>
      <c r="B7" s="3436"/>
      <c r="C7" s="3436"/>
      <c r="D7" s="1304"/>
      <c r="E7" s="1302"/>
      <c r="F7" s="1305"/>
      <c r="G7" s="1305"/>
      <c r="H7" s="1306"/>
      <c r="I7" s="1307">
        <f t="shared" si="0"/>
        <v>0</v>
      </c>
    </row>
    <row r="8" spans="1:15">
      <c r="A8" s="3435"/>
      <c r="B8" s="3436"/>
      <c r="C8" s="3436"/>
      <c r="D8" s="1304"/>
      <c r="E8" s="1302"/>
      <c r="F8" s="1305"/>
      <c r="G8" s="1305"/>
      <c r="H8" s="1306"/>
      <c r="I8" s="1307">
        <f t="shared" si="0"/>
        <v>0</v>
      </c>
    </row>
    <row r="9" spans="1:15">
      <c r="A9" s="3435"/>
      <c r="B9" s="3436"/>
      <c r="C9" s="3436"/>
      <c r="D9" s="1304"/>
      <c r="E9" s="1302"/>
      <c r="F9" s="1305"/>
      <c r="G9" s="1305"/>
      <c r="H9" s="1306">
        <v>365</v>
      </c>
      <c r="I9" s="1307">
        <f t="shared" si="0"/>
        <v>0</v>
      </c>
    </row>
    <row r="10" spans="1:15">
      <c r="A10" s="3435"/>
      <c r="B10" s="3437" t="s">
        <v>1086</v>
      </c>
      <c r="C10" s="3437"/>
      <c r="D10" s="1308">
        <v>522</v>
      </c>
      <c r="E10" s="1308">
        <f>ROUND(D1*10000/D10/H9,0)</f>
        <v>1564</v>
      </c>
      <c r="F10" s="1309"/>
      <c r="G10" s="1309"/>
      <c r="H10" s="1310"/>
      <c r="I10" s="1311">
        <f>SUM(I3:I9)</f>
        <v>19867</v>
      </c>
    </row>
    <row r="11" spans="1:15" ht="14.25">
      <c r="A11" s="3435" t="s">
        <v>1087</v>
      </c>
      <c r="B11" s="3436" t="s">
        <v>1088</v>
      </c>
      <c r="C11" s="3436"/>
      <c r="D11" s="1304" t="s">
        <v>1089</v>
      </c>
      <c r="E11" s="1304" t="s">
        <v>1090</v>
      </c>
      <c r="F11" s="1305" t="s">
        <v>1091</v>
      </c>
      <c r="G11" s="1305" t="s">
        <v>1083</v>
      </c>
      <c r="H11" s="1312" t="s">
        <v>1092</v>
      </c>
      <c r="I11" s="1303" t="s">
        <v>1084</v>
      </c>
    </row>
    <row r="12" spans="1:15">
      <c r="A12" s="3435"/>
      <c r="B12" s="3436" t="s">
        <v>1093</v>
      </c>
      <c r="C12" s="3436"/>
      <c r="D12" s="1304"/>
      <c r="E12" s="1304"/>
      <c r="F12" s="1305"/>
      <c r="G12" s="1306"/>
      <c r="H12" s="1313"/>
      <c r="I12" s="1303">
        <f>ROUND(D12*E12*F12*G12/10000,0)</f>
        <v>0</v>
      </c>
    </row>
    <row r="13" spans="1:15">
      <c r="A13" s="3435"/>
      <c r="B13" s="3436" t="s">
        <v>1094</v>
      </c>
      <c r="C13" s="3436"/>
      <c r="D13" s="1304"/>
      <c r="E13" s="1304"/>
      <c r="F13" s="1305"/>
      <c r="G13" s="1306"/>
      <c r="H13" s="1313"/>
      <c r="I13" s="1303">
        <f>ROUND(D13*E13*F13*G13/10000,0)</f>
        <v>0</v>
      </c>
    </row>
    <row r="14" spans="1:15">
      <c r="A14" s="3435"/>
      <c r="B14" s="3436" t="s">
        <v>1095</v>
      </c>
      <c r="C14" s="3436"/>
      <c r="D14" s="1304"/>
      <c r="E14" s="1304"/>
      <c r="F14" s="1305"/>
      <c r="G14" s="1306"/>
      <c r="H14" s="1313"/>
      <c r="I14" s="1303">
        <f>ROUND(D14*E14*F14*G14/10000,0)</f>
        <v>0</v>
      </c>
    </row>
    <row r="15" spans="1:15">
      <c r="A15" s="3435"/>
      <c r="B15" s="3437" t="s">
        <v>1086</v>
      </c>
      <c r="C15" s="3437"/>
      <c r="D15" s="1308"/>
      <c r="E15" s="1308">
        <f>SUM(E12:E14)</f>
        <v>0</v>
      </c>
      <c r="F15" s="1309"/>
      <c r="G15" s="1306"/>
      <c r="H15" s="1313"/>
      <c r="I15" s="1314">
        <f>SUM(I12:I14)</f>
        <v>0</v>
      </c>
      <c r="K15">
        <f ca="1">'结果表111 '!G19</f>
        <v>382862</v>
      </c>
    </row>
    <row r="16" spans="1:15" ht="24">
      <c r="A16" s="3435" t="s">
        <v>1096</v>
      </c>
      <c r="B16" s="3436" t="s">
        <v>1097</v>
      </c>
      <c r="C16" s="3436"/>
      <c r="D16" s="1304" t="s">
        <v>1079</v>
      </c>
      <c r="E16" s="1315" t="s">
        <v>1098</v>
      </c>
      <c r="F16" s="1305" t="s">
        <v>1099</v>
      </c>
      <c r="G16" s="1306" t="s">
        <v>1083</v>
      </c>
      <c r="H16" s="1312" t="s">
        <v>1092</v>
      </c>
      <c r="I16" s="1303" t="s">
        <v>1084</v>
      </c>
    </row>
    <row r="17" spans="1:14" ht="14.25">
      <c r="A17" s="3435"/>
      <c r="B17" s="3436" t="s">
        <v>1100</v>
      </c>
      <c r="C17" s="3436"/>
      <c r="D17" s="1304"/>
      <c r="E17" s="1304"/>
      <c r="F17" s="1305"/>
      <c r="G17" s="1306"/>
      <c r="H17" s="1316"/>
      <c r="I17" s="1317">
        <f>ROUND(D17*E17*F17*G17/10000,0)</f>
        <v>0</v>
      </c>
    </row>
    <row r="18" spans="1:14" ht="14.25">
      <c r="A18" s="3435"/>
      <c r="B18" s="3436" t="s">
        <v>1101</v>
      </c>
      <c r="C18" s="3436"/>
      <c r="D18" s="1304"/>
      <c r="E18" s="1304"/>
      <c r="F18" s="1305"/>
      <c r="G18" s="1306"/>
      <c r="H18" s="1316"/>
      <c r="I18" s="1317">
        <f>ROUND(D18*E18*F18*G18/10000,0)</f>
        <v>0</v>
      </c>
    </row>
    <row r="19" spans="1:14" ht="14.25">
      <c r="A19" s="3435"/>
      <c r="B19" s="3436" t="s">
        <v>1102</v>
      </c>
      <c r="C19" s="3436"/>
      <c r="D19" s="1304"/>
      <c r="E19" s="1304"/>
      <c r="F19" s="1305"/>
      <c r="G19" s="1306"/>
      <c r="H19" s="1316"/>
      <c r="I19" s="1317">
        <f>ROUND(D19*E19*F19*G19/10000,0)</f>
        <v>0</v>
      </c>
    </row>
    <row r="20" spans="1:14">
      <c r="A20" s="3435"/>
      <c r="B20" s="3437" t="s">
        <v>1086</v>
      </c>
      <c r="C20" s="3437"/>
      <c r="D20" s="1308">
        <f>SUM(D17:D19)</f>
        <v>0</v>
      </c>
      <c r="E20" s="1308"/>
      <c r="F20" s="1309"/>
      <c r="G20" s="1306"/>
      <c r="H20" s="1313"/>
      <c r="I20" s="1314">
        <f>SUM(I17:I19)</f>
        <v>0</v>
      </c>
    </row>
    <row r="21" spans="1:14">
      <c r="A21" s="3435" t="s">
        <v>1103</v>
      </c>
      <c r="B21" s="3438"/>
      <c r="C21" s="3438"/>
      <c r="D21" s="3438"/>
      <c r="E21" s="3438"/>
      <c r="F21" s="3438"/>
      <c r="G21" s="3438"/>
      <c r="H21" s="1309">
        <v>0.5</v>
      </c>
      <c r="I21" s="1311">
        <f>ROUND(I10*H21,0)</f>
        <v>9934</v>
      </c>
    </row>
    <row r="22" spans="1:14" ht="14.25">
      <c r="A22" s="3439" t="s">
        <v>1104</v>
      </c>
      <c r="B22" s="3440"/>
      <c r="C22" s="3441"/>
      <c r="D22" s="1318" t="s">
        <v>1105</v>
      </c>
      <c r="E22" s="1318" t="s">
        <v>1106</v>
      </c>
      <c r="F22" s="1319" t="s">
        <v>1107</v>
      </c>
      <c r="G22" s="1319" t="s">
        <v>1108</v>
      </c>
      <c r="H22" s="1312" t="s">
        <v>1109</v>
      </c>
      <c r="I22" s="1303" t="s">
        <v>1110</v>
      </c>
      <c r="N22">
        <f ca="1">C27/'收益法-酒店'!F7/365*10000</f>
        <v>13.25257370297728</v>
      </c>
    </row>
    <row r="23" spans="1:14" ht="14.25" thickBot="1">
      <c r="A23" s="3442"/>
      <c r="B23" s="3443"/>
      <c r="C23" s="3444"/>
      <c r="D23" s="1320"/>
      <c r="E23" s="1320"/>
      <c r="F23" s="1320"/>
      <c r="G23" s="1321"/>
      <c r="H23" s="1322"/>
      <c r="I23" s="1323">
        <f>ROUND(E23*D23*F23*(1-G23)/10000,0)</f>
        <v>0</v>
      </c>
    </row>
    <row r="25" spans="1:14">
      <c r="C25">
        <f>C27</f>
        <v>29801</v>
      </c>
      <c r="N25">
        <f ca="1">C27/'收益法-酒店'!F7/365*10000</f>
        <v>13.25257370297728</v>
      </c>
    </row>
    <row r="26" spans="1:14">
      <c r="A26" s="1324" t="s">
        <v>1111</v>
      </c>
      <c r="B26" s="1324"/>
      <c r="C26" s="1324"/>
      <c r="D26" s="1324"/>
      <c r="E26" s="3432">
        <f>ROUND(C27-C30-C31-C32,0)</f>
        <v>20861</v>
      </c>
      <c r="F26" s="3432"/>
      <c r="G26" s="3432"/>
      <c r="H26" s="1736" t="s">
        <v>1334</v>
      </c>
      <c r="N26">
        <f ca="1">'收益法-酒店'!C6/'收益法-酒店'!F7/365*10000</f>
        <v>9.2769350027787336</v>
      </c>
    </row>
    <row r="27" spans="1:14">
      <c r="A27" s="1325">
        <v>1</v>
      </c>
      <c r="B27" s="1326" t="s">
        <v>1112</v>
      </c>
      <c r="C27" s="1326">
        <f>C28+C29</f>
        <v>29801</v>
      </c>
      <c r="D27" s="1326"/>
      <c r="E27" s="3433"/>
      <c r="F27" s="3433"/>
      <c r="G27" s="3433"/>
    </row>
    <row r="28" spans="1:14">
      <c r="A28" s="1327" t="s">
        <v>1113</v>
      </c>
      <c r="B28" s="1326" t="s">
        <v>1114</v>
      </c>
      <c r="C28" s="1326">
        <f>I10</f>
        <v>19867</v>
      </c>
      <c r="D28" s="1326"/>
      <c r="E28" s="3433"/>
      <c r="F28" s="3433"/>
      <c r="G28" s="3433"/>
    </row>
    <row r="29" spans="1:14">
      <c r="A29" s="1327" t="s">
        <v>1115</v>
      </c>
      <c r="B29" s="1326" t="s">
        <v>1116</v>
      </c>
      <c r="C29" s="1326">
        <f>I21</f>
        <v>9934</v>
      </c>
      <c r="D29" s="1326"/>
      <c r="E29" s="1326" t="s">
        <v>1117</v>
      </c>
      <c r="F29" s="1326"/>
      <c r="G29" s="1326"/>
    </row>
    <row r="30" spans="1:14">
      <c r="A30" s="1325">
        <v>2</v>
      </c>
      <c r="B30" s="1326" t="s">
        <v>1118</v>
      </c>
      <c r="C30" s="1326">
        <f>C27*D30</f>
        <v>5960.2000000000007</v>
      </c>
      <c r="D30" s="3075">
        <v>0.2</v>
      </c>
      <c r="E30" s="1326" t="s">
        <v>1119</v>
      </c>
      <c r="F30" s="1326"/>
      <c r="G30" s="1326"/>
    </row>
    <row r="31" spans="1:14">
      <c r="A31" s="1325">
        <v>3</v>
      </c>
      <c r="B31" s="1326" t="s">
        <v>1120</v>
      </c>
      <c r="C31" s="1326">
        <f>C25*D31</f>
        <v>1490.0500000000002</v>
      </c>
      <c r="D31" s="3075">
        <v>0.05</v>
      </c>
      <c r="E31" s="1326" t="s">
        <v>1121</v>
      </c>
      <c r="F31" s="1326"/>
      <c r="G31" s="1326"/>
    </row>
    <row r="32" spans="1:14">
      <c r="A32" s="1325">
        <v>4</v>
      </c>
      <c r="B32" s="1326" t="s">
        <v>1122</v>
      </c>
      <c r="C32" s="1326">
        <f>C27*D32</f>
        <v>1490.0500000000002</v>
      </c>
      <c r="D32" s="3075">
        <v>0.05</v>
      </c>
      <c r="E32" s="3434"/>
      <c r="F32" s="3434"/>
      <c r="G32" s="3434"/>
    </row>
    <row r="33" spans="1:7" hidden="1">
      <c r="A33" s="3429" t="s">
        <v>1123</v>
      </c>
      <c r="B33" s="3430"/>
      <c r="C33" s="3430"/>
      <c r="D33" s="3431"/>
      <c r="E33" s="3432"/>
      <c r="F33" s="3432"/>
      <c r="G33" s="3432"/>
    </row>
    <row r="34" spans="1:7" hidden="1">
      <c r="A34" s="1328">
        <v>1</v>
      </c>
      <c r="B34" s="1326" t="s">
        <v>1124</v>
      </c>
      <c r="C34" s="1326"/>
      <c r="D34" s="1326"/>
      <c r="E34" s="3433"/>
      <c r="F34" s="3433"/>
      <c r="G34" s="3433"/>
    </row>
    <row r="35" spans="1:7" hidden="1">
      <c r="A35" s="1328">
        <v>2</v>
      </c>
      <c r="B35" s="1326" t="s">
        <v>1125</v>
      </c>
      <c r="C35" s="1326"/>
      <c r="D35" s="1326"/>
      <c r="E35" s="3433"/>
      <c r="F35" s="3433"/>
      <c r="G35" s="3433"/>
    </row>
    <row r="36" spans="1:7" hidden="1">
      <c r="A36" s="1328">
        <v>3</v>
      </c>
      <c r="B36" s="1326" t="s">
        <v>1126</v>
      </c>
      <c r="C36" s="1326"/>
      <c r="D36" s="1326"/>
      <c r="E36" s="3433"/>
      <c r="F36" s="3433"/>
      <c r="G36" s="3433"/>
    </row>
    <row r="37" spans="1:7" hidden="1">
      <c r="A37" s="1328">
        <v>4</v>
      </c>
      <c r="B37" s="1326" t="s">
        <v>1127</v>
      </c>
      <c r="C37" s="1326"/>
      <c r="D37" s="1326"/>
      <c r="E37" s="3433"/>
      <c r="F37" s="3433"/>
      <c r="G37" s="3433"/>
    </row>
    <row r="38" spans="1:7" hidden="1">
      <c r="A38" s="3429" t="s">
        <v>1128</v>
      </c>
      <c r="B38" s="3430"/>
      <c r="C38" s="3430"/>
      <c r="D38" s="3431"/>
      <c r="E38" s="3432"/>
      <c r="F38" s="3432"/>
      <c r="G38" s="3432"/>
    </row>
    <row r="41" spans="1:7">
      <c r="G41">
        <f ca="1">E26/'收益法-酒店'!F7/365*10000</f>
        <v>9.2769350027787336</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K45" sqref="K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3160</v>
      </c>
      <c r="D1" s="1818" t="s">
        <v>70</v>
      </c>
      <c r="E1" s="1819" t="s">
        <v>1381</v>
      </c>
      <c r="F1" s="1284">
        <f ca="1">J53</f>
        <v>33.01</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5368</v>
      </c>
      <c r="C2" s="1843" t="s">
        <v>1510</v>
      </c>
      <c r="D2" s="1843"/>
      <c r="E2" s="1844"/>
      <c r="F2" s="1845"/>
      <c r="G2" s="1846"/>
      <c r="H2" s="1838"/>
      <c r="I2" s="1838"/>
      <c r="J2" s="1838"/>
      <c r="K2" s="1839"/>
      <c r="L2" s="1838"/>
      <c r="M2" s="1838"/>
    </row>
    <row r="3" spans="1:37" ht="18" customHeight="1" thickBot="1">
      <c r="A3" s="1847" t="s">
        <v>1511</v>
      </c>
      <c r="B3" s="1848">
        <f ca="1">IF(ISERROR(B2*10000/F43),0,ROUND(B2*10000/F43,0))</f>
        <v>7763</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430</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429</v>
      </c>
      <c r="D6" s="164" t="s">
        <v>3017</v>
      </c>
      <c r="E6" s="347" t="s">
        <v>1399</v>
      </c>
      <c r="F6" s="348">
        <f ca="1">INDIRECT("'数据-取费表'!u"&amp;$G$1)</f>
        <v>2</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6914.72</v>
      </c>
      <c r="G7" s="1849"/>
      <c r="H7" s="349"/>
      <c r="I7" s="3396"/>
      <c r="J7" s="351"/>
      <c r="K7" s="352"/>
      <c r="L7" s="347" t="s">
        <v>1400</v>
      </c>
      <c r="M7" s="348">
        <f ca="1">F7</f>
        <v>6914.72</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2435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2074</v>
      </c>
      <c r="D14" s="2954" t="s">
        <v>1412</v>
      </c>
      <c r="E14" s="2953"/>
      <c r="F14" s="364"/>
      <c r="G14" s="1849"/>
      <c r="H14" s="1202" t="s">
        <v>1035</v>
      </c>
      <c r="I14" s="347" t="s">
        <v>1413</v>
      </c>
      <c r="J14" s="24">
        <f ca="1">C29</f>
        <v>2970</v>
      </c>
      <c r="K14" s="2943"/>
      <c r="L14" s="980"/>
      <c r="M14" s="981"/>
    </row>
    <row r="15" spans="1:37" s="1856" customFormat="1" ht="18" customHeight="1" thickBot="1">
      <c r="A15" s="1202" t="s">
        <v>1036</v>
      </c>
      <c r="B15" s="347" t="s">
        <v>1414</v>
      </c>
      <c r="C15" s="24">
        <f ca="1">ROUND(C14*F15,0)</f>
        <v>104</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v>
      </c>
      <c r="K16" s="1337" t="s">
        <v>1419</v>
      </c>
      <c r="L16" s="2957"/>
      <c r="M16" s="1295"/>
    </row>
    <row r="17" spans="1:37" s="1856" customFormat="1" ht="18" customHeight="1">
      <c r="A17" s="1202" t="s">
        <v>1384</v>
      </c>
      <c r="B17" s="347" t="s">
        <v>1420</v>
      </c>
      <c r="C17" s="24">
        <f ca="1">ROUND(F17*(F43+INDIRECT("'数据-取费表'!S"&amp;$G$1))/10000,0)</f>
        <v>138</v>
      </c>
      <c r="D17" s="347" t="s">
        <v>1421</v>
      </c>
      <c r="E17" s="347" t="s">
        <v>1422</v>
      </c>
      <c r="F17" s="26">
        <f>'数据-取费表'!B35</f>
        <v>200</v>
      </c>
      <c r="G17" s="1852"/>
      <c r="H17" s="1202" t="s">
        <v>1035</v>
      </c>
      <c r="I17" s="347" t="s">
        <v>1423</v>
      </c>
      <c r="J17" s="24">
        <f ca="1">ROUND(IF(项目基本情况!B11="自然人",J5*M17,J18+J19+J20),1)</f>
        <v>27.3</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31</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2347</v>
      </c>
      <c r="D19" s="140" t="s">
        <v>1430</v>
      </c>
      <c r="E19" s="2941"/>
      <c r="F19" s="26"/>
      <c r="G19" s="1849"/>
      <c r="H19" s="1202" t="s">
        <v>1036</v>
      </c>
      <c r="I19" s="347" t="s">
        <v>1431</v>
      </c>
      <c r="J19" s="24">
        <f ca="1">IF(K19="按租金收入计税",ROUND(J5*M19,2),ROUND(C29*M19*0.7,2))</f>
        <v>24.95</v>
      </c>
      <c r="K19" s="1826" t="s">
        <v>1432</v>
      </c>
      <c r="L19" s="347" t="s">
        <v>1416</v>
      </c>
      <c r="M19" s="367">
        <f>IF(K19="按租金收入计税",'数据-取费表'!B51,'数据-取费表'!B50)</f>
        <v>1.2E-2</v>
      </c>
    </row>
    <row r="20" spans="1:37" s="1856" customFormat="1" ht="18" customHeight="1">
      <c r="A20" s="1202" t="s">
        <v>1039</v>
      </c>
      <c r="B20" s="347" t="s">
        <v>1433</v>
      </c>
      <c r="C20" s="24">
        <f ca="1">ROUND(C19*F20,0)</f>
        <v>70</v>
      </c>
      <c r="D20" s="369" t="s">
        <v>1434</v>
      </c>
      <c r="E20" s="347" t="s">
        <v>1416</v>
      </c>
      <c r="F20" s="367">
        <f>'数据-取费表'!B37</f>
        <v>0.03</v>
      </c>
      <c r="G20" s="1852"/>
      <c r="H20" s="1202" t="s">
        <v>1383</v>
      </c>
      <c r="I20" s="164" t="s">
        <v>1435</v>
      </c>
      <c r="J20" s="25">
        <f ca="1">ROUND(M20*M21/10000,2)</f>
        <v>2.34</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780.12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44.6</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-72</v>
      </c>
      <c r="K25" s="1345" t="s">
        <v>1458</v>
      </c>
      <c r="L25" s="1346"/>
      <c r="M25" s="1347"/>
    </row>
    <row r="26" spans="1:37">
      <c r="A26" s="1202" t="s">
        <v>1034</v>
      </c>
      <c r="B26" s="347" t="s">
        <v>1459</v>
      </c>
      <c r="C26" s="24">
        <f ca="1">ROUND((C19+C20)*F26,0)</f>
        <v>121</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2970</v>
      </c>
      <c r="D29" s="1342"/>
      <c r="E29" s="1340"/>
      <c r="F29" s="1343"/>
      <c r="G29" s="1852"/>
      <c r="H29" s="380" t="s">
        <v>1033</v>
      </c>
      <c r="I29" s="381" t="s">
        <v>1473</v>
      </c>
      <c r="J29" s="382">
        <f ca="1">ROUND(J26/(1+F40)^F41,0)</f>
        <v>0</v>
      </c>
      <c r="K29" s="383" t="s">
        <v>1474</v>
      </c>
      <c r="L29" s="384"/>
      <c r="M29" s="385">
        <f ca="1">INDIRECT("'数据-取费表'!k"&amp;$G$1)</f>
        <v>6914.72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130</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76.900000000000006</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22.93</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51.6</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2.34</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780.12</v>
      </c>
      <c r="G35" s="1849"/>
      <c r="H35" s="745"/>
      <c r="I35" s="1858"/>
      <c r="J35" s="1859"/>
      <c r="K35" s="1860"/>
      <c r="L35" s="1857"/>
      <c r="M35" s="1857"/>
    </row>
    <row r="36" spans="1:18" ht="18" customHeight="1">
      <c r="A36" s="1352" t="s">
        <v>1039</v>
      </c>
      <c r="B36" s="347" t="s">
        <v>1443</v>
      </c>
      <c r="C36" s="24">
        <f ca="1">ROUND(C29*F36,1)</f>
        <v>44.6</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3.7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4.3</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300</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5368</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7763</v>
      </c>
      <c r="D43" s="383" t="s">
        <v>1482</v>
      </c>
      <c r="E43" s="384" t="s">
        <v>1483</v>
      </c>
      <c r="F43" s="385">
        <f ca="1">INDIRECT("'数据-取费表'!k"&amp;$G$1)</f>
        <v>6914.72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-9194</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5368</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2970</v>
      </c>
      <c r="R49" s="1884" t="s">
        <v>1523</v>
      </c>
    </row>
    <row r="50" spans="1:18" s="1840" customFormat="1" ht="13.5" thickBot="1">
      <c r="A50" s="1196"/>
      <c r="B50" s="1199"/>
      <c r="C50" s="1368"/>
      <c r="D50" s="1173"/>
      <c r="E50" s="1278" t="s">
        <v>1400</v>
      </c>
      <c r="F50" s="1279">
        <f ca="1">F7</f>
        <v>6914.72</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1489</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5368</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2435</v>
      </c>
      <c r="D56" s="1912"/>
      <c r="E56" s="1913"/>
      <c r="F56" s="1905"/>
      <c r="I56" s="1914" t="s">
        <v>1548</v>
      </c>
      <c r="J56" s="1915" t="s">
        <v>3056</v>
      </c>
      <c r="K56" s="1885" t="s">
        <v>1549</v>
      </c>
      <c r="L56" s="1888" t="str">
        <f ca="1">IF(L48&lt;J51,"——",L48-J53)</f>
        <v>——</v>
      </c>
      <c r="O56" s="1882" t="s">
        <v>1040</v>
      </c>
      <c r="P56" s="1883" t="s">
        <v>1522</v>
      </c>
      <c r="Q56" s="1884">
        <f ca="1">C40+J29</f>
        <v>5368</v>
      </c>
      <c r="R56" s="1884" t="s">
        <v>1523</v>
      </c>
    </row>
    <row r="57" spans="1:18" s="1840" customFormat="1" ht="24.75" thickBot="1">
      <c r="A57" s="1916"/>
      <c r="B57" s="1170" t="s">
        <v>1472</v>
      </c>
      <c r="C57" s="282">
        <f ca="1">C29</f>
        <v>2970</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300</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251.8</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249.48</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2.34</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5368</v>
      </c>
      <c r="R62" s="1884" t="s">
        <v>1047</v>
      </c>
    </row>
    <row r="63" spans="1:18" s="1840" customFormat="1" ht="13.5" thickBot="1">
      <c r="A63" s="372"/>
      <c r="B63" s="1176"/>
      <c r="C63" s="29"/>
      <c r="D63" s="1186"/>
      <c r="E63" s="1170" t="s">
        <v>1441</v>
      </c>
      <c r="F63" s="348">
        <f t="shared" ca="1" si="0"/>
        <v>780.12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44.6</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3.7</v>
      </c>
      <c r="D65" s="1184" t="s">
        <v>1448</v>
      </c>
      <c r="E65" s="1170" t="s">
        <v>1416</v>
      </c>
      <c r="F65" s="376">
        <f t="shared" ca="1" si="0"/>
        <v>1.5E-3</v>
      </c>
      <c r="I65" s="1927" t="s">
        <v>1573</v>
      </c>
      <c r="J65" s="1928">
        <v>40</v>
      </c>
      <c r="K65" s="1928">
        <v>30</v>
      </c>
      <c r="L65" s="1928">
        <v>50</v>
      </c>
      <c r="M65" s="1930">
        <v>0.02</v>
      </c>
      <c r="O65" s="1882" t="s">
        <v>1040</v>
      </c>
      <c r="P65" s="1883" t="s">
        <v>1522</v>
      </c>
      <c r="Q65" s="1884">
        <f ca="1">C40+J29</f>
        <v>5368</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-300</v>
      </c>
      <c r="D67" s="1183" t="s">
        <v>1458</v>
      </c>
      <c r="E67" s="1188"/>
      <c r="F67" s="1189"/>
      <c r="O67" s="1892" t="s">
        <v>1042</v>
      </c>
      <c r="P67" s="1883" t="s">
        <v>1556</v>
      </c>
      <c r="Q67" s="1931">
        <f ca="1">L51</f>
        <v>1489</v>
      </c>
      <c r="R67" s="1884" t="s">
        <v>1576</v>
      </c>
    </row>
    <row r="68" spans="1:18" s="1840" customFormat="1" ht="16.5" thickBot="1">
      <c r="A68" s="1167" t="s">
        <v>1032</v>
      </c>
      <c r="B68" s="1168" t="s">
        <v>1479</v>
      </c>
      <c r="C68" s="346">
        <f ca="1">ROUND(C67*(1-((1+F70)/(1+F68))^F69)/(F68-F70),0)</f>
        <v>-3826</v>
      </c>
      <c r="D68" s="1185" t="s">
        <v>1463</v>
      </c>
      <c r="E68" s="1170" t="s">
        <v>1464</v>
      </c>
      <c r="F68" s="357">
        <f ca="1">F40</f>
        <v>7.0000000000000007E-2</v>
      </c>
      <c r="O68" s="1892" t="s">
        <v>1043</v>
      </c>
      <c r="P68" s="1932" t="s">
        <v>1577</v>
      </c>
      <c r="Q68" s="1884">
        <f ca="1">ROUND(Q69-Q70*Q71,0)</f>
        <v>93</v>
      </c>
      <c r="R68" s="1884" t="s">
        <v>1051</v>
      </c>
    </row>
    <row r="69" spans="1:18" s="1840" customFormat="1" ht="13.5" thickBot="1">
      <c r="A69" s="1171"/>
      <c r="B69" s="1172"/>
      <c r="C69" s="351"/>
      <c r="D69" s="1190" t="s">
        <v>1467</v>
      </c>
      <c r="E69" s="1170" t="s">
        <v>1468</v>
      </c>
      <c r="F69" s="379">
        <f ca="1">F41</f>
        <v>33.01</v>
      </c>
      <c r="O69" s="1892" t="s">
        <v>1048</v>
      </c>
      <c r="P69" s="1932" t="s">
        <v>1578</v>
      </c>
      <c r="Q69" s="1884">
        <f ca="1">C39</f>
        <v>300</v>
      </c>
      <c r="R69" s="1884" t="s">
        <v>1523</v>
      </c>
    </row>
    <row r="70" spans="1:18" s="1840" customFormat="1" ht="13.5" thickBot="1">
      <c r="A70" s="1174"/>
      <c r="B70" s="1175"/>
      <c r="C70" s="355"/>
      <c r="D70" s="1186"/>
      <c r="E70" s="1170" t="s">
        <v>1471</v>
      </c>
      <c r="F70" s="1276"/>
      <c r="O70" s="1892" t="s">
        <v>1049</v>
      </c>
      <c r="P70" s="1932" t="s">
        <v>1579</v>
      </c>
      <c r="Q70" s="1884">
        <f ca="1">C13</f>
        <v>2435</v>
      </c>
      <c r="R70" s="1884" t="s">
        <v>1523</v>
      </c>
    </row>
    <row r="71" spans="1:18" s="1840" customFormat="1" ht="13.5" thickBot="1">
      <c r="A71" s="1191" t="s">
        <v>1033</v>
      </c>
      <c r="B71" s="1192" t="s">
        <v>1481</v>
      </c>
      <c r="C71" s="382">
        <f ca="1">ROUND(C68*10000/F71,0)</f>
        <v>-5533</v>
      </c>
      <c r="D71" s="1193" t="s">
        <v>1482</v>
      </c>
      <c r="E71" s="1194" t="s">
        <v>1483</v>
      </c>
      <c r="F71" s="385">
        <f ca="1">F43</f>
        <v>6914.72</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207</v>
      </c>
      <c r="D75" s="1840"/>
      <c r="E75" s="1840"/>
      <c r="F75" s="1840"/>
      <c r="K75" s="1866"/>
      <c r="L75" s="1840"/>
      <c r="O75" s="1882" t="s">
        <v>1046</v>
      </c>
      <c r="P75" s="1883" t="s">
        <v>1543</v>
      </c>
      <c r="Q75" s="1884">
        <f ca="1">Q65+Q66</f>
        <v>5368</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0.31000000000000005</v>
      </c>
    </row>
    <row r="80" spans="1:18">
      <c r="B80" s="386" t="s">
        <v>1505</v>
      </c>
      <c r="C80" s="318">
        <f ca="1">ROUND(C75/C39,3)</f>
        <v>0.69</v>
      </c>
    </row>
    <row r="81" spans="2:3">
      <c r="B81" s="314" t="s">
        <v>1506</v>
      </c>
      <c r="C81" s="282"/>
    </row>
    <row r="82" spans="2:3">
      <c r="B82" s="317" t="s">
        <v>1507</v>
      </c>
      <c r="C82" s="319">
        <f ca="1">1-C83</f>
        <v>0.54600000000000004</v>
      </c>
    </row>
    <row r="83" spans="2:3">
      <c r="B83" s="317" t="s">
        <v>1508</v>
      </c>
      <c r="C83" s="318">
        <f ca="1">ROUND(C13/C40,3)</f>
        <v>0.45400000000000001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08" t="str">
        <f>项目基本情况!S2</f>
        <v>北京市朝阳区东三环中路61号楼“富力万丽酒店”酒店、商业、地下车库、地下仓储用房房地产</v>
      </c>
      <c r="B2" s="3209"/>
      <c r="C2" s="3209"/>
      <c r="D2" s="3209"/>
      <c r="E2" s="3209"/>
      <c r="F2" s="3209"/>
      <c r="G2" s="3209"/>
      <c r="H2" s="3209"/>
      <c r="I2" s="3210"/>
    </row>
    <row r="3" spans="1:12" ht="12.75">
      <c r="A3" s="3211" t="s">
        <v>2105</v>
      </c>
      <c r="B3" s="3212"/>
      <c r="C3" s="3212"/>
      <c r="D3" s="3212"/>
      <c r="E3" s="3212"/>
      <c r="F3" s="3212"/>
      <c r="G3" s="3212"/>
      <c r="H3" s="3212"/>
      <c r="I3" s="3212"/>
    </row>
    <row r="4" spans="1:12" ht="14.25">
      <c r="A4" s="2418" t="s">
        <v>2106</v>
      </c>
      <c r="B4" s="2419" t="s">
        <v>2107</v>
      </c>
      <c r="C4" s="2420"/>
      <c r="D4" s="2420"/>
      <c r="E4" s="3213" t="s">
        <v>2108</v>
      </c>
      <c r="F4" s="3214"/>
      <c r="G4" s="3214"/>
      <c r="H4" s="3214"/>
      <c r="I4" s="3215"/>
      <c r="K4" s="2421" t="str">
        <f>IF(ISNUMBER(FIND("比较法",'结果表（车库）'!C4)),"比较法",IF(ISNUMBER(FIND("成本法",'结果表（车库）'!C4)),"成本法",IF(ISNUMBER(FIND("假设开发法",'结果表（车库）'!C4)),"假设开发法",IF(ISNUMBER(FIND("收益法",'结果表（车库）'!C4)),"收益法","基准地价系数修正法"))))</f>
        <v>基准地价系数修正法</v>
      </c>
      <c r="L4" s="2421" t="str">
        <f>IF(ISNUMBER(FIND("比较法",'结果表（车库）'!D4)),"比较法",IF(ISNUMBER(FIND("成本法",'结果表（车库）'!D4)),"成本法",IF(ISNUMBER(FIND("假设开发法",'结果表（车库）'!D4)),"假设开发法",IF(ISNUMBER(FIND("收益法",'结果表（车库）'!D4)),"收益法","基准地价系数修正法"))))</f>
        <v>基准地价系数修正法</v>
      </c>
    </row>
    <row r="5" spans="1:12" ht="12.75">
      <c r="A5" s="3204" t="s">
        <v>2109</v>
      </c>
      <c r="B5" s="3126">
        <v>25</v>
      </c>
      <c r="C5" s="3205"/>
      <c r="D5" s="3207"/>
      <c r="E5" s="140" t="s">
        <v>2110</v>
      </c>
      <c r="F5" s="2422"/>
      <c r="G5" s="2422"/>
      <c r="H5" s="2422"/>
      <c r="I5" s="1829"/>
    </row>
    <row r="6" spans="1:12" ht="12.75">
      <c r="A6" s="3204"/>
      <c r="B6" s="3126"/>
      <c r="C6" s="3216"/>
      <c r="D6" s="3207"/>
      <c r="E6" s="140" t="s">
        <v>2111</v>
      </c>
      <c r="F6" s="2422"/>
      <c r="G6" s="2422"/>
      <c r="H6" s="2422"/>
      <c r="I6" s="1829"/>
    </row>
    <row r="7" spans="1:12" ht="12.75">
      <c r="A7" s="3204"/>
      <c r="B7" s="3126"/>
      <c r="C7" s="3206"/>
      <c r="D7" s="3207"/>
      <c r="E7" s="140" t="s">
        <v>2112</v>
      </c>
      <c r="F7" s="2422"/>
      <c r="G7" s="2422"/>
      <c r="H7" s="2422"/>
      <c r="I7" s="1829"/>
    </row>
    <row r="8" spans="1:12" ht="12.75">
      <c r="A8" s="3204" t="s">
        <v>2113</v>
      </c>
      <c r="B8" s="3126">
        <v>15</v>
      </c>
      <c r="C8" s="3205"/>
      <c r="D8" s="3207"/>
      <c r="E8" s="140" t="s">
        <v>2114</v>
      </c>
      <c r="F8" s="2422"/>
      <c r="G8" s="2422"/>
      <c r="H8" s="2422"/>
      <c r="I8" s="1829"/>
    </row>
    <row r="9" spans="1:12" ht="12.75">
      <c r="A9" s="3204"/>
      <c r="B9" s="3126"/>
      <c r="C9" s="3206"/>
      <c r="D9" s="3207"/>
      <c r="E9" s="140" t="s">
        <v>2115</v>
      </c>
      <c r="F9" s="2422"/>
      <c r="G9" s="2422"/>
      <c r="H9" s="2422"/>
      <c r="I9" s="1829"/>
    </row>
    <row r="10" spans="1:12" ht="12.75">
      <c r="A10" s="3204" t="s">
        <v>2116</v>
      </c>
      <c r="B10" s="3126">
        <v>15</v>
      </c>
      <c r="C10" s="3205"/>
      <c r="D10" s="3207"/>
      <c r="E10" s="140" t="s">
        <v>2117</v>
      </c>
      <c r="F10" s="2422"/>
      <c r="G10" s="2422"/>
      <c r="H10" s="2422"/>
      <c r="I10" s="1829"/>
    </row>
    <row r="11" spans="1:12" ht="12.75">
      <c r="A11" s="3204"/>
      <c r="B11" s="3126"/>
      <c r="C11" s="3206"/>
      <c r="D11" s="3207"/>
      <c r="E11" s="140" t="s">
        <v>2118</v>
      </c>
      <c r="F11" s="2422"/>
      <c r="G11" s="2422"/>
      <c r="H11" s="2422"/>
      <c r="I11" s="1829"/>
    </row>
    <row r="12" spans="1:12" ht="12.75">
      <c r="A12" s="3204" t="s">
        <v>2119</v>
      </c>
      <c r="B12" s="3126">
        <v>15</v>
      </c>
      <c r="C12" s="3205"/>
      <c r="D12" s="3207"/>
      <c r="E12" s="140" t="s">
        <v>2120</v>
      </c>
      <c r="F12" s="2422"/>
      <c r="G12" s="2422"/>
      <c r="H12" s="2422"/>
      <c r="I12" s="1829"/>
    </row>
    <row r="13" spans="1:12" ht="12.75">
      <c r="A13" s="3204"/>
      <c r="B13" s="3126"/>
      <c r="C13" s="3206"/>
      <c r="D13" s="3207"/>
      <c r="E13" s="140" t="s">
        <v>2121</v>
      </c>
      <c r="F13" s="2422"/>
      <c r="G13" s="2422"/>
      <c r="H13" s="2422"/>
      <c r="I13" s="1829"/>
    </row>
    <row r="14" spans="1:12" ht="12.75">
      <c r="A14" s="3204" t="s">
        <v>2122</v>
      </c>
      <c r="B14" s="3126">
        <v>30</v>
      </c>
      <c r="C14" s="3205"/>
      <c r="D14" s="3207"/>
      <c r="E14" s="140" t="s">
        <v>2123</v>
      </c>
      <c r="F14" s="2422"/>
      <c r="G14" s="2422"/>
      <c r="H14" s="2422"/>
      <c r="I14" s="1829"/>
    </row>
    <row r="15" spans="1:12" ht="12.75">
      <c r="A15" s="3204"/>
      <c r="B15" s="3126"/>
      <c r="C15" s="3216"/>
      <c r="D15" s="3207"/>
      <c r="E15" s="140" t="s">
        <v>2124</v>
      </c>
      <c r="F15" s="2422"/>
      <c r="G15" s="2422"/>
      <c r="H15" s="2422"/>
      <c r="I15" s="1829"/>
    </row>
    <row r="16" spans="1:12" ht="12.75">
      <c r="A16" s="3204"/>
      <c r="B16" s="3126"/>
      <c r="C16" s="3206"/>
      <c r="D16" s="3207"/>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SUMIF(INDIRECT("'"&amp;C4&amp;"'"&amp;"!A:A"),'结果表（车库）'!B19,INDIRECT("'"&amp;C4&amp;"'"&amp;"!B:B"))</f>
        <v>#REF!</v>
      </c>
      <c r="D19" s="144" t="e">
        <f ca="1">SUMIF(INDIRECT("'"&amp;D4&amp;"'"&amp;"!A:A"),'结果表（车库）'!B19,INDIRECT("'"&amp;D4&amp;"'"&amp;"!B:B"))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SUMIF(INDIRECT("'"&amp;C4&amp;"'"&amp;"!A:A"),'结果表（车库）'!B20,INDIRECT("'"&amp;C4&amp;"'"&amp;"!B:B"))</f>
        <v>#REF!</v>
      </c>
      <c r="D20" s="147" t="e">
        <f ca="1">SUMIF(INDIRECT("'"&amp;D4&amp;"'"&amp;"!A:A"),'结果表（车库）'!B20,INDIRECT("'"&amp;D4&amp;"'"&amp;"!B:B"))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17" t="s">
        <v>2140</v>
      </c>
      <c r="B24" s="2428" t="s">
        <v>2132</v>
      </c>
      <c r="C24" s="145">
        <f>IF(B30=0,0,D30)</f>
        <v>0</v>
      </c>
      <c r="D24" s="2435"/>
      <c r="E24" s="138"/>
      <c r="F24" s="138"/>
      <c r="G24" s="138"/>
      <c r="H24" s="138"/>
      <c r="I24" s="138"/>
    </row>
    <row r="25" spans="1:35" ht="14.25">
      <c r="A25" s="3218"/>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19" t="s">
        <v>2154</v>
      </c>
      <c r="B36" s="2454" t="s">
        <v>2155</v>
      </c>
      <c r="C36" s="154"/>
      <c r="D36" s="2455"/>
      <c r="E36" s="2456"/>
      <c r="F36" s="2457"/>
      <c r="G36" s="138"/>
      <c r="H36" s="138"/>
      <c r="I36" s="138"/>
    </row>
    <row r="37" spans="1:15" ht="15.75" thickBot="1">
      <c r="A37" s="3220"/>
      <c r="B37" s="2261" t="s">
        <v>2156</v>
      </c>
      <c r="C37" s="156"/>
      <c r="D37" s="1392"/>
      <c r="E37" s="1392"/>
      <c r="F37" s="2457"/>
      <c r="G37" s="138"/>
      <c r="H37" s="138"/>
      <c r="I37" s="138"/>
    </row>
    <row r="38" spans="1:15" ht="15.75" thickBot="1">
      <c r="A38" s="3221"/>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2" t="s">
        <v>2168</v>
      </c>
      <c r="B45" s="3223"/>
      <c r="C45" s="3224"/>
      <c r="D45" s="164" t="e">
        <f ca="1">ROUND(H101*F45,0)</f>
        <v>#REF!</v>
      </c>
      <c r="E45" s="165" t="s">
        <v>2169</v>
      </c>
      <c r="F45" s="166">
        <v>1</v>
      </c>
      <c r="G45" s="167" t="s">
        <v>2170</v>
      </c>
      <c r="H45" s="138"/>
      <c r="I45" s="138"/>
      <c r="J45" s="3225" t="s">
        <v>2171</v>
      </c>
      <c r="K45" s="3225"/>
      <c r="L45" s="3225"/>
      <c r="M45" s="3225"/>
      <c r="N45" s="3225"/>
      <c r="O45" s="3225"/>
    </row>
    <row r="46" spans="1:15" ht="14.25" customHeight="1">
      <c r="A46" s="3226" t="s">
        <v>2172</v>
      </c>
      <c r="B46" s="3227"/>
      <c r="C46" s="3227"/>
      <c r="D46" s="3227"/>
      <c r="E46" s="3227"/>
      <c r="F46" s="3227"/>
      <c r="G46" s="3228"/>
      <c r="H46" s="2473"/>
      <c r="I46" s="168"/>
      <c r="J46" s="2946">
        <v>1</v>
      </c>
      <c r="K46" s="3225" t="s">
        <v>2173</v>
      </c>
      <c r="L46" s="3225"/>
      <c r="M46" s="3229"/>
      <c r="N46" s="3229"/>
      <c r="O46" s="3229"/>
    </row>
    <row r="47" spans="1:15" ht="12" customHeight="1">
      <c r="A47" s="169" t="s">
        <v>2174</v>
      </c>
      <c r="B47" s="170"/>
      <c r="C47" s="171"/>
      <c r="D47" s="172" t="s">
        <v>2175</v>
      </c>
      <c r="E47" s="24" t="s">
        <v>2176</v>
      </c>
      <c r="F47" s="173" t="s">
        <v>2177</v>
      </c>
      <c r="G47" s="174" t="s">
        <v>2178</v>
      </c>
      <c r="H47" s="2473"/>
      <c r="I47" s="168"/>
      <c r="J47" s="2946">
        <v>2</v>
      </c>
      <c r="K47" s="3225" t="s">
        <v>2179</v>
      </c>
      <c r="L47" s="3225"/>
      <c r="M47" s="3230">
        <f>'数据-取费表'!B2</f>
        <v>43581</v>
      </c>
      <c r="N47" s="3230"/>
      <c r="O47" s="3230"/>
    </row>
    <row r="48" spans="1:15" ht="25.5">
      <c r="A48" s="3231" t="s">
        <v>2180</v>
      </c>
      <c r="B48" s="3232"/>
      <c r="C48" s="3232"/>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25" t="s">
        <v>2183</v>
      </c>
      <c r="L48" s="3225"/>
      <c r="M48" s="3233" t="e">
        <f ca="1">H101</f>
        <v>#REF!</v>
      </c>
      <c r="N48" s="3233"/>
      <c r="O48" s="3233"/>
    </row>
    <row r="49" spans="1:35" ht="25.5" customHeight="1">
      <c r="A49" s="176" t="s">
        <v>2184</v>
      </c>
      <c r="B49" s="3234" t="s">
        <v>2185</v>
      </c>
      <c r="C49" s="3234"/>
      <c r="D49" s="177">
        <v>0</v>
      </c>
      <c r="E49" s="23" t="s">
        <v>2186</v>
      </c>
      <c r="F49" s="28" t="s">
        <v>34</v>
      </c>
      <c r="G49" s="3235"/>
      <c r="H49" s="138"/>
      <c r="I49" s="2476"/>
      <c r="J49" s="2946">
        <v>4</v>
      </c>
      <c r="K49" s="3225" t="str">
        <f>IF(项目基本情况!E8="房地产抵押价值","房地产抵押价值","抵押担保权已注销时的房地产抵押价值")</f>
        <v>房地产抵押价值</v>
      </c>
      <c r="L49" s="3225"/>
      <c r="M49" s="3233" t="e">
        <f ca="1">IF(项目基本情况!E8="房地产抵押价值",H107,H109)</f>
        <v>#REF!</v>
      </c>
      <c r="N49" s="3233"/>
      <c r="O49" s="3233"/>
    </row>
    <row r="50" spans="1:35" ht="25.5" customHeight="1">
      <c r="A50" s="178"/>
      <c r="B50" s="3234" t="s">
        <v>2187</v>
      </c>
      <c r="C50" s="3234"/>
      <c r="D50" s="179"/>
      <c r="E50" s="31"/>
      <c r="F50" s="180"/>
      <c r="G50" s="3236"/>
      <c r="H50" s="138"/>
      <c r="I50" s="2476"/>
      <c r="J50" s="3225" t="s">
        <v>2188</v>
      </c>
      <c r="K50" s="3225"/>
      <c r="L50" s="3225"/>
      <c r="M50" s="3225"/>
      <c r="N50" s="3225"/>
      <c r="O50" s="3225"/>
    </row>
    <row r="51" spans="1:35" ht="12" customHeight="1">
      <c r="A51" s="181"/>
      <c r="B51" s="3234" t="s">
        <v>2189</v>
      </c>
      <c r="C51" s="3234"/>
      <c r="D51" s="182"/>
      <c r="E51" s="30"/>
      <c r="F51" s="180"/>
      <c r="G51" s="3237"/>
      <c r="H51" s="138"/>
      <c r="I51" s="2476"/>
      <c r="J51" s="2939" t="s">
        <v>2190</v>
      </c>
      <c r="K51" s="3225" t="s">
        <v>2191</v>
      </c>
      <c r="L51" s="3225"/>
      <c r="M51" s="2939" t="s">
        <v>2192</v>
      </c>
      <c r="N51" s="2939" t="s">
        <v>2193</v>
      </c>
      <c r="O51" s="2939" t="s">
        <v>2194</v>
      </c>
    </row>
    <row r="52" spans="1:35" ht="24" customHeight="1">
      <c r="A52" s="183" t="s">
        <v>2195</v>
      </c>
      <c r="B52" s="3234" t="s">
        <v>2196</v>
      </c>
      <c r="C52" s="3234"/>
      <c r="D52" s="182" t="e">
        <f ca="1">ROUND(D45*'数据-取费表'!B41/(1+'数据-取费表'!C42),0)</f>
        <v>#REF!</v>
      </c>
      <c r="E52" s="11" t="s">
        <v>2197</v>
      </c>
      <c r="F52" s="184">
        <f>'数据-取费表'!B41</f>
        <v>5.6000000000000001E-2</v>
      </c>
      <c r="G52" s="2478"/>
      <c r="H52" s="138"/>
      <c r="I52" s="2476"/>
      <c r="J52" s="2946">
        <v>1</v>
      </c>
      <c r="K52" s="3240" t="s">
        <v>2198</v>
      </c>
      <c r="L52" s="3240"/>
      <c r="M52" s="1750">
        <f>D48</f>
        <v>0</v>
      </c>
      <c r="N52" s="2946" t="str">
        <f>E48</f>
        <v>销售额×税（费）率</v>
      </c>
      <c r="O52" s="1751" t="str">
        <f>F48</f>
        <v>免征</v>
      </c>
    </row>
    <row r="53" spans="1:35" ht="12" customHeight="1">
      <c r="A53" s="183" t="s">
        <v>2199</v>
      </c>
      <c r="B53" s="3238" t="s">
        <v>2200</v>
      </c>
      <c r="C53" s="3239"/>
      <c r="D53" s="182" t="e">
        <f ca="1">ROUND(D45*'数据-取费表'!B41/(1+'数据-取费表'!C42),0)</f>
        <v>#REF!</v>
      </c>
      <c r="E53" s="11" t="s">
        <v>2197</v>
      </c>
      <c r="F53" s="184">
        <f>'数据-取费表'!B41</f>
        <v>5.6000000000000001E-2</v>
      </c>
      <c r="G53" s="2478"/>
      <c r="H53" s="138"/>
      <c r="I53" s="2476"/>
      <c r="J53" s="2946">
        <v>2</v>
      </c>
      <c r="K53" s="3240" t="s">
        <v>2201</v>
      </c>
      <c r="L53" s="3240"/>
      <c r="M53" s="1750" t="e">
        <f t="shared" ref="M53:O54" ca="1" si="0">D55</f>
        <v>#REF!</v>
      </c>
      <c r="N53" s="2946" t="str">
        <f t="shared" si="0"/>
        <v>销售额×税（费）率</v>
      </c>
      <c r="O53" s="1751">
        <f t="shared" si="0"/>
        <v>5.0000000000000001E-4</v>
      </c>
    </row>
    <row r="54" spans="1:35" ht="12" customHeight="1">
      <c r="A54" s="183" t="s">
        <v>2202</v>
      </c>
      <c r="B54" s="3238" t="s">
        <v>2203</v>
      </c>
      <c r="C54" s="3239"/>
      <c r="D54" s="182" t="e">
        <f ca="1">C68</f>
        <v>#REF!</v>
      </c>
      <c r="E54" s="30" t="s">
        <v>2204</v>
      </c>
      <c r="F54" s="184">
        <f>'数据-取费表'!B41</f>
        <v>5.6000000000000001E-2</v>
      </c>
      <c r="G54" s="2478"/>
      <c r="H54" s="2479"/>
      <c r="I54" s="2476"/>
      <c r="J54" s="2946">
        <v>3</v>
      </c>
      <c r="K54" s="3240" t="s">
        <v>2205</v>
      </c>
      <c r="L54" s="3240"/>
      <c r="M54" s="1750" t="e">
        <f t="shared" ca="1" si="0"/>
        <v>#REF!</v>
      </c>
      <c r="N54" s="2946" t="str">
        <f t="shared" si="0"/>
        <v>增值额×税（费）率</v>
      </c>
      <c r="O54" s="1752" t="str">
        <f t="shared" si="0"/>
        <v>——</v>
      </c>
    </row>
    <row r="55" spans="1:35" ht="24" customHeight="1">
      <c r="A55" s="3241" t="s">
        <v>2206</v>
      </c>
      <c r="B55" s="3232"/>
      <c r="C55" s="3232"/>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40" t="str">
        <f>IF(H59="非个人房产","——","个人所得税")</f>
        <v>——</v>
      </c>
      <c r="L55" s="3240"/>
      <c r="M55" s="1753" t="str">
        <f>D59</f>
        <v>——</v>
      </c>
      <c r="N55" s="2947" t="str">
        <f>E59</f>
        <v>——</v>
      </c>
      <c r="O55" s="1754" t="str">
        <f>F59</f>
        <v>——</v>
      </c>
    </row>
    <row r="56" spans="1:35" ht="24.75">
      <c r="A56" s="3241" t="s">
        <v>2209</v>
      </c>
      <c r="B56" s="3232"/>
      <c r="C56" s="3232"/>
      <c r="D56" s="185" t="e">
        <f ca="1">IF(H56="个人住宅",D57,D58)</f>
        <v>#REF!</v>
      </c>
      <c r="E56" s="11" t="s">
        <v>2210</v>
      </c>
      <c r="F56" s="184" t="str">
        <f>IF(H56="正常",F58,"免征")</f>
        <v>——</v>
      </c>
      <c r="G56" s="2480" t="s">
        <v>2211</v>
      </c>
      <c r="H56" s="2481" t="s">
        <v>2208</v>
      </c>
      <c r="I56" s="2482"/>
      <c r="J56" s="2946" t="str">
        <f>IF(项目基本情况!K6="上海银行",IF(J55="",4,J55+1),"")</f>
        <v/>
      </c>
      <c r="K56" s="3242" t="str">
        <f>IF(项目基本情况!K6="上海银行","其他处置费用","")</f>
        <v/>
      </c>
      <c r="L56" s="3243"/>
      <c r="M56" s="1750" t="str">
        <f>IF(项目基本情况!K6="上海银行",M69,"")</f>
        <v/>
      </c>
      <c r="N56" s="3250" t="str">
        <f>IF(项目基本情况!K6="上海银行","包含处置中涉及的律师、诉讼、拍卖、评估等费用","")</f>
        <v/>
      </c>
      <c r="O56" s="3251"/>
    </row>
    <row r="57" spans="1:35" ht="12.75">
      <c r="A57" s="183" t="s">
        <v>2184</v>
      </c>
      <c r="B57" s="3213" t="s">
        <v>2212</v>
      </c>
      <c r="C57" s="3215"/>
      <c r="D57" s="187">
        <v>0</v>
      </c>
      <c r="E57" s="23" t="s">
        <v>2186</v>
      </c>
      <c r="F57" s="155"/>
      <c r="G57" s="2478"/>
      <c r="H57" s="2482"/>
      <c r="I57" s="2482"/>
      <c r="J57" s="3240">
        <f>IF(AND(J55="",J56=""),4,IF(项目基本情况!K6="上海银行",'结果表（车库）'!J56+1,'结果表（车库）'!J55+1))</f>
        <v>4</v>
      </c>
      <c r="K57" s="3240" t="s">
        <v>2213</v>
      </c>
      <c r="L57" s="2483" t="s">
        <v>2214</v>
      </c>
      <c r="M57" s="1755"/>
      <c r="N57" s="1756">
        <f ca="1">SUMIF(M52:M56,"&lt;9e307")</f>
        <v>0</v>
      </c>
      <c r="O57" s="2484"/>
      <c r="P57" s="1749" t="e">
        <f ca="1">N57/M49</f>
        <v>#REF!</v>
      </c>
    </row>
    <row r="58" spans="1:35" ht="24.75">
      <c r="A58" s="183" t="s">
        <v>2195</v>
      </c>
      <c r="B58" s="3213" t="s">
        <v>2215</v>
      </c>
      <c r="C58" s="3214"/>
      <c r="D58" s="185" t="e">
        <f ca="1">IF(H58="转让取得",C81,C97)</f>
        <v>#REF!</v>
      </c>
      <c r="E58" s="11" t="s">
        <v>2210</v>
      </c>
      <c r="F58" s="24" t="s">
        <v>34</v>
      </c>
      <c r="G58" s="2478"/>
      <c r="H58" s="2481" t="s">
        <v>2216</v>
      </c>
      <c r="I58" s="2482"/>
      <c r="J58" s="3240"/>
      <c r="K58" s="3240"/>
      <c r="L58" s="2483" t="s">
        <v>2217</v>
      </c>
      <c r="M58" s="1757"/>
      <c r="N58" s="2485" t="str">
        <f ca="1">NUMBERSTRING(INT(N57*10000),2)&amp;"元整"</f>
        <v>零元整</v>
      </c>
      <c r="O58" s="2486"/>
    </row>
    <row r="59" spans="1:35" ht="24.75" thickBot="1">
      <c r="A59" s="3252" t="s">
        <v>2218</v>
      </c>
      <c r="B59" s="3253"/>
      <c r="C59" s="3253"/>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4">
        <f>J57+1</f>
        <v>5</v>
      </c>
      <c r="K59" s="3240" t="s">
        <v>2220</v>
      </c>
      <c r="L59" s="2946" t="s">
        <v>2214</v>
      </c>
      <c r="M59" s="1758"/>
      <c r="N59" s="1759" t="e">
        <f ca="1">M49-N57</f>
        <v>#REF!</v>
      </c>
      <c r="O59" s="2488"/>
    </row>
    <row r="60" spans="1:35" ht="12" customHeight="1">
      <c r="A60" s="2489"/>
      <c r="B60" s="2411"/>
      <c r="C60" s="2411"/>
      <c r="D60" s="2411"/>
      <c r="E60" s="2161"/>
      <c r="F60" s="2482"/>
      <c r="G60" s="2482"/>
      <c r="H60" s="2490"/>
      <c r="I60" s="138"/>
      <c r="J60" s="3255"/>
      <c r="K60" s="3240"/>
      <c r="L60" s="2483" t="s">
        <v>2217</v>
      </c>
      <c r="M60" s="1757"/>
      <c r="N60" s="2485" t="e">
        <f ca="1">NUMBERSTRING(INT(N59*10000),2)&amp;"元整"</f>
        <v>#REF!</v>
      </c>
      <c r="O60" s="2486"/>
    </row>
    <row r="61" spans="1:35" ht="13.5" thickBot="1">
      <c r="A61" s="3244" t="s">
        <v>2221</v>
      </c>
      <c r="B61" s="3244"/>
      <c r="C61" s="3244"/>
      <c r="D61" s="3244"/>
      <c r="E61" s="3244"/>
      <c r="F61" s="2482"/>
      <c r="G61" s="2482"/>
      <c r="H61" s="2490"/>
      <c r="I61" s="138"/>
      <c r="J61" s="2946">
        <f>J59+1</f>
        <v>6</v>
      </c>
      <c r="K61" s="3240" t="s">
        <v>2222</v>
      </c>
      <c r="L61" s="3240"/>
      <c r="M61" s="1760"/>
      <c r="N61" s="1761" t="e">
        <f ca="1">ROUND(N59*10000/'数据-汇总表'!E3,0)</f>
        <v>#REF!</v>
      </c>
      <c r="O61" s="2491"/>
    </row>
    <row r="62" spans="1:35" ht="12.75">
      <c r="A62" s="3245" t="s">
        <v>2223</v>
      </c>
      <c r="B62" s="3246"/>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47"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47"/>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47"/>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47"/>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47"/>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47"/>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47"/>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8" t="s">
        <v>2242</v>
      </c>
      <c r="B70" s="3249"/>
      <c r="C70" s="3249"/>
      <c r="D70" s="3249"/>
      <c r="E70" s="3249"/>
      <c r="F70" s="3249"/>
      <c r="G70" s="3249"/>
      <c r="H70" s="324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5" t="s">
        <v>2223</v>
      </c>
      <c r="B71" s="3246"/>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8" t="s">
        <v>2251</v>
      </c>
      <c r="F76" s="3234"/>
      <c r="G76" s="3234"/>
      <c r="H76" s="32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56" t="s">
        <v>2256</v>
      </c>
      <c r="F78" s="3257"/>
      <c r="G78" s="3257"/>
      <c r="H78" s="325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8" t="s">
        <v>2260</v>
      </c>
      <c r="B83" s="3249"/>
      <c r="C83" s="3249"/>
      <c r="D83" s="3249"/>
      <c r="E83" s="3249"/>
      <c r="F83" s="3249"/>
      <c r="G83" s="3249"/>
      <c r="H83" s="324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5" t="s">
        <v>2223</v>
      </c>
      <c r="B84" s="3246"/>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6" t="s">
        <v>2269</v>
      </c>
      <c r="F91" s="3257"/>
      <c r="G91" s="3257"/>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6" t="s">
        <v>2273</v>
      </c>
      <c r="F92" s="3257"/>
      <c r="G92" s="3257"/>
      <c r="H92" s="325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56" t="s">
        <v>2256</v>
      </c>
      <c r="F93" s="3257"/>
      <c r="G93" s="3257"/>
      <c r="H93" s="325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9" t="s">
        <v>2277</v>
      </c>
      <c r="F94" s="3260"/>
      <c r="G94" s="3260"/>
      <c r="H94" s="326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62"/>
      <c r="E100" s="3168" t="s">
        <v>2280</v>
      </c>
      <c r="F100" s="3168"/>
      <c r="G100" s="3168"/>
      <c r="H100" s="3262"/>
      <c r="I100" s="138"/>
    </row>
    <row r="101" spans="1:35" ht="18.75" customHeight="1">
      <c r="A101" s="3263" t="s">
        <v>2281</v>
      </c>
      <c r="B101" s="3264"/>
      <c r="C101" s="736">
        <f>C4</f>
        <v>0</v>
      </c>
      <c r="D101" s="737">
        <f>D4</f>
        <v>0</v>
      </c>
      <c r="E101" s="3265" t="s">
        <v>2282</v>
      </c>
      <c r="F101" s="3266"/>
      <c r="G101" s="2513" t="s">
        <v>2283</v>
      </c>
      <c r="H101" s="1046" t="e">
        <f ca="1">H118</f>
        <v>#REF!</v>
      </c>
      <c r="I101" s="138"/>
    </row>
    <row r="102" spans="1:35" ht="18.75" customHeight="1">
      <c r="A102" s="3267" t="s">
        <v>2284</v>
      </c>
      <c r="B102" s="2513" t="s">
        <v>2283</v>
      </c>
      <c r="C102" s="736" t="e">
        <f ca="1">C19</f>
        <v>#REF!</v>
      </c>
      <c r="D102" s="737" t="e">
        <f ca="1">D19</f>
        <v>#REF!</v>
      </c>
      <c r="E102" s="3265"/>
      <c r="F102" s="3266"/>
      <c r="G102" s="2513" t="s">
        <v>2285</v>
      </c>
      <c r="H102" s="371" t="e">
        <f ca="1">I118</f>
        <v>#REF!</v>
      </c>
      <c r="I102" s="138"/>
    </row>
    <row r="103" spans="1:35" ht="42.75" customHeight="1">
      <c r="A103" s="3267"/>
      <c r="B103" s="2513" t="s">
        <v>2285</v>
      </c>
      <c r="C103" s="738" t="e">
        <f ca="1">C20</f>
        <v>#REF!</v>
      </c>
      <c r="D103" s="739" t="e">
        <f ca="1">D20</f>
        <v>#REF!</v>
      </c>
      <c r="E103" s="3268" t="s">
        <v>2286</v>
      </c>
      <c r="F103" s="3269"/>
      <c r="G103" s="2514" t="s">
        <v>2287</v>
      </c>
      <c r="H103" s="1046">
        <f>IF(D36="正常操作",H104+H105+H106,H105+H106)</f>
        <v>0</v>
      </c>
      <c r="I103" s="138"/>
    </row>
    <row r="104" spans="1:35" ht="18.75" customHeight="1">
      <c r="A104" s="3267"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76"/>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7" t="str">
        <f>IF(项目基本情况!E8="已注销","——","3.房地产抵押价值")</f>
        <v>3.房地产抵押价值</v>
      </c>
      <c r="F107" s="3266"/>
      <c r="G107" s="2513" t="s">
        <v>2283</v>
      </c>
      <c r="H107" s="1046" t="e">
        <f ca="1">IF(E107="——","——",H101-H103)</f>
        <v>#REF!</v>
      </c>
      <c r="I107" s="138"/>
    </row>
    <row r="108" spans="1:35" ht="18.75" customHeight="1">
      <c r="A108" s="138"/>
      <c r="B108" s="138"/>
      <c r="C108" s="138"/>
      <c r="D108" s="138"/>
      <c r="E108" s="3277"/>
      <c r="F108" s="3266"/>
      <c r="G108" s="2513" t="s">
        <v>2285</v>
      </c>
      <c r="H108" s="371" t="e">
        <f ca="1">ROUND(H107*10000/'数据-汇总表'!E3,0)</f>
        <v>#REF!</v>
      </c>
      <c r="I108" s="138"/>
    </row>
    <row r="109" spans="1:35" ht="18.75" customHeight="1">
      <c r="A109" s="138"/>
      <c r="B109" s="138"/>
      <c r="C109" s="138"/>
      <c r="D109" s="138"/>
      <c r="E109" s="3277" t="str">
        <f>IF(项目基本情况!E8="已注销及未注销","4.抵押担保权已注销时的房地产抵押价值",IF(项目基本情况!E8="已注销","3.抵押担保权已注销时的房地产抵押价值","——"))</f>
        <v>——</v>
      </c>
      <c r="F109" s="3266"/>
      <c r="G109" s="2513" t="s">
        <v>2283</v>
      </c>
      <c r="H109" s="348" t="str">
        <f>IF(E109="——","——",H101-H105-H106)</f>
        <v>——</v>
      </c>
      <c r="I109" s="138"/>
    </row>
    <row r="110" spans="1:35" ht="18.75" customHeight="1">
      <c r="A110" s="138"/>
      <c r="B110" s="138"/>
      <c r="C110" s="138"/>
      <c r="D110" s="138"/>
      <c r="E110" s="3277"/>
      <c r="F110" s="3266"/>
      <c r="G110" s="2513" t="s">
        <v>2285</v>
      </c>
      <c r="H110" s="371" t="str">
        <f>IF(H109="——","——",ROUND(H109*10000/'数据-汇总表'!E3,0))</f>
        <v>——</v>
      </c>
      <c r="I110" s="138"/>
    </row>
    <row r="111" spans="1:35" ht="18.75" customHeight="1">
      <c r="A111" s="138"/>
      <c r="B111" s="138"/>
      <c r="C111" s="138"/>
      <c r="D111" s="138"/>
      <c r="E111" s="3278" t="str">
        <f>IF(项目基本情况!E9="抵押净值",IF(OR(项目基本情况!E8="已注销",项目基本情况!E8="房地产抵押价值"),"4.抵押净值","5.抵押净值"),"——")</f>
        <v>——</v>
      </c>
      <c r="F111" s="3279"/>
      <c r="G111" s="2513" t="s">
        <v>2283</v>
      </c>
      <c r="H111" s="1046" t="str">
        <f>IF(E111="——","——",N59)</f>
        <v>——</v>
      </c>
      <c r="I111" s="138"/>
    </row>
    <row r="112" spans="1:35" ht="18.75" customHeight="1" thickBot="1">
      <c r="A112" s="138"/>
      <c r="B112" s="138"/>
      <c r="C112" s="138"/>
      <c r="D112" s="138"/>
      <c r="E112" s="3280"/>
      <c r="F112" s="3281"/>
      <c r="G112" s="2518" t="s">
        <v>2285</v>
      </c>
      <c r="H112" s="790" t="str">
        <f>IF(E111="——","——",N61)</f>
        <v>——</v>
      </c>
      <c r="I112" s="138"/>
    </row>
    <row r="113" spans="1:11" ht="18.75" customHeight="1">
      <c r="A113" s="138"/>
      <c r="B113" s="138"/>
      <c r="C113" s="138"/>
      <c r="D113" s="138"/>
      <c r="E113" s="3282" t="s">
        <v>2291</v>
      </c>
      <c r="F113" s="3282"/>
      <c r="G113" s="3282"/>
      <c r="H113" s="3282"/>
      <c r="I113" s="138"/>
    </row>
    <row r="114" spans="1:11" ht="3.75" customHeight="1">
      <c r="A114" s="2411"/>
      <c r="B114" s="2411"/>
      <c r="C114" s="2411"/>
      <c r="D114" s="2411"/>
      <c r="E114" s="2489"/>
      <c r="F114" s="2489"/>
      <c r="G114" s="2489"/>
      <c r="H114" s="2489"/>
      <c r="I114" s="2411"/>
    </row>
    <row r="115" spans="1:11" ht="18.75" customHeight="1">
      <c r="A115" s="3283" t="s">
        <v>2293</v>
      </c>
      <c r="B115" s="3284"/>
      <c r="C115" s="3284"/>
      <c r="D115" s="3284"/>
      <c r="E115" s="3284"/>
      <c r="F115" s="3284"/>
      <c r="G115" s="3284"/>
      <c r="H115" s="3284"/>
      <c r="I115" s="3285"/>
    </row>
    <row r="116" spans="1:11" ht="27" customHeight="1">
      <c r="A116" s="3126" t="s">
        <v>2294</v>
      </c>
      <c r="B116" s="3271" t="s">
        <v>2295</v>
      </c>
      <c r="C116" s="3271" t="s">
        <v>2296</v>
      </c>
      <c r="D116" s="3273" t="s">
        <v>2297</v>
      </c>
      <c r="E116" s="3274"/>
      <c r="F116" s="3275" t="s">
        <v>2298</v>
      </c>
      <c r="G116" s="3275"/>
      <c r="H116" s="3126" t="s">
        <v>2299</v>
      </c>
      <c r="I116" s="3126"/>
    </row>
    <row r="117" spans="1:11" ht="18.75" customHeight="1">
      <c r="A117" s="3126"/>
      <c r="B117" s="3272"/>
      <c r="C117" s="3272"/>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26" t="s">
        <v>2303</v>
      </c>
      <c r="B119" s="3126"/>
      <c r="C119" s="3126"/>
      <c r="D119" s="3289" t="e">
        <f ca="1">NUMBERSTRING(INT(D118*10000),2)&amp;"元整"</f>
        <v>#REF!</v>
      </c>
      <c r="E119" s="3291"/>
      <c r="F119" s="3289" t="e">
        <f ca="1">NUMBERSTRING(INT(F118*10000),2)&amp;"元整"</f>
        <v>#REF!</v>
      </c>
      <c r="G119" s="3291"/>
      <c r="H119" s="3289" t="e">
        <f ca="1">NUMBERSTRING(INT(H118*10000),2)&amp;"元整"</f>
        <v>#REF!</v>
      </c>
      <c r="I119" s="3291"/>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16" t="str">
        <f>IF(D120=0,"故，本次评估不存在"&amp;A120,"故，本次评估"&amp;A120&amp;"为人民币"&amp;D120&amp;"万元整。")</f>
        <v>故，本次评估不存在估价师知悉的法定优先受偿款</v>
      </c>
    </row>
    <row r="121" spans="1:11" ht="18.75" customHeight="1">
      <c r="A121" s="3286" t="s">
        <v>2303</v>
      </c>
      <c r="B121" s="3287"/>
      <c r="C121" s="3288"/>
      <c r="D121" s="3289" t="str">
        <f>IF(D120=0,"零元整",NUMBERSTRING(INT(D120*10000),2)&amp;"元整")</f>
        <v>零元整</v>
      </c>
      <c r="E121" s="3290"/>
      <c r="F121" s="3290"/>
      <c r="G121" s="3290"/>
      <c r="H121" s="3290"/>
      <c r="I121" s="3291"/>
    </row>
    <row r="122" spans="1:11" ht="18.75" customHeight="1">
      <c r="A122" s="3292" t="str">
        <f>IF(项目基本情况!B9="房地产市场价值","",MID(E107,3,LEN(E107)-2))</f>
        <v>房地产抵押价值</v>
      </c>
      <c r="B122" s="3292"/>
      <c r="C122" s="3292"/>
      <c r="D122" s="3293" t="e">
        <f ca="1">H107</f>
        <v>#REF!</v>
      </c>
      <c r="E122" s="3294"/>
      <c r="F122" s="3294"/>
      <c r="G122" s="3294"/>
      <c r="H122" s="3294"/>
      <c r="I122" s="3295"/>
    </row>
    <row r="123" spans="1:11" ht="18.75" customHeight="1">
      <c r="A123" s="3126" t="s">
        <v>2303</v>
      </c>
      <c r="B123" s="3126"/>
      <c r="C123" s="3126"/>
      <c r="D123" s="3289" t="e">
        <f ca="1">NUMBERSTRING(INT(D122*10000),2)&amp;"元整"</f>
        <v>#REF!</v>
      </c>
      <c r="E123" s="3290"/>
      <c r="F123" s="3290"/>
      <c r="G123" s="3290"/>
      <c r="H123" s="3290"/>
      <c r="I123" s="3291"/>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126" t="s">
        <v>2303</v>
      </c>
      <c r="B125" s="3126"/>
      <c r="C125" s="3126"/>
      <c r="D125" s="3289" t="e">
        <f>NUMBERSTRING(INT(D124*10000),2)&amp;"元整"</f>
        <v>#VALUE!</v>
      </c>
      <c r="E125" s="3290"/>
      <c r="F125" s="3290"/>
      <c r="G125" s="3290"/>
      <c r="H125" s="3290"/>
      <c r="I125" s="3291"/>
    </row>
    <row r="126" spans="1:11" ht="18.75" customHeight="1">
      <c r="A126" s="3292" t="str">
        <f>IF(项目基本情况!B9="房地产市场价值","",MID(E111,3,LEN(E111)-2))</f>
        <v/>
      </c>
      <c r="B126" s="3292"/>
      <c r="C126" s="3292"/>
      <c r="D126" s="3293" t="str">
        <f>H111</f>
        <v>——</v>
      </c>
      <c r="E126" s="3294"/>
      <c r="F126" s="3294"/>
      <c r="G126" s="3294"/>
      <c r="H126" s="3294"/>
      <c r="I126" s="3295"/>
    </row>
    <row r="127" spans="1:11" ht="18.75" customHeight="1">
      <c r="A127" s="3126" t="s">
        <v>2303</v>
      </c>
      <c r="B127" s="3126"/>
      <c r="C127" s="3126"/>
      <c r="D127" s="3289" t="e">
        <f>NUMBERSTRING(INT(D126*10000),2)&amp;"元整"</f>
        <v>#VALUE!</v>
      </c>
      <c r="E127" s="3290"/>
      <c r="F127" s="3290"/>
      <c r="G127" s="3290"/>
      <c r="H127" s="3290"/>
      <c r="I127" s="3291"/>
    </row>
    <row r="128" spans="1:11" ht="21.75" customHeight="1">
      <c r="A128" s="3296" t="s">
        <v>2304</v>
      </c>
      <c r="B128" s="3296"/>
      <c r="C128" s="3296"/>
      <c r="D128" s="3296"/>
      <c r="E128" s="3296"/>
      <c r="F128" s="3296"/>
      <c r="G128" s="3296"/>
      <c r="H128" s="3296"/>
      <c r="I128" s="3296"/>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8" zoomScale="80" zoomScaleNormal="80" zoomScaleSheetLayoutView="90" workbookViewId="0">
      <selection sqref="A1: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3069</v>
      </c>
      <c r="D1" s="1818" t="s">
        <v>70</v>
      </c>
      <c r="E1" s="1819" t="s">
        <v>1381</v>
      </c>
      <c r="F1" s="1284">
        <f ca="1">J53</f>
        <v>33.01</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8785</v>
      </c>
      <c r="C2" s="1843" t="s">
        <v>1510</v>
      </c>
      <c r="D2" s="1843"/>
      <c r="E2" s="1844"/>
      <c r="F2" s="1845"/>
      <c r="G2" s="1846"/>
      <c r="H2" s="1838"/>
      <c r="I2" s="1838"/>
      <c r="J2" s="1838"/>
      <c r="K2" s="1839"/>
      <c r="L2" s="1838"/>
      <c r="M2" s="1838"/>
    </row>
    <row r="3" spans="1:37" ht="18" customHeight="1" thickBot="1">
      <c r="A3" s="1847" t="s">
        <v>1511</v>
      </c>
      <c r="B3" s="1848">
        <f ca="1">IF(ISERROR(B2*10000/F43),0,ROUND(B2*10000/F43,0))</f>
        <v>5495</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744</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744</v>
      </c>
      <c r="D6" s="164" t="s">
        <v>3017</v>
      </c>
      <c r="E6" s="347" t="s">
        <v>1399</v>
      </c>
      <c r="F6" s="348">
        <f ca="1">INDIRECT("'数据-取费表'!u"&amp;$G$1)</f>
        <v>1.5</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15987.419999999998</v>
      </c>
      <c r="G7" s="1849"/>
      <c r="H7" s="349"/>
      <c r="I7" s="3396"/>
      <c r="J7" s="351"/>
      <c r="K7" s="352"/>
      <c r="L7" s="347" t="s">
        <v>1400</v>
      </c>
      <c r="M7" s="348">
        <f ca="1">F7</f>
        <v>15987.419999999998</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5635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4796</v>
      </c>
      <c r="D14" s="2954" t="s">
        <v>1412</v>
      </c>
      <c r="E14" s="2953"/>
      <c r="F14" s="364"/>
      <c r="G14" s="1849"/>
      <c r="H14" s="1202" t="s">
        <v>1035</v>
      </c>
      <c r="I14" s="347" t="s">
        <v>1413</v>
      </c>
      <c r="J14" s="24">
        <f ca="1">C29</f>
        <v>6872</v>
      </c>
      <c r="K14" s="2943"/>
      <c r="L14" s="980"/>
      <c r="M14" s="981"/>
    </row>
    <row r="15" spans="1:37" s="1856" customFormat="1" ht="18" customHeight="1" thickBot="1">
      <c r="A15" s="1202" t="s">
        <v>1036</v>
      </c>
      <c r="B15" s="347" t="s">
        <v>1414</v>
      </c>
      <c r="C15" s="24">
        <f ca="1">ROUND(C14*F15,0)</f>
        <v>240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166</v>
      </c>
      <c r="K16" s="1337" t="s">
        <v>1419</v>
      </c>
      <c r="L16" s="2957"/>
      <c r="M16" s="1295"/>
    </row>
    <row r="17" spans="1:37" s="1856" customFormat="1" ht="18" customHeight="1">
      <c r="A17" s="1202" t="s">
        <v>1384</v>
      </c>
      <c r="B17" s="347" t="s">
        <v>1420</v>
      </c>
      <c r="C17" s="24">
        <f ca="1">ROUND(F17*(F43+INDIRECT("'数据-取费表'!S"&amp;$G$1))/10000,0)</f>
        <v>320</v>
      </c>
      <c r="D17" s="347" t="s">
        <v>1421</v>
      </c>
      <c r="E17" s="347" t="s">
        <v>1422</v>
      </c>
      <c r="F17" s="26">
        <f>'数据-取费表'!B35</f>
        <v>200</v>
      </c>
      <c r="G17" s="1852"/>
      <c r="H17" s="1202" t="s">
        <v>1035</v>
      </c>
      <c r="I17" s="347" t="s">
        <v>1423</v>
      </c>
      <c r="J17" s="24">
        <f ca="1">ROUND(IF(项目基本情况!B11="自然人",J5*M17,J18+J19+J20),1)</f>
        <v>63.1</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72</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5428</v>
      </c>
      <c r="D19" s="140" t="s">
        <v>1430</v>
      </c>
      <c r="E19" s="2941"/>
      <c r="F19" s="26"/>
      <c r="G19" s="1849"/>
      <c r="H19" s="1202" t="s">
        <v>1036</v>
      </c>
      <c r="I19" s="347" t="s">
        <v>1431</v>
      </c>
      <c r="J19" s="24">
        <f ca="1">IF(K19="按租金收入计税",ROUND(J5*M19,2),ROUND(C29*M19*0.7,2))</f>
        <v>57.72</v>
      </c>
      <c r="K19" s="1826" t="s">
        <v>1432</v>
      </c>
      <c r="L19" s="347" t="s">
        <v>1416</v>
      </c>
      <c r="M19" s="367">
        <f>IF(K19="按租金收入计税",'数据-取费表'!B51,'数据-取费表'!B50)</f>
        <v>1.2E-2</v>
      </c>
    </row>
    <row r="20" spans="1:37" s="1856" customFormat="1" ht="18" customHeight="1">
      <c r="A20" s="1202" t="s">
        <v>1039</v>
      </c>
      <c r="B20" s="347" t="s">
        <v>1433</v>
      </c>
      <c r="C20" s="24">
        <f ca="1">ROUND(C19*F20,0)</f>
        <v>163</v>
      </c>
      <c r="D20" s="369" t="s">
        <v>1434</v>
      </c>
      <c r="E20" s="347" t="s">
        <v>1416</v>
      </c>
      <c r="F20" s="367">
        <f>'数据-取费表'!B37</f>
        <v>0.03</v>
      </c>
      <c r="G20" s="1852"/>
      <c r="H20" s="1202" t="s">
        <v>1383</v>
      </c>
      <c r="I20" s="164" t="s">
        <v>1435</v>
      </c>
      <c r="J20" s="25">
        <f ca="1">ROUND(M20*M21/10000,2)</f>
        <v>5.41</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1803.72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103.1</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403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-166</v>
      </c>
      <c r="K25" s="1345" t="s">
        <v>1458</v>
      </c>
      <c r="L25" s="1346"/>
      <c r="M25" s="1347"/>
    </row>
    <row r="26" spans="1:37">
      <c r="A26" s="1202" t="s">
        <v>1034</v>
      </c>
      <c r="B26" s="347" t="s">
        <v>1459</v>
      </c>
      <c r="C26" s="24">
        <f ca="1">ROUND((C19+C20)*F26,0)</f>
        <v>280</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6872</v>
      </c>
      <c r="D29" s="1342"/>
      <c r="E29" s="1340"/>
      <c r="F29" s="1343"/>
      <c r="G29" s="1852"/>
      <c r="H29" s="380" t="s">
        <v>1033</v>
      </c>
      <c r="I29" s="381" t="s">
        <v>1473</v>
      </c>
      <c r="J29" s="382">
        <f ca="1">ROUND(J26/(1+F40)^F41,0)</f>
        <v>0</v>
      </c>
      <c r="K29" s="383" t="s">
        <v>1474</v>
      </c>
      <c r="L29" s="384"/>
      <c r="M29" s="385">
        <f ca="1">INDIRECT("'数据-取费表'!k"&amp;$G$1)</f>
        <v>15987.419999999998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253</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134.4</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39.68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89.28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5.41</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1803.72</v>
      </c>
      <c r="G35" s="1849"/>
      <c r="H35" s="745"/>
      <c r="I35" s="1858"/>
      <c r="J35" s="1859"/>
      <c r="K35" s="1860"/>
      <c r="L35" s="1857"/>
      <c r="M35" s="1857"/>
    </row>
    <row r="36" spans="1:18" ht="18" customHeight="1">
      <c r="A36" s="1352" t="s">
        <v>1039</v>
      </c>
      <c r="B36" s="347" t="s">
        <v>1443</v>
      </c>
      <c r="C36" s="24">
        <f ca="1">ROUND(C29*F36,1)</f>
        <v>103.1</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8.5</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7.4</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491</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8785</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5495</v>
      </c>
      <c r="D43" s="383" t="s">
        <v>1482</v>
      </c>
      <c r="E43" s="384" t="s">
        <v>1483</v>
      </c>
      <c r="F43" s="385">
        <f ca="1">INDIRECT("'数据-取费表'!k"&amp;$G$1)</f>
        <v>15987.419999999998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-17637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8785</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6872</v>
      </c>
      <c r="R49" s="1884" t="s">
        <v>1523</v>
      </c>
    </row>
    <row r="50" spans="1:18" s="1840" customFormat="1" ht="13.5" thickBot="1">
      <c r="A50" s="1196"/>
      <c r="B50" s="1199"/>
      <c r="C50" s="1368"/>
      <c r="D50" s="1173"/>
      <c r="E50" s="1278" t="s">
        <v>1400</v>
      </c>
      <c r="F50" s="1279">
        <f ca="1">F7</f>
        <v>15987.419999999998</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192</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8785</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5635</v>
      </c>
      <c r="D56" s="1912"/>
      <c r="E56" s="1913"/>
      <c r="F56" s="1905"/>
      <c r="I56" s="1914" t="s">
        <v>1548</v>
      </c>
      <c r="J56" s="1915" t="s">
        <v>3056</v>
      </c>
      <c r="K56" s="1885" t="s">
        <v>1549</v>
      </c>
      <c r="L56" s="1888" t="str">
        <f ca="1">IF(L48&lt;J51,"——",L48-J53)</f>
        <v>——</v>
      </c>
      <c r="O56" s="1882" t="s">
        <v>1040</v>
      </c>
      <c r="P56" s="1883" t="s">
        <v>1522</v>
      </c>
      <c r="Q56" s="1884">
        <f ca="1">C40+J29</f>
        <v>8785</v>
      </c>
      <c r="R56" s="1884" t="s">
        <v>1523</v>
      </c>
    </row>
    <row r="57" spans="1:18" s="1840" customFormat="1" ht="24.75" thickBot="1">
      <c r="A57" s="1916"/>
      <c r="B57" s="1170" t="s">
        <v>1472</v>
      </c>
      <c r="C57" s="282">
        <f ca="1">C29</f>
        <v>6872</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694</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582.70000000000005</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577.25</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5.41</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8785</v>
      </c>
      <c r="R62" s="1884" t="s">
        <v>1047</v>
      </c>
    </row>
    <row r="63" spans="1:18" s="1840" customFormat="1" ht="13.5" thickBot="1">
      <c r="A63" s="372"/>
      <c r="B63" s="1176"/>
      <c r="C63" s="29"/>
      <c r="D63" s="1186"/>
      <c r="E63" s="1170" t="s">
        <v>1441</v>
      </c>
      <c r="F63" s="348">
        <f t="shared" ca="1" si="0"/>
        <v>1803.72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103.1</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8.5</v>
      </c>
      <c r="D65" s="1184" t="s">
        <v>1448</v>
      </c>
      <c r="E65" s="1170" t="s">
        <v>1416</v>
      </c>
      <c r="F65" s="376">
        <f t="shared" ca="1" si="0"/>
        <v>1.5E-3</v>
      </c>
      <c r="I65" s="1927" t="s">
        <v>1573</v>
      </c>
      <c r="J65" s="1928">
        <v>40</v>
      </c>
      <c r="K65" s="1928">
        <v>30</v>
      </c>
      <c r="L65" s="1928">
        <v>50</v>
      </c>
      <c r="M65" s="1930">
        <v>0.02</v>
      </c>
      <c r="O65" s="1882" t="s">
        <v>1040</v>
      </c>
      <c r="P65" s="1883" t="s">
        <v>1522</v>
      </c>
      <c r="Q65" s="1884">
        <f ca="1">C40+J29</f>
        <v>8785</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-694</v>
      </c>
      <c r="D67" s="1183" t="s">
        <v>1458</v>
      </c>
      <c r="E67" s="1188"/>
      <c r="F67" s="1189"/>
      <c r="O67" s="1892" t="s">
        <v>1042</v>
      </c>
      <c r="P67" s="1883" t="s">
        <v>1556</v>
      </c>
      <c r="Q67" s="1931">
        <f ca="1">L51</f>
        <v>192</v>
      </c>
      <c r="R67" s="1884" t="s">
        <v>1576</v>
      </c>
    </row>
    <row r="68" spans="1:18" s="1840" customFormat="1" ht="16.5" thickBot="1">
      <c r="A68" s="1167" t="s">
        <v>1032</v>
      </c>
      <c r="B68" s="1168" t="s">
        <v>1479</v>
      </c>
      <c r="C68" s="346">
        <f ca="1">ROUND(C67*(1-((1+F70)/(1+F68))^F69)/(F68-F70),0)</f>
        <v>-8852</v>
      </c>
      <c r="D68" s="1185" t="s">
        <v>1463</v>
      </c>
      <c r="E68" s="1170" t="s">
        <v>1464</v>
      </c>
      <c r="F68" s="357">
        <f ca="1">F40</f>
        <v>7.0000000000000007E-2</v>
      </c>
      <c r="O68" s="1892" t="s">
        <v>1043</v>
      </c>
      <c r="P68" s="1932" t="s">
        <v>1577</v>
      </c>
      <c r="Q68" s="1884">
        <f ca="1">ROUND(Q69-Q70*Q71,0)</f>
        <v>12</v>
      </c>
      <c r="R68" s="1884" t="s">
        <v>1051</v>
      </c>
    </row>
    <row r="69" spans="1:18" s="1840" customFormat="1" ht="13.5" thickBot="1">
      <c r="A69" s="1171"/>
      <c r="B69" s="1172"/>
      <c r="C69" s="351"/>
      <c r="D69" s="1190" t="s">
        <v>1467</v>
      </c>
      <c r="E69" s="1170" t="s">
        <v>1468</v>
      </c>
      <c r="F69" s="379">
        <f ca="1">F41</f>
        <v>33.01</v>
      </c>
      <c r="O69" s="1892" t="s">
        <v>1048</v>
      </c>
      <c r="P69" s="1932" t="s">
        <v>1578</v>
      </c>
      <c r="Q69" s="1884">
        <f ca="1">C39</f>
        <v>491</v>
      </c>
      <c r="R69" s="1884" t="s">
        <v>1523</v>
      </c>
    </row>
    <row r="70" spans="1:18" s="1840" customFormat="1" ht="13.5" thickBot="1">
      <c r="A70" s="1174"/>
      <c r="B70" s="1175"/>
      <c r="C70" s="355"/>
      <c r="D70" s="1186"/>
      <c r="E70" s="1170" t="s">
        <v>1471</v>
      </c>
      <c r="F70" s="1276"/>
      <c r="O70" s="1892" t="s">
        <v>1049</v>
      </c>
      <c r="P70" s="1932" t="s">
        <v>1579</v>
      </c>
      <c r="Q70" s="1884">
        <f ca="1">C13</f>
        <v>5635</v>
      </c>
      <c r="R70" s="1884" t="s">
        <v>1523</v>
      </c>
    </row>
    <row r="71" spans="1:18" s="1840" customFormat="1" ht="13.5" thickBot="1">
      <c r="A71" s="1191" t="s">
        <v>1033</v>
      </c>
      <c r="B71" s="1192" t="s">
        <v>1481</v>
      </c>
      <c r="C71" s="382">
        <f ca="1">ROUND(C68*10000/F71,0)</f>
        <v>-5537</v>
      </c>
      <c r="D71" s="1193" t="s">
        <v>1482</v>
      </c>
      <c r="E71" s="1194" t="s">
        <v>1483</v>
      </c>
      <c r="F71" s="385">
        <f ca="1">F43</f>
        <v>15987.419999999998</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479</v>
      </c>
      <c r="D75" s="1840"/>
      <c r="E75" s="1840"/>
      <c r="F75" s="1840"/>
      <c r="K75" s="1866"/>
      <c r="L75" s="1840"/>
      <c r="O75" s="1882" t="s">
        <v>1046</v>
      </c>
      <c r="P75" s="1883" t="s">
        <v>1543</v>
      </c>
      <c r="Q75" s="1884">
        <f ca="1">Q65+Q66</f>
        <v>8785</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2.4000000000000021E-2</v>
      </c>
    </row>
    <row r="80" spans="1:18">
      <c r="B80" s="386" t="s">
        <v>1505</v>
      </c>
      <c r="C80" s="318">
        <f ca="1">ROUND(C75/C39,3)</f>
        <v>0.97599999999999998</v>
      </c>
    </row>
    <row r="81" spans="2:3">
      <c r="B81" s="314" t="s">
        <v>1506</v>
      </c>
      <c r="C81" s="282"/>
    </row>
    <row r="82" spans="2:3">
      <c r="B82" s="317" t="s">
        <v>1507</v>
      </c>
      <c r="C82" s="319">
        <f ca="1">1-C83</f>
        <v>0.35899999999999999</v>
      </c>
    </row>
    <row r="83" spans="2:3">
      <c r="B83" s="317" t="s">
        <v>1508</v>
      </c>
      <c r="C83" s="318">
        <f ca="1">ROUND(C13/C40,3)</f>
        <v>0.64100000000000001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1635</v>
      </c>
      <c r="B2" s="3103" t="s">
        <v>1636</v>
      </c>
      <c r="C2" s="3103" t="s">
        <v>1637</v>
      </c>
      <c r="D2" s="3103" t="str">
        <f>'结果表（酒店）'!D116</f>
        <v>出让国有建设用地使用权价值</v>
      </c>
      <c r="E2" s="3103"/>
      <c r="F2" s="3103" t="str">
        <f>'结果表（酒店）'!F116</f>
        <v>建筑物价值</v>
      </c>
      <c r="G2" s="3103"/>
      <c r="H2" s="3103" t="str">
        <f>IF(项目基本情况!B9="房地产市场价值","房地产市场价值","房地产价值")</f>
        <v>房地产价值</v>
      </c>
      <c r="I2" s="3103"/>
    </row>
    <row r="3" spans="1:9" ht="15">
      <c r="A3" s="3097"/>
      <c r="B3" s="3097"/>
      <c r="C3" s="3097"/>
      <c r="D3" s="1045" t="s">
        <v>1632</v>
      </c>
      <c r="E3" s="1045" t="s">
        <v>1638</v>
      </c>
      <c r="F3" s="1045" t="s">
        <v>1632</v>
      </c>
      <c r="G3" s="1045" t="s">
        <v>1633</v>
      </c>
      <c r="H3" s="1045" t="s">
        <v>1632</v>
      </c>
      <c r="I3" s="1045" t="s">
        <v>1633</v>
      </c>
    </row>
    <row r="4" spans="1:9" ht="60">
      <c r="A4" s="1971" t="str">
        <f>项目基本情况!S2</f>
        <v>北京市朝阳区东三环中路61号楼“富力万丽酒店”酒店、商业、地下车库、地下仓储用房房地产</v>
      </c>
      <c r="B4" s="1045">
        <f>项目基本情况!C17</f>
        <v>98810.33</v>
      </c>
      <c r="C4" s="1045">
        <f>项目基本情况!C18</f>
        <v>11147.87</v>
      </c>
      <c r="D4" s="1045">
        <f ca="1">'结果表（酒店）'!D118</f>
        <v>298007</v>
      </c>
      <c r="E4" s="1045">
        <f ca="1">'结果表（酒店）'!E118</f>
        <v>30159</v>
      </c>
      <c r="F4" s="1045">
        <f ca="1">'结果表（酒店）'!F118</f>
        <v>75904</v>
      </c>
      <c r="G4" s="1045">
        <f ca="1">'结果表（酒店）'!G118</f>
        <v>7682</v>
      </c>
      <c r="H4" s="1045">
        <f ca="1">'结果表（酒店）'!H118</f>
        <v>373911</v>
      </c>
      <c r="I4" s="1045">
        <f ca="1">'结果表（酒店）'!I118</f>
        <v>37841</v>
      </c>
    </row>
    <row r="5" spans="1:9" ht="30" customHeight="1">
      <c r="A5" s="3097" t="s">
        <v>1634</v>
      </c>
      <c r="B5" s="3097"/>
      <c r="C5" s="3097"/>
      <c r="D5" s="3098" t="str">
        <f ca="1">'结果表（酒店）'!D119</f>
        <v>贰拾玖亿捌仟零柒万元整</v>
      </c>
      <c r="E5" s="3098"/>
      <c r="F5" s="3098" t="str">
        <f ca="1">'结果表（酒店）'!F119</f>
        <v>柒亿伍仟玖佰零肆万元整</v>
      </c>
      <c r="G5" s="3098"/>
      <c r="H5" s="3098" t="str">
        <f ca="1">'结果表（酒店）'!H119</f>
        <v>叁拾柒亿叁仟玖佰壹拾壹万元整</v>
      </c>
      <c r="I5" s="3098"/>
    </row>
    <row r="6" spans="1:9" ht="15.75">
      <c r="A6" s="3096" t="str">
        <f>'结果表（酒店）'!A120</f>
        <v>估价师知悉的法定优先受偿款</v>
      </c>
      <c r="B6" s="3096"/>
      <c r="C6" s="3096"/>
      <c r="D6" s="3096">
        <f>'结果表（酒店）'!D120</f>
        <v>0</v>
      </c>
      <c r="E6" s="3096"/>
      <c r="F6" s="3096"/>
      <c r="G6" s="3096"/>
      <c r="H6" s="3096"/>
      <c r="I6" s="3096"/>
    </row>
    <row r="7" spans="1:9" ht="15">
      <c r="A7" s="3097" t="s">
        <v>1634</v>
      </c>
      <c r="B7" s="3097"/>
      <c r="C7" s="3097"/>
      <c r="D7" s="3099" t="str">
        <f>'结果表（酒店）'!D121</f>
        <v>零元整</v>
      </c>
      <c r="E7" s="3100"/>
      <c r="F7" s="3100"/>
      <c r="G7" s="3100"/>
      <c r="H7" s="3100"/>
      <c r="I7" s="3101"/>
    </row>
    <row r="8" spans="1:9" ht="15.75">
      <c r="A8" s="3096" t="str">
        <f>'结果表（酒店）'!A122</f>
        <v>房地产抵押价值</v>
      </c>
      <c r="B8" s="3096"/>
      <c r="C8" s="3096"/>
      <c r="D8" s="3096">
        <f ca="1">'结果表（酒店）'!D122</f>
        <v>373911</v>
      </c>
      <c r="E8" s="3096"/>
      <c r="F8" s="3096"/>
      <c r="G8" s="3096"/>
      <c r="H8" s="3096"/>
      <c r="I8" s="3096"/>
    </row>
    <row r="9" spans="1:9" ht="15">
      <c r="A9" s="3097" t="s">
        <v>1634</v>
      </c>
      <c r="B9" s="3097"/>
      <c r="C9" s="3097"/>
      <c r="D9" s="3098" t="str">
        <f ca="1">'结果表（酒店）'!D123</f>
        <v>叁拾柒亿叁仟玖佰壹拾壹万元整</v>
      </c>
      <c r="E9" s="3098"/>
      <c r="F9" s="3098"/>
      <c r="G9" s="3098"/>
      <c r="H9" s="3098"/>
      <c r="I9" s="3098"/>
    </row>
    <row r="10" spans="1:9" ht="15.75">
      <c r="A10" s="3096" t="str">
        <f>'结果表（酒店）'!A124</f>
        <v/>
      </c>
      <c r="B10" s="3096"/>
      <c r="C10" s="3096"/>
      <c r="D10" s="3096" t="str">
        <f>'结果表（酒店）'!D124</f>
        <v>——</v>
      </c>
      <c r="E10" s="3096"/>
      <c r="F10" s="3096"/>
      <c r="G10" s="3096"/>
      <c r="H10" s="3096"/>
      <c r="I10" s="3096"/>
    </row>
    <row r="11" spans="1:9" ht="15">
      <c r="A11" s="3097" t="s">
        <v>1634</v>
      </c>
      <c r="B11" s="3097"/>
      <c r="C11" s="3097"/>
      <c r="D11" s="3098" t="e">
        <f>'结果表（酒店）'!D125</f>
        <v>#VALUE!</v>
      </c>
      <c r="E11" s="3098"/>
      <c r="F11" s="3098"/>
      <c r="G11" s="3098"/>
      <c r="H11" s="3098"/>
      <c r="I11" s="3098"/>
    </row>
    <row r="12" spans="1:9" ht="15.75">
      <c r="A12" s="3096" t="str">
        <f>'结果表（酒店）'!A126</f>
        <v/>
      </c>
      <c r="B12" s="3096"/>
      <c r="C12" s="3096"/>
      <c r="D12" s="3096" t="str">
        <f>'结果表（酒店）'!D126</f>
        <v>——</v>
      </c>
      <c r="E12" s="3096"/>
      <c r="F12" s="3096"/>
      <c r="G12" s="3096"/>
      <c r="H12" s="3096"/>
      <c r="I12" s="3096"/>
    </row>
    <row r="13" spans="1:9" ht="15.75" thickBot="1">
      <c r="A13" s="3093" t="s">
        <v>1634</v>
      </c>
      <c r="B13" s="3093"/>
      <c r="C13" s="3093"/>
      <c r="D13" s="3094" t="e">
        <f>'结果表（酒店）'!D127</f>
        <v>#VALUE!</v>
      </c>
      <c r="E13" s="3094"/>
      <c r="F13" s="3094"/>
      <c r="G13" s="3094"/>
      <c r="H13" s="3094"/>
      <c r="I13" s="3094"/>
    </row>
    <row r="14" spans="1:9" ht="15" thickTop="1">
      <c r="A14" s="3095" t="s">
        <v>1639</v>
      </c>
      <c r="B14" s="3095"/>
      <c r="C14" s="3095"/>
      <c r="D14" s="3095"/>
      <c r="E14" s="3095"/>
      <c r="F14" s="3095"/>
      <c r="G14" s="3095"/>
      <c r="H14" s="3095"/>
      <c r="I14" s="3095"/>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F10"/>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2313</v>
      </c>
      <c r="B2" s="2560">
        <f ca="1">SUMIF(B6:B13,"&lt;&gt;#ref!",B6:B13)</f>
        <v>293350</v>
      </c>
      <c r="C2" s="2561" t="s">
        <v>2505</v>
      </c>
      <c r="D2" s="2562" t="s">
        <v>2506</v>
      </c>
      <c r="E2" s="2563">
        <f>SUM(E6:E13)</f>
        <v>98810.33</v>
      </c>
    </row>
    <row r="3" spans="1:6" ht="15.75">
      <c r="A3" s="2559" t="s">
        <v>1389</v>
      </c>
      <c r="B3" s="2560">
        <f ca="1">ROUND(B2*10000/E2,0)</f>
        <v>29688</v>
      </c>
      <c r="C3" s="2561" t="s">
        <v>2513</v>
      </c>
      <c r="D3" s="2564"/>
      <c r="E3" s="2565"/>
    </row>
    <row r="4" spans="1:6" ht="15.75">
      <c r="A4" s="2566"/>
      <c r="B4" s="2564"/>
      <c r="C4" s="2564"/>
      <c r="D4" s="2564"/>
      <c r="E4" s="2565"/>
    </row>
    <row r="5" spans="1:6" ht="15">
      <c r="A5" s="2567" t="s">
        <v>2507</v>
      </c>
      <c r="B5" s="3450" t="s">
        <v>2508</v>
      </c>
      <c r="C5" s="3450"/>
      <c r="D5" s="2568"/>
      <c r="E5" s="2569" t="s">
        <v>2509</v>
      </c>
      <c r="F5" s="2570" t="s">
        <v>2510</v>
      </c>
    </row>
    <row r="6" spans="1:6">
      <c r="A6" s="2571" t="str">
        <f>'数据-取费表'!AN6</f>
        <v>收益法-商业</v>
      </c>
      <c r="B6" s="2570">
        <f ca="1">IF(F6="是",'数据-取费表'!AO6,0)</f>
        <v>31174</v>
      </c>
      <c r="C6" s="2561" t="s">
        <v>2505</v>
      </c>
      <c r="D6" s="2564"/>
      <c r="E6" s="2572">
        <f>IF(OR(A6=0,F6="否"),0,'数据-取费表'!K6+'数据-取费表'!S6)</f>
        <v>10941.939999999999</v>
      </c>
      <c r="F6" s="2573" t="s">
        <v>2511</v>
      </c>
    </row>
    <row r="7" spans="1:6">
      <c r="A7" s="2571" t="str">
        <f>'数据-取费表'!AN7</f>
        <v>收益法-办公</v>
      </c>
      <c r="B7" s="2570">
        <f ca="1">IF(F7="是",'数据-取费表'!AO7,0)</f>
        <v>11379</v>
      </c>
      <c r="C7" s="2561" t="s">
        <v>2505</v>
      </c>
      <c r="D7" s="2564"/>
      <c r="E7" s="2572">
        <f>IF(OR(A7=0,F7="否"),0,'数据-取费表'!K7+'数据-取费表'!S7)</f>
        <v>3358.16</v>
      </c>
      <c r="F7" s="2573" t="s">
        <v>2511</v>
      </c>
    </row>
    <row r="8" spans="1:6">
      <c r="A8" s="2571" t="str">
        <f>'数据-取费表'!AN8</f>
        <v>收益法-酒店</v>
      </c>
      <c r="B8" s="2570">
        <f ca="1">IF(F8="是",'数据-取费表'!AO8,0)</f>
        <v>236644</v>
      </c>
      <c r="C8" s="2561" t="s">
        <v>2505</v>
      </c>
      <c r="D8" s="2564"/>
      <c r="E8" s="2572">
        <f>IF(OR(A8=0,F8="否"),0,'数据-取费表'!K8+'数据-取费表'!S8)</f>
        <v>61608.09</v>
      </c>
      <c r="F8" s="2573" t="s">
        <v>2511</v>
      </c>
    </row>
    <row r="9" spans="1:6">
      <c r="A9" s="2571" t="str">
        <f>'数据-取费表'!AN9</f>
        <v>收益法-车库</v>
      </c>
      <c r="B9" s="2570">
        <f ca="1">IF(F9="是",'数据-取费表'!AO9,0)</f>
        <v>8785</v>
      </c>
      <c r="C9" s="2561" t="s">
        <v>2505</v>
      </c>
      <c r="D9" s="2564"/>
      <c r="E9" s="2572">
        <f>IF(OR(A9=0,F9="否"),0,'数据-取费表'!K9+'数据-取费表'!S9)</f>
        <v>15987.419999999998</v>
      </c>
      <c r="F9" s="2573" t="s">
        <v>2511</v>
      </c>
    </row>
    <row r="10" spans="1:6">
      <c r="A10" s="2571" t="str">
        <f>'数据-取费表'!AN10</f>
        <v>收益法-库房</v>
      </c>
      <c r="B10" s="2570">
        <f ca="1">IF(F10="是",'数据-取费表'!AO10,0)</f>
        <v>5368</v>
      </c>
      <c r="C10" s="2561" t="s">
        <v>2505</v>
      </c>
      <c r="D10" s="2564"/>
      <c r="E10" s="2572">
        <f>IF(OR(A10=0,F10="否"),0,'数据-取费表'!K10+'数据-取费表'!S10)</f>
        <v>6914.72</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51" t="s">
        <v>183</v>
      </c>
      <c r="B18" s="880" t="s">
        <v>560</v>
      </c>
      <c r="C18" s="881" t="s">
        <v>561</v>
      </c>
      <c r="D18" s="882"/>
      <c r="E18" s="880">
        <v>1</v>
      </c>
      <c r="F18" s="883" t="s">
        <v>562</v>
      </c>
      <c r="G18" s="884"/>
      <c r="H18" s="876"/>
      <c r="I18" s="876"/>
    </row>
    <row r="19" spans="1:9" s="885" customFormat="1" ht="19.5" customHeight="1">
      <c r="A19" s="3451"/>
      <c r="B19" s="3451" t="s">
        <v>563</v>
      </c>
      <c r="C19" s="881" t="s">
        <v>564</v>
      </c>
      <c r="D19" s="882"/>
      <c r="E19" s="880">
        <v>0.9</v>
      </c>
      <c r="F19" s="883" t="s">
        <v>565</v>
      </c>
      <c r="G19" s="884"/>
      <c r="H19" s="876"/>
      <c r="I19" s="876"/>
    </row>
    <row r="20" spans="1:9" s="885" customFormat="1" ht="19.5" customHeight="1">
      <c r="A20" s="3451"/>
      <c r="B20" s="3451"/>
      <c r="C20" s="881" t="s">
        <v>566</v>
      </c>
      <c r="D20" s="882"/>
      <c r="E20" s="880">
        <v>1.1000000000000001</v>
      </c>
      <c r="F20" s="883" t="s">
        <v>567</v>
      </c>
      <c r="G20" s="884"/>
      <c r="H20" s="876"/>
      <c r="I20" s="876"/>
    </row>
    <row r="21" spans="1:9" s="885" customFormat="1" ht="19.5" customHeight="1">
      <c r="A21" s="3451"/>
      <c r="B21" s="3451"/>
      <c r="C21" s="881" t="s">
        <v>568</v>
      </c>
      <c r="D21" s="882"/>
      <c r="E21" s="880">
        <v>0.8</v>
      </c>
      <c r="F21" s="883" t="s">
        <v>569</v>
      </c>
      <c r="G21" s="884"/>
      <c r="H21" s="876"/>
      <c r="I21" s="876"/>
    </row>
    <row r="22" spans="1:9" s="885" customFormat="1" ht="19.5" customHeight="1">
      <c r="A22" s="3451"/>
      <c r="B22" s="3451"/>
      <c r="C22" s="881" t="s">
        <v>570</v>
      </c>
      <c r="D22" s="882"/>
      <c r="E22" s="880">
        <v>0.5</v>
      </c>
      <c r="F22" s="883"/>
      <c r="G22" s="884"/>
      <c r="H22" s="876"/>
      <c r="I22" s="876"/>
    </row>
    <row r="23" spans="1:9" s="885" customFormat="1" ht="19.5" customHeight="1">
      <c r="A23" s="3451" t="s">
        <v>184</v>
      </c>
      <c r="B23" s="880" t="s">
        <v>560</v>
      </c>
      <c r="C23" s="881" t="s">
        <v>571</v>
      </c>
      <c r="D23" s="882"/>
      <c r="E23" s="880">
        <v>1</v>
      </c>
      <c r="F23" s="883" t="s">
        <v>572</v>
      </c>
      <c r="G23" s="884"/>
      <c r="H23" s="876"/>
      <c r="I23" s="876"/>
    </row>
    <row r="24" spans="1:9" s="885" customFormat="1" ht="19.5" customHeight="1">
      <c r="A24" s="3451"/>
      <c r="B24" s="3451" t="s">
        <v>563</v>
      </c>
      <c r="C24" s="881" t="s">
        <v>573</v>
      </c>
      <c r="D24" s="882"/>
      <c r="E24" s="880">
        <v>0.5</v>
      </c>
      <c r="F24" s="883"/>
      <c r="G24" s="884"/>
      <c r="H24" s="876"/>
      <c r="I24" s="876"/>
    </row>
    <row r="25" spans="1:9" s="885" customFormat="1" ht="19.5" customHeight="1">
      <c r="A25" s="3451"/>
      <c r="B25" s="3451"/>
      <c r="C25" s="881" t="s">
        <v>574</v>
      </c>
      <c r="D25" s="882"/>
      <c r="E25" s="880">
        <v>1.1000000000000001</v>
      </c>
      <c r="F25" s="883"/>
      <c r="G25" s="884"/>
      <c r="H25" s="876"/>
      <c r="I25" s="876"/>
    </row>
    <row r="26" spans="1:9" s="885" customFormat="1" ht="19.5" customHeight="1">
      <c r="A26" s="3451"/>
      <c r="B26" s="3451"/>
      <c r="C26" s="881" t="s">
        <v>575</v>
      </c>
      <c r="D26" s="882"/>
      <c r="E26" s="880">
        <v>1.1000000000000001</v>
      </c>
      <c r="F26" s="883"/>
      <c r="G26" s="884"/>
      <c r="H26" s="876"/>
      <c r="I26" s="876"/>
    </row>
    <row r="27" spans="1:9" s="885" customFormat="1" ht="19.5" customHeight="1">
      <c r="A27" s="3451"/>
      <c r="B27" s="3451"/>
      <c r="C27" s="881" t="s">
        <v>576</v>
      </c>
      <c r="D27" s="882"/>
      <c r="E27" s="880">
        <v>0.9</v>
      </c>
      <c r="F27" s="883" t="s">
        <v>577</v>
      </c>
      <c r="G27" s="884"/>
      <c r="H27" s="876"/>
      <c r="I27" s="876"/>
    </row>
    <row r="28" spans="1:9" s="885" customFormat="1" ht="19.5" customHeight="1">
      <c r="A28" s="3451"/>
      <c r="B28" s="3451"/>
      <c r="C28" s="881" t="s">
        <v>578</v>
      </c>
      <c r="D28" s="882"/>
      <c r="E28" s="880">
        <v>0.9</v>
      </c>
      <c r="F28" s="883" t="s">
        <v>579</v>
      </c>
      <c r="G28" s="884"/>
      <c r="H28" s="876"/>
      <c r="I28" s="876"/>
    </row>
    <row r="29" spans="1:9" s="885" customFormat="1" ht="19.5" customHeight="1">
      <c r="A29" s="3451"/>
      <c r="B29" s="3451"/>
      <c r="C29" s="881" t="s">
        <v>580</v>
      </c>
      <c r="D29" s="882"/>
      <c r="E29" s="880">
        <v>0.9</v>
      </c>
      <c r="F29" s="883" t="s">
        <v>581</v>
      </c>
      <c r="G29" s="884"/>
      <c r="H29" s="876"/>
      <c r="I29" s="876"/>
    </row>
    <row r="30" spans="1:9" s="885" customFormat="1" ht="19.5" customHeight="1">
      <c r="A30" s="3451"/>
      <c r="B30" s="3451"/>
      <c r="C30" s="881" t="s">
        <v>582</v>
      </c>
      <c r="D30" s="882"/>
      <c r="E30" s="880">
        <v>0.9</v>
      </c>
      <c r="F30" s="883" t="s">
        <v>583</v>
      </c>
      <c r="G30" s="884"/>
      <c r="H30" s="876"/>
      <c r="I30" s="876"/>
    </row>
    <row r="31" spans="1:9" s="885" customFormat="1" ht="19.5" customHeight="1">
      <c r="A31" s="3451"/>
      <c r="B31" s="3451"/>
      <c r="C31" s="881" t="s">
        <v>584</v>
      </c>
      <c r="D31" s="882"/>
      <c r="E31" s="880">
        <v>0.8</v>
      </c>
      <c r="F31" s="883" t="s">
        <v>585</v>
      </c>
      <c r="G31" s="884"/>
      <c r="H31" s="876"/>
      <c r="I31" s="876"/>
    </row>
    <row r="32" spans="1:9" s="885" customFormat="1" ht="19.5" customHeight="1">
      <c r="A32" s="3451"/>
      <c r="B32" s="3451"/>
      <c r="C32" s="881" t="s">
        <v>586</v>
      </c>
      <c r="D32" s="882"/>
      <c r="E32" s="880">
        <v>0.8</v>
      </c>
      <c r="F32" s="883" t="s">
        <v>587</v>
      </c>
      <c r="G32" s="884"/>
      <c r="H32" s="876"/>
      <c r="I32" s="876"/>
    </row>
    <row r="33" spans="1:9" s="885" customFormat="1" ht="19.5" customHeight="1">
      <c r="A33" s="3451" t="s">
        <v>185</v>
      </c>
      <c r="B33" s="880" t="s">
        <v>560</v>
      </c>
      <c r="C33" s="881" t="s">
        <v>588</v>
      </c>
      <c r="D33" s="882"/>
      <c r="E33" s="880">
        <v>1</v>
      </c>
      <c r="F33" s="883" t="s">
        <v>589</v>
      </c>
      <c r="G33" s="884"/>
      <c r="H33" s="876"/>
      <c r="I33" s="876"/>
    </row>
    <row r="34" spans="1:9" s="885" customFormat="1" ht="19.5" customHeight="1">
      <c r="A34" s="3451"/>
      <c r="B34" s="880" t="s">
        <v>563</v>
      </c>
      <c r="C34" s="881" t="s">
        <v>590</v>
      </c>
      <c r="D34" s="882"/>
      <c r="E34" s="880">
        <v>1.5</v>
      </c>
      <c r="F34" s="883" t="s">
        <v>591</v>
      </c>
      <c r="G34" s="884"/>
      <c r="H34" s="876"/>
      <c r="I34" s="876"/>
    </row>
    <row r="35" spans="1:9" s="885" customFormat="1" ht="19.5" customHeight="1">
      <c r="A35" s="3451" t="s">
        <v>186</v>
      </c>
      <c r="B35" s="880" t="s">
        <v>560</v>
      </c>
      <c r="C35" s="881" t="s">
        <v>592</v>
      </c>
      <c r="D35" s="882"/>
      <c r="E35" s="880">
        <v>1</v>
      </c>
      <c r="F35" s="883" t="s">
        <v>593</v>
      </c>
      <c r="G35" s="884"/>
      <c r="H35" s="876"/>
      <c r="I35" s="876"/>
    </row>
    <row r="36" spans="1:9" s="885" customFormat="1" ht="19.5" customHeight="1">
      <c r="A36" s="3451"/>
      <c r="B36" s="3451" t="s">
        <v>563</v>
      </c>
      <c r="C36" s="881" t="s">
        <v>594</v>
      </c>
      <c r="D36" s="882"/>
      <c r="E36" s="880">
        <v>1</v>
      </c>
      <c r="F36" s="883" t="s">
        <v>595</v>
      </c>
      <c r="G36" s="884"/>
      <c r="H36" s="876"/>
      <c r="I36" s="876"/>
    </row>
    <row r="37" spans="1:9" s="885" customFormat="1" ht="19.5" customHeight="1">
      <c r="A37" s="3451"/>
      <c r="B37" s="3451"/>
      <c r="C37" s="881" t="s">
        <v>596</v>
      </c>
      <c r="D37" s="882"/>
      <c r="E37" s="880">
        <v>1.5</v>
      </c>
      <c r="F37" s="883" t="s">
        <v>597</v>
      </c>
      <c r="G37" s="884"/>
      <c r="H37" s="876"/>
      <c r="I37" s="876"/>
    </row>
    <row r="38" spans="1:9" s="885" customFormat="1" ht="19.5" customHeight="1">
      <c r="A38" s="3451"/>
      <c r="B38" s="3451"/>
      <c r="C38" s="881" t="s">
        <v>598</v>
      </c>
      <c r="D38" s="882"/>
      <c r="E38" s="880">
        <v>1</v>
      </c>
      <c r="F38" s="883" t="s">
        <v>599</v>
      </c>
      <c r="G38" s="884"/>
      <c r="H38" s="876"/>
      <c r="I38" s="876"/>
    </row>
    <row r="39" spans="1:9" s="885" customFormat="1" ht="19.5" customHeight="1">
      <c r="A39" s="3451"/>
      <c r="B39" s="345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51" t="s">
        <v>614</v>
      </c>
      <c r="C61" s="816" t="s">
        <v>615</v>
      </c>
      <c r="D61" s="816" t="s">
        <v>616</v>
      </c>
      <c r="E61" s="893">
        <v>0.5</v>
      </c>
      <c r="F61" s="880">
        <v>80</v>
      </c>
    </row>
    <row r="62" spans="1:8" s="876" customFormat="1" ht="24">
      <c r="A62" s="880">
        <v>2</v>
      </c>
      <c r="B62" s="3451"/>
      <c r="C62" s="816" t="s">
        <v>617</v>
      </c>
      <c r="D62" s="816" t="s">
        <v>618</v>
      </c>
      <c r="E62" s="893">
        <v>0.5</v>
      </c>
      <c r="F62" s="880">
        <v>80</v>
      </c>
    </row>
    <row r="63" spans="1:8" s="876" customFormat="1" ht="36">
      <c r="A63" s="880">
        <v>3</v>
      </c>
      <c r="B63" s="3451"/>
      <c r="C63" s="816" t="s">
        <v>619</v>
      </c>
      <c r="D63" s="816" t="s">
        <v>620</v>
      </c>
      <c r="E63" s="893">
        <v>0.5</v>
      </c>
      <c r="F63" s="880">
        <v>80</v>
      </c>
    </row>
    <row r="64" spans="1:8" s="876" customFormat="1" ht="36">
      <c r="A64" s="880">
        <v>4</v>
      </c>
      <c r="B64" s="3451"/>
      <c r="C64" s="816" t="s">
        <v>621</v>
      </c>
      <c r="D64" s="816" t="s">
        <v>622</v>
      </c>
      <c r="E64" s="893">
        <v>0.4</v>
      </c>
      <c r="F64" s="880">
        <v>60</v>
      </c>
    </row>
    <row r="65" spans="1:6" s="876" customFormat="1" ht="36">
      <c r="A65" s="880">
        <v>5</v>
      </c>
      <c r="B65" s="3451"/>
      <c r="C65" s="816" t="s">
        <v>623</v>
      </c>
      <c r="D65" s="816" t="s">
        <v>624</v>
      </c>
      <c r="E65" s="893">
        <v>0.2</v>
      </c>
      <c r="F65" s="880">
        <v>30</v>
      </c>
    </row>
    <row r="66" spans="1:6" s="876" customFormat="1" ht="36">
      <c r="A66" s="880">
        <v>6</v>
      </c>
      <c r="B66" s="3451"/>
      <c r="C66" s="816" t="s">
        <v>625</v>
      </c>
      <c r="D66" s="816" t="s">
        <v>626</v>
      </c>
      <c r="E66" s="893">
        <v>0.3</v>
      </c>
      <c r="F66" s="880">
        <v>50</v>
      </c>
    </row>
    <row r="67" spans="1:6" s="876" customFormat="1" ht="36">
      <c r="A67" s="880">
        <v>7</v>
      </c>
      <c r="B67" s="3451"/>
      <c r="C67" s="816" t="s">
        <v>627</v>
      </c>
      <c r="D67" s="816" t="s">
        <v>628</v>
      </c>
      <c r="E67" s="893">
        <v>0.2</v>
      </c>
      <c r="F67" s="880">
        <v>30</v>
      </c>
    </row>
    <row r="68" spans="1:6" s="876" customFormat="1" ht="36">
      <c r="A68" s="880">
        <v>8</v>
      </c>
      <c r="B68" s="3451"/>
      <c r="C68" s="816" t="s">
        <v>629</v>
      </c>
      <c r="D68" s="816" t="s">
        <v>630</v>
      </c>
      <c r="E68" s="893">
        <v>0.2</v>
      </c>
      <c r="F68" s="880">
        <v>30</v>
      </c>
    </row>
    <row r="69" spans="1:6" s="876" customFormat="1" ht="36">
      <c r="A69" s="880">
        <v>9</v>
      </c>
      <c r="B69" s="3451"/>
      <c r="C69" s="816" t="s">
        <v>631</v>
      </c>
      <c r="D69" s="816" t="s">
        <v>632</v>
      </c>
      <c r="E69" s="893">
        <v>0.2</v>
      </c>
      <c r="F69" s="880">
        <v>30</v>
      </c>
    </row>
    <row r="70" spans="1:6" s="876" customFormat="1" ht="48">
      <c r="A70" s="880">
        <v>10</v>
      </c>
      <c r="B70" s="3451"/>
      <c r="C70" s="816" t="s">
        <v>633</v>
      </c>
      <c r="D70" s="816" t="s">
        <v>634</v>
      </c>
      <c r="E70" s="893">
        <v>0.2</v>
      </c>
      <c r="F70" s="880">
        <v>30</v>
      </c>
    </row>
    <row r="71" spans="1:6" s="876" customFormat="1" ht="48">
      <c r="A71" s="880">
        <v>11</v>
      </c>
      <c r="B71" s="3451"/>
      <c r="C71" s="816" t="s">
        <v>635</v>
      </c>
      <c r="D71" s="816" t="s">
        <v>636</v>
      </c>
      <c r="E71" s="893">
        <v>0.2</v>
      </c>
      <c r="F71" s="880">
        <v>30</v>
      </c>
    </row>
    <row r="72" spans="1:6" s="876" customFormat="1" ht="36">
      <c r="A72" s="880">
        <v>12</v>
      </c>
      <c r="B72" s="3451"/>
      <c r="C72" s="816" t="s">
        <v>637</v>
      </c>
      <c r="D72" s="816" t="s">
        <v>638</v>
      </c>
      <c r="E72" s="893">
        <v>0.5</v>
      </c>
      <c r="F72" s="880">
        <v>80</v>
      </c>
    </row>
    <row r="73" spans="1:6" s="876" customFormat="1" ht="24">
      <c r="A73" s="880">
        <v>13</v>
      </c>
      <c r="B73" s="3451"/>
      <c r="C73" s="816" t="s">
        <v>639</v>
      </c>
      <c r="D73" s="816" t="s">
        <v>640</v>
      </c>
      <c r="E73" s="893">
        <v>0.4</v>
      </c>
      <c r="F73" s="880">
        <v>60</v>
      </c>
    </row>
    <row r="74" spans="1:6" s="876" customFormat="1" ht="24">
      <c r="A74" s="880">
        <v>14</v>
      </c>
      <c r="B74" s="3451"/>
      <c r="C74" s="816" t="s">
        <v>641</v>
      </c>
      <c r="D74" s="816" t="s">
        <v>642</v>
      </c>
      <c r="E74" s="893">
        <v>0.2</v>
      </c>
      <c r="F74" s="880">
        <v>30</v>
      </c>
    </row>
    <row r="75" spans="1:6" s="876" customFormat="1" ht="24">
      <c r="A75" s="880">
        <v>15</v>
      </c>
      <c r="B75" s="3451"/>
      <c r="C75" s="816" t="s">
        <v>643</v>
      </c>
      <c r="D75" s="816" t="s">
        <v>644</v>
      </c>
      <c r="E75" s="893">
        <v>0.2</v>
      </c>
      <c r="F75" s="880">
        <v>30</v>
      </c>
    </row>
    <row r="76" spans="1:6" s="876" customFormat="1" ht="24">
      <c r="A76" s="880">
        <v>16</v>
      </c>
      <c r="B76" s="3451" t="s">
        <v>645</v>
      </c>
      <c r="C76" s="816" t="s">
        <v>646</v>
      </c>
      <c r="D76" s="816" t="s">
        <v>647</v>
      </c>
      <c r="E76" s="893">
        <v>0.5</v>
      </c>
      <c r="F76" s="880">
        <v>80</v>
      </c>
    </row>
    <row r="77" spans="1:6" s="876" customFormat="1" ht="24">
      <c r="A77" s="880">
        <v>17</v>
      </c>
      <c r="B77" s="3451"/>
      <c r="C77" s="816" t="s">
        <v>648</v>
      </c>
      <c r="D77" s="816" t="s">
        <v>649</v>
      </c>
      <c r="E77" s="893">
        <v>0.5</v>
      </c>
      <c r="F77" s="880">
        <v>80</v>
      </c>
    </row>
    <row r="78" spans="1:6" s="876" customFormat="1" ht="24">
      <c r="A78" s="880">
        <v>18</v>
      </c>
      <c r="B78" s="3451"/>
      <c r="C78" s="816" t="s">
        <v>650</v>
      </c>
      <c r="D78" s="816" t="s">
        <v>651</v>
      </c>
      <c r="E78" s="893">
        <v>0.2</v>
      </c>
      <c r="F78" s="880">
        <v>30</v>
      </c>
    </row>
    <row r="79" spans="1:6" s="876" customFormat="1" ht="24">
      <c r="A79" s="880">
        <v>19</v>
      </c>
      <c r="B79" s="3451"/>
      <c r="C79" s="816" t="s">
        <v>652</v>
      </c>
      <c r="D79" s="816" t="s">
        <v>653</v>
      </c>
      <c r="E79" s="893">
        <v>0.5</v>
      </c>
      <c r="F79" s="880">
        <v>80</v>
      </c>
    </row>
    <row r="80" spans="1:6" s="876" customFormat="1" ht="36">
      <c r="A80" s="880">
        <v>20</v>
      </c>
      <c r="B80" s="3451"/>
      <c r="C80" s="816" t="s">
        <v>654</v>
      </c>
      <c r="D80" s="816" t="s">
        <v>655</v>
      </c>
      <c r="E80" s="893">
        <v>0.2</v>
      </c>
      <c r="F80" s="880">
        <v>30</v>
      </c>
    </row>
    <row r="81" spans="1:6" s="876" customFormat="1" ht="36">
      <c r="A81" s="880">
        <v>21</v>
      </c>
      <c r="B81" s="3451"/>
      <c r="C81" s="816" t="s">
        <v>656</v>
      </c>
      <c r="D81" s="816" t="s">
        <v>657</v>
      </c>
      <c r="E81" s="893">
        <v>0.2</v>
      </c>
      <c r="F81" s="880">
        <v>30</v>
      </c>
    </row>
    <row r="82" spans="1:6" s="876" customFormat="1" ht="48">
      <c r="A82" s="880">
        <v>22</v>
      </c>
      <c r="B82" s="3451"/>
      <c r="C82" s="816" t="s">
        <v>658</v>
      </c>
      <c r="D82" s="816" t="s">
        <v>659</v>
      </c>
      <c r="E82" s="893">
        <v>0.2</v>
      </c>
      <c r="F82" s="880">
        <v>30</v>
      </c>
    </row>
    <row r="83" spans="1:6" s="876" customFormat="1" ht="48">
      <c r="A83" s="880">
        <v>23</v>
      </c>
      <c r="B83" s="3451"/>
      <c r="C83" s="816" t="s">
        <v>660</v>
      </c>
      <c r="D83" s="816" t="s">
        <v>661</v>
      </c>
      <c r="E83" s="893">
        <v>0.2</v>
      </c>
      <c r="F83" s="880">
        <v>30</v>
      </c>
    </row>
    <row r="84" spans="1:6" s="876" customFormat="1" ht="36">
      <c r="A84" s="880">
        <v>24</v>
      </c>
      <c r="B84" s="3451"/>
      <c r="C84" s="816" t="s">
        <v>662</v>
      </c>
      <c r="D84" s="816" t="s">
        <v>663</v>
      </c>
      <c r="E84" s="893">
        <v>0.2</v>
      </c>
      <c r="F84" s="880">
        <v>30</v>
      </c>
    </row>
    <row r="85" spans="1:6" s="876" customFormat="1" ht="36">
      <c r="A85" s="880">
        <v>25</v>
      </c>
      <c r="B85" s="3451"/>
      <c r="C85" s="816" t="s">
        <v>664</v>
      </c>
      <c r="D85" s="816" t="s">
        <v>665</v>
      </c>
      <c r="E85" s="893">
        <v>0.5</v>
      </c>
      <c r="F85" s="880">
        <v>80</v>
      </c>
    </row>
    <row r="86" spans="1:6" s="876" customFormat="1" ht="36">
      <c r="A86" s="880">
        <v>26</v>
      </c>
      <c r="B86" s="3451"/>
      <c r="C86" s="816" t="s">
        <v>666</v>
      </c>
      <c r="D86" s="816" t="s">
        <v>667</v>
      </c>
      <c r="E86" s="893">
        <v>0.2</v>
      </c>
      <c r="F86" s="880">
        <v>30</v>
      </c>
    </row>
    <row r="87" spans="1:6" s="876" customFormat="1" ht="36">
      <c r="A87" s="880">
        <v>27</v>
      </c>
      <c r="B87" s="3451"/>
      <c r="C87" s="816" t="s">
        <v>668</v>
      </c>
      <c r="D87" s="816" t="s">
        <v>669</v>
      </c>
      <c r="E87" s="893">
        <v>0.2</v>
      </c>
      <c r="F87" s="880">
        <v>30</v>
      </c>
    </row>
    <row r="88" spans="1:6" s="876" customFormat="1" ht="36">
      <c r="A88" s="880">
        <v>28</v>
      </c>
      <c r="B88" s="3451"/>
      <c r="C88" s="816" t="s">
        <v>670</v>
      </c>
      <c r="D88" s="816" t="s">
        <v>671</v>
      </c>
      <c r="E88" s="893">
        <v>0.2</v>
      </c>
      <c r="F88" s="880">
        <v>30</v>
      </c>
    </row>
    <row r="89" spans="1:6" s="876" customFormat="1" ht="24">
      <c r="A89" s="880">
        <v>29</v>
      </c>
      <c r="B89" s="3451"/>
      <c r="C89" s="816" t="s">
        <v>672</v>
      </c>
      <c r="D89" s="816" t="s">
        <v>673</v>
      </c>
      <c r="E89" s="893">
        <v>0.2</v>
      </c>
      <c r="F89" s="880">
        <v>30</v>
      </c>
    </row>
    <row r="90" spans="1:6" s="876" customFormat="1" ht="24">
      <c r="A90" s="880">
        <v>30</v>
      </c>
      <c r="B90" s="3451"/>
      <c r="C90" s="816" t="s">
        <v>674</v>
      </c>
      <c r="D90" s="816" t="s">
        <v>675</v>
      </c>
      <c r="E90" s="893">
        <v>0.2</v>
      </c>
      <c r="F90" s="880">
        <v>30</v>
      </c>
    </row>
    <row r="91" spans="1:6" s="876" customFormat="1" ht="36">
      <c r="A91" s="880">
        <v>31</v>
      </c>
      <c r="B91" s="3451"/>
      <c r="C91" s="816" t="s">
        <v>676</v>
      </c>
      <c r="D91" s="816" t="s">
        <v>677</v>
      </c>
      <c r="E91" s="893">
        <v>0.2</v>
      </c>
      <c r="F91" s="880">
        <v>30</v>
      </c>
    </row>
    <row r="92" spans="1:6" s="876" customFormat="1" ht="24">
      <c r="A92" s="880">
        <v>32</v>
      </c>
      <c r="B92" s="3451" t="s">
        <v>678</v>
      </c>
      <c r="C92" s="880" t="s">
        <v>679</v>
      </c>
      <c r="D92" s="816" t="s">
        <v>680</v>
      </c>
      <c r="E92" s="893">
        <v>0.2</v>
      </c>
      <c r="F92" s="880">
        <v>30</v>
      </c>
    </row>
    <row r="93" spans="1:6" s="876" customFormat="1" ht="36">
      <c r="A93" s="880">
        <v>33</v>
      </c>
      <c r="B93" s="3451"/>
      <c r="C93" s="880" t="s">
        <v>681</v>
      </c>
      <c r="D93" s="816" t="s">
        <v>682</v>
      </c>
      <c r="E93" s="893">
        <v>0.2</v>
      </c>
      <c r="F93" s="880">
        <v>30</v>
      </c>
    </row>
    <row r="94" spans="1:6" s="876" customFormat="1" ht="48">
      <c r="A94" s="880">
        <v>34</v>
      </c>
      <c r="B94" s="3451"/>
      <c r="C94" s="880" t="s">
        <v>683</v>
      </c>
      <c r="D94" s="816" t="s">
        <v>684</v>
      </c>
      <c r="E94" s="893">
        <v>0.2</v>
      </c>
      <c r="F94" s="880">
        <v>30</v>
      </c>
    </row>
    <row r="95" spans="1:6" s="876" customFormat="1" ht="36">
      <c r="A95" s="880">
        <v>35</v>
      </c>
      <c r="B95" s="3451"/>
      <c r="C95" s="880" t="s">
        <v>685</v>
      </c>
      <c r="D95" s="816" t="s">
        <v>686</v>
      </c>
      <c r="E95" s="893">
        <v>0.2</v>
      </c>
      <c r="F95" s="880">
        <v>30</v>
      </c>
    </row>
    <row r="96" spans="1:6" s="876" customFormat="1" ht="48">
      <c r="A96" s="880">
        <v>36</v>
      </c>
      <c r="B96" s="3451"/>
      <c r="C96" s="816" t="s">
        <v>687</v>
      </c>
      <c r="D96" s="816" t="s">
        <v>688</v>
      </c>
      <c r="E96" s="893">
        <v>0.2</v>
      </c>
      <c r="F96" s="880">
        <v>30</v>
      </c>
    </row>
    <row r="97" spans="1:6" s="876" customFormat="1" ht="36">
      <c r="A97" s="880">
        <v>37</v>
      </c>
      <c r="B97" s="3451"/>
      <c r="C97" s="880" t="s">
        <v>689</v>
      </c>
      <c r="D97" s="816" t="s">
        <v>690</v>
      </c>
      <c r="E97" s="893">
        <v>0.2</v>
      </c>
      <c r="F97" s="880">
        <v>30</v>
      </c>
    </row>
    <row r="98" spans="1:6" s="876" customFormat="1" ht="36">
      <c r="A98" s="880">
        <v>38</v>
      </c>
      <c r="B98" s="3451"/>
      <c r="C98" s="880" t="s">
        <v>691</v>
      </c>
      <c r="D98" s="816" t="s">
        <v>692</v>
      </c>
      <c r="E98" s="893">
        <v>0.2</v>
      </c>
      <c r="F98" s="880">
        <v>30</v>
      </c>
    </row>
    <row r="99" spans="1:6" s="876" customFormat="1" ht="36">
      <c r="A99" s="880">
        <v>39</v>
      </c>
      <c r="B99" s="3451" t="s">
        <v>693</v>
      </c>
      <c r="C99" s="880" t="s">
        <v>694</v>
      </c>
      <c r="D99" s="816" t="s">
        <v>695</v>
      </c>
      <c r="E99" s="893">
        <v>0.3</v>
      </c>
      <c r="F99" s="880">
        <v>50</v>
      </c>
    </row>
    <row r="100" spans="1:6" s="876" customFormat="1" ht="24">
      <c r="A100" s="880">
        <v>40</v>
      </c>
      <c r="B100" s="3451"/>
      <c r="C100" s="880" t="s">
        <v>696</v>
      </c>
      <c r="D100" s="816" t="s">
        <v>697</v>
      </c>
      <c r="E100" s="893">
        <v>0.2</v>
      </c>
      <c r="F100" s="880">
        <v>30</v>
      </c>
    </row>
    <row r="101" spans="1:6" s="876" customFormat="1" ht="36">
      <c r="A101" s="880">
        <v>41</v>
      </c>
      <c r="B101" s="345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1" t="s">
        <v>708</v>
      </c>
      <c r="C105" s="880" t="s">
        <v>709</v>
      </c>
      <c r="D105" s="816" t="s">
        <v>710</v>
      </c>
      <c r="E105" s="893">
        <v>0.2</v>
      </c>
      <c r="F105" s="880">
        <v>30</v>
      </c>
    </row>
    <row r="106" spans="1:6" s="876" customFormat="1" ht="36">
      <c r="A106" s="880">
        <v>46</v>
      </c>
      <c r="B106" s="3451"/>
      <c r="C106" s="880" t="s">
        <v>711</v>
      </c>
      <c r="D106" s="816" t="s">
        <v>712</v>
      </c>
      <c r="E106" s="893">
        <v>0.2</v>
      </c>
      <c r="F106" s="880">
        <v>30</v>
      </c>
    </row>
    <row r="107" spans="1:6" s="876" customFormat="1" ht="36">
      <c r="A107" s="880">
        <v>47</v>
      </c>
      <c r="B107" s="3451" t="s">
        <v>713</v>
      </c>
      <c r="C107" s="880" t="s">
        <v>714</v>
      </c>
      <c r="D107" s="816" t="s">
        <v>715</v>
      </c>
      <c r="E107" s="893">
        <v>0.3</v>
      </c>
      <c r="F107" s="880">
        <v>50</v>
      </c>
    </row>
    <row r="108" spans="1:6" s="876" customFormat="1" ht="36">
      <c r="A108" s="880">
        <v>48</v>
      </c>
      <c r="B108" s="345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1" t="s">
        <v>724</v>
      </c>
      <c r="C111" s="880" t="s">
        <v>725</v>
      </c>
      <c r="D111" s="816" t="s">
        <v>726</v>
      </c>
      <c r="E111" s="893">
        <v>0.2</v>
      </c>
      <c r="F111" s="880">
        <v>30</v>
      </c>
    </row>
    <row r="112" spans="1:6" s="876" customFormat="1" ht="24">
      <c r="A112" s="880">
        <v>52</v>
      </c>
      <c r="B112" s="3451"/>
      <c r="C112" s="880" t="s">
        <v>727</v>
      </c>
      <c r="D112" s="816" t="s">
        <v>728</v>
      </c>
      <c r="E112" s="893">
        <v>0.2</v>
      </c>
      <c r="F112" s="880">
        <v>30</v>
      </c>
    </row>
    <row r="113" spans="1:6" s="876" customFormat="1" ht="24">
      <c r="A113" s="880">
        <v>53</v>
      </c>
      <c r="B113" s="345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1" t="s">
        <v>737</v>
      </c>
      <c r="C116" s="880" t="s">
        <v>738</v>
      </c>
      <c r="D116" s="816" t="s">
        <v>739</v>
      </c>
      <c r="E116" s="893">
        <v>0.2</v>
      </c>
      <c r="F116" s="880">
        <v>30</v>
      </c>
    </row>
    <row r="117" spans="1:6" ht="36">
      <c r="A117" s="880">
        <v>57</v>
      </c>
      <c r="B117" s="345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0.87450000000000006</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2988</v>
      </c>
    </row>
    <row r="2" spans="1:5" ht="15.75">
      <c r="A2" s="2905" t="s">
        <v>2980</v>
      </c>
      <c r="B2" s="2906">
        <f ca="1">SUMIF(B6:B13,"&lt;&gt;#ref!",B6:B13)</f>
        <v>0</v>
      </c>
      <c r="C2" s="2905" t="s">
        <v>2981</v>
      </c>
      <c r="D2" s="2905" t="s">
        <v>2982</v>
      </c>
      <c r="E2" s="2906">
        <f ca="1">SUMIF(E6:E13,"&lt;&gt;#ref!",E6:E13)</f>
        <v>0</v>
      </c>
    </row>
    <row r="3" spans="1:5" ht="15.75">
      <c r="A3" s="2905" t="s">
        <v>2983</v>
      </c>
      <c r="B3" s="2906" t="e">
        <f ca="1">ROUND(B2*10000/E2,0)</f>
        <v>#DIV/0!</v>
      </c>
      <c r="C3" s="2905" t="s">
        <v>2989</v>
      </c>
      <c r="D3" s="2907"/>
      <c r="E3" s="2907"/>
    </row>
    <row r="4" spans="1:5" ht="15.75">
      <c r="A4" s="2908"/>
      <c r="B4" s="2907"/>
      <c r="C4" s="2907"/>
      <c r="D4" s="2907"/>
      <c r="E4" s="2907"/>
    </row>
    <row r="5" spans="1:5" ht="28.5">
      <c r="A5" s="2909" t="s">
        <v>2984</v>
      </c>
      <c r="B5" s="2905" t="s">
        <v>2985</v>
      </c>
      <c r="C5" s="2906"/>
      <c r="D5" s="2907"/>
      <c r="E5" s="2905" t="s">
        <v>2986</v>
      </c>
    </row>
    <row r="6" spans="1:5" ht="15.75">
      <c r="A6" s="2910" t="s">
        <v>2987</v>
      </c>
      <c r="B6" s="2906" t="e">
        <f ca="1">SUMIF(INDIRECT("'"&amp;A6&amp;"'"&amp;"!A:A"),"总价",INDIRECT("'"&amp;A6&amp;"'"&amp;"!B:B"))</f>
        <v>#REF!</v>
      </c>
      <c r="C6" s="2905" t="s">
        <v>2981</v>
      </c>
      <c r="D6" s="2907"/>
      <c r="E6" s="2570" t="e">
        <f ca="1">SUMIF(INDIRECT("'"&amp;A6&amp;"'"&amp;"!C:C"),"建筑面积",INDIRECT("'"&amp;A6&amp;"'"&amp;"!D:D"))</f>
        <v>#REF!</v>
      </c>
    </row>
    <row r="7" spans="1:5" ht="15.75">
      <c r="A7" s="2910"/>
      <c r="B7" s="2906" t="e">
        <f ca="1">SUMIF(INDIRECT("'"&amp;A7&amp;"'"&amp;"!A:A"),"总价",INDIRECT("'"&amp;A7&amp;"'"&amp;"!B:B"))</f>
        <v>#REF!</v>
      </c>
      <c r="C7" s="2905" t="s">
        <v>2981</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2981</v>
      </c>
      <c r="D8" s="2907"/>
      <c r="E8" s="2570" t="e">
        <f t="shared" ca="1" si="0"/>
        <v>#REF!</v>
      </c>
    </row>
    <row r="9" spans="1:5" ht="15.75">
      <c r="A9" s="2910"/>
      <c r="B9" s="2906" t="e">
        <f t="shared" ca="1" si="1"/>
        <v>#REF!</v>
      </c>
      <c r="C9" s="2905" t="s">
        <v>2981</v>
      </c>
      <c r="D9" s="2907"/>
      <c r="E9" s="2570" t="e">
        <f t="shared" ca="1" si="0"/>
        <v>#REF!</v>
      </c>
    </row>
    <row r="10" spans="1:5" ht="15.75">
      <c r="A10" s="2910"/>
      <c r="B10" s="2906" t="e">
        <f t="shared" ca="1" si="1"/>
        <v>#REF!</v>
      </c>
      <c r="C10" s="2905" t="s">
        <v>2981</v>
      </c>
      <c r="D10" s="2907"/>
      <c r="E10" s="2570" t="e">
        <f t="shared" ca="1" si="0"/>
        <v>#REF!</v>
      </c>
    </row>
    <row r="11" spans="1:5" ht="15.75">
      <c r="A11" s="2910"/>
      <c r="B11" s="2906" t="e">
        <f t="shared" ca="1" si="1"/>
        <v>#REF!</v>
      </c>
      <c r="C11" s="2905" t="s">
        <v>2981</v>
      </c>
      <c r="D11" s="2907"/>
      <c r="E11" s="2570" t="e">
        <f t="shared" ca="1" si="0"/>
        <v>#REF!</v>
      </c>
    </row>
    <row r="12" spans="1:5" ht="15.75">
      <c r="A12" s="2910"/>
      <c r="B12" s="2906" t="e">
        <f t="shared" ca="1" si="1"/>
        <v>#REF!</v>
      </c>
      <c r="C12" s="2905" t="s">
        <v>2981</v>
      </c>
      <c r="D12" s="2907"/>
      <c r="E12" s="2570" t="e">
        <f t="shared" ca="1" si="0"/>
        <v>#REF!</v>
      </c>
    </row>
    <row r="13" spans="1:5" ht="15.75">
      <c r="A13" s="2910"/>
      <c r="B13" s="2906" t="e">
        <f t="shared" ca="1" si="1"/>
        <v>#REF!</v>
      </c>
      <c r="C13" s="2905" t="s">
        <v>2981</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57" t="s">
        <v>1144</v>
      </c>
      <c r="C1" s="3457"/>
      <c r="D1" s="3457"/>
      <c r="E1" s="3457"/>
      <c r="F1" s="3457"/>
      <c r="G1" s="3456" t="s">
        <v>1145</v>
      </c>
      <c r="H1" s="3456"/>
      <c r="I1" s="3456"/>
      <c r="J1" s="3456"/>
      <c r="K1" s="3456"/>
      <c r="L1" s="3456"/>
      <c r="N1" s="3456" t="s">
        <v>1146</v>
      </c>
      <c r="O1" s="3456"/>
      <c r="P1" s="3456"/>
      <c r="Q1" s="3456"/>
      <c r="R1" s="1446"/>
      <c r="S1" s="3456" t="s">
        <v>1147</v>
      </c>
      <c r="T1" s="3456"/>
      <c r="U1" s="3456"/>
      <c r="V1" s="3456"/>
      <c r="X1" s="3455" t="s">
        <v>1148</v>
      </c>
      <c r="Y1" s="3456"/>
      <c r="Z1" s="3456"/>
      <c r="AA1" s="3456"/>
      <c r="AB1" s="3456"/>
      <c r="AD1" s="3455" t="s">
        <v>1149</v>
      </c>
      <c r="AE1" s="3456"/>
      <c r="AF1" s="3456"/>
      <c r="AG1" s="3456"/>
      <c r="AH1" s="3456"/>
    </row>
    <row r="2" spans="1:34" s="1447" customFormat="1" ht="14.25" thickBot="1">
      <c r="B2" s="1448" t="s">
        <v>1150</v>
      </c>
      <c r="C2" s="1448" t="s">
        <v>1151</v>
      </c>
      <c r="D2" s="1449" t="s">
        <v>1152</v>
      </c>
      <c r="E2" s="1449" t="s">
        <v>1153</v>
      </c>
      <c r="F2" s="1448" t="s">
        <v>1154</v>
      </c>
      <c r="G2" s="1450"/>
      <c r="H2" s="1451"/>
      <c r="I2" s="1448" t="s">
        <v>1150</v>
      </c>
      <c r="J2" s="1449" t="s">
        <v>1379</v>
      </c>
      <c r="K2" s="1449" t="s">
        <v>751</v>
      </c>
      <c r="L2" s="1448" t="s">
        <v>1154</v>
      </c>
      <c r="N2" s="1448" t="s">
        <v>1150</v>
      </c>
      <c r="O2" s="1449" t="s">
        <v>1379</v>
      </c>
      <c r="P2" s="1449" t="s">
        <v>751</v>
      </c>
      <c r="Q2" s="1448" t="s">
        <v>1154</v>
      </c>
      <c r="R2" s="1452"/>
      <c r="S2" s="1448" t="s">
        <v>1150</v>
      </c>
      <c r="T2" s="1449" t="s">
        <v>1379</v>
      </c>
      <c r="U2" s="1449" t="s">
        <v>751</v>
      </c>
      <c r="V2" s="1448" t="s">
        <v>1154</v>
      </c>
      <c r="X2" s="1448" t="s">
        <v>1150</v>
      </c>
      <c r="Y2" s="1448" t="s">
        <v>1151</v>
      </c>
      <c r="Z2" s="1449" t="s">
        <v>1152</v>
      </c>
      <c r="AA2" s="1449" t="s">
        <v>1153</v>
      </c>
      <c r="AB2" s="1448" t="s">
        <v>1154</v>
      </c>
      <c r="AD2" s="1448" t="s">
        <v>1150</v>
      </c>
      <c r="AE2" s="1448" t="s">
        <v>1151</v>
      </c>
      <c r="AF2" s="1449" t="s">
        <v>1152</v>
      </c>
      <c r="AG2" s="1449" t="s">
        <v>1153</v>
      </c>
      <c r="AH2" s="1448" t="s">
        <v>1154</v>
      </c>
    </row>
    <row r="3" spans="1:34" s="2924" customFormat="1" ht="14.25">
      <c r="A3" s="2933" t="s">
        <v>3023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9">
        <v>3</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3" t="s">
        <v>3024</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3031</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6" customFormat="1" ht="13.5" thickBot="1">
      <c r="A7" s="1461" t="s">
        <v>3022</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3019</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3020</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1380</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1155</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458">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453"/>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453"/>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454"/>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452">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453"/>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453"/>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454"/>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452">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453"/>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453"/>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454"/>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1156</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1157</v>
      </c>
      <c r="B24" s="1469">
        <v>299</v>
      </c>
      <c r="C24" s="1469">
        <v>252</v>
      </c>
      <c r="D24" s="1469">
        <f t="shared" si="54"/>
        <v>252</v>
      </c>
      <c r="E24" s="1469">
        <v>409</v>
      </c>
      <c r="F24" s="1470">
        <v>227</v>
      </c>
      <c r="G24" s="3459">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1158</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460"/>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1159</v>
      </c>
      <c r="B26" s="1477">
        <f t="shared" si="63"/>
        <v>288.2649053828776</v>
      </c>
      <c r="C26" s="1477">
        <f t="shared" si="63"/>
        <v>243.64564425013293</v>
      </c>
      <c r="D26" s="1477">
        <f t="shared" si="54"/>
        <v>243.64564425013293</v>
      </c>
      <c r="E26" s="1477">
        <f t="shared" si="64"/>
        <v>393.31080825986544</v>
      </c>
      <c r="F26" s="1477">
        <f t="shared" si="64"/>
        <v>223.07903790551154</v>
      </c>
      <c r="G26" s="3460"/>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1160</v>
      </c>
      <c r="B27" s="1477">
        <f t="shared" si="63"/>
        <v>282.50186729015837</v>
      </c>
      <c r="C27" s="1477">
        <f t="shared" si="63"/>
        <v>238.09796174155468</v>
      </c>
      <c r="D27" s="1477">
        <f t="shared" si="54"/>
        <v>238.09796174155468</v>
      </c>
      <c r="E27" s="1477">
        <f t="shared" si="64"/>
        <v>385.33438646014054</v>
      </c>
      <c r="F27" s="1477">
        <f t="shared" si="64"/>
        <v>221.55034055567739</v>
      </c>
      <c r="G27" s="3461"/>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1161</v>
      </c>
      <c r="B28" s="1511">
        <v>278</v>
      </c>
      <c r="C28" s="1511">
        <v>234</v>
      </c>
      <c r="D28" s="1511">
        <f t="shared" si="54"/>
        <v>234</v>
      </c>
      <c r="E28" s="1511">
        <v>379</v>
      </c>
      <c r="F28" s="1512">
        <v>220</v>
      </c>
      <c r="G28" s="3452">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1162</v>
      </c>
      <c r="B29" s="1477">
        <f>B28/(1+N28)</f>
        <v>275.49301357645425</v>
      </c>
      <c r="C29" s="1477">
        <f>C28/(1+O28)</f>
        <v>232.41954707985698</v>
      </c>
      <c r="D29" s="1477">
        <f t="shared" si="54"/>
        <v>232.41954707985698</v>
      </c>
      <c r="E29" s="1477">
        <f t="shared" ref="E29:F31" si="65">E28/(1+P28)</f>
        <v>375.32184591008121</v>
      </c>
      <c r="F29" s="1477">
        <f t="shared" si="65"/>
        <v>218.03766105054513</v>
      </c>
      <c r="G29" s="3453"/>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1163</v>
      </c>
      <c r="B30" s="1477">
        <f>B29/(1+N29)</f>
        <v>275.24529281292263</v>
      </c>
      <c r="C30" s="1477">
        <f>C29/(1+O29)</f>
        <v>231.74747938962707</v>
      </c>
      <c r="D30" s="1477">
        <f t="shared" si="54"/>
        <v>231.74747938962707</v>
      </c>
      <c r="E30" s="1477">
        <f t="shared" si="65"/>
        <v>375.35938184826603</v>
      </c>
      <c r="F30" s="1477">
        <f t="shared" si="65"/>
        <v>216.78033510692495</v>
      </c>
      <c r="G30" s="3453"/>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1164</v>
      </c>
      <c r="B31" s="1477">
        <f>B30/(1+N30)</f>
        <v>275.19025476197027</v>
      </c>
      <c r="C31" s="1513">
        <v>232</v>
      </c>
      <c r="D31" s="1513">
        <f t="shared" si="54"/>
        <v>232</v>
      </c>
      <c r="E31" s="1477">
        <f t="shared" si="65"/>
        <v>375.65990977608692</v>
      </c>
      <c r="F31" s="1477">
        <f t="shared" si="65"/>
        <v>214.12518283971252</v>
      </c>
      <c r="G31" s="3454"/>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1165</v>
      </c>
      <c r="B32" s="1469">
        <v>275</v>
      </c>
      <c r="C32" s="1469">
        <v>232</v>
      </c>
      <c r="D32" s="1469">
        <f t="shared" si="54"/>
        <v>232</v>
      </c>
      <c r="E32" s="1469">
        <v>376</v>
      </c>
      <c r="F32" s="1470">
        <v>213</v>
      </c>
      <c r="G32" s="3452">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1166</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453">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1167</v>
      </c>
      <c r="B34" s="1477">
        <f t="shared" si="66"/>
        <v>275.19335084830601</v>
      </c>
      <c r="C34" s="1477">
        <f t="shared" si="66"/>
        <v>230.18088050139744</v>
      </c>
      <c r="D34" s="1477">
        <f t="shared" si="54"/>
        <v>230.18088050139744</v>
      </c>
      <c r="E34" s="1477">
        <f t="shared" si="67"/>
        <v>377.58482925212331</v>
      </c>
      <c r="F34" s="1477">
        <f t="shared" si="67"/>
        <v>210.90687997847917</v>
      </c>
      <c r="G34" s="3453">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1168</v>
      </c>
      <c r="B35" s="1477">
        <f t="shared" si="66"/>
        <v>276.29854502841971</v>
      </c>
      <c r="C35" s="1477">
        <f t="shared" si="66"/>
        <v>229.79023709833027</v>
      </c>
      <c r="D35" s="1477">
        <f t="shared" si="54"/>
        <v>229.79023709833027</v>
      </c>
      <c r="E35" s="1477">
        <f t="shared" si="67"/>
        <v>379.78759731655936</v>
      </c>
      <c r="F35" s="1477">
        <f t="shared" si="67"/>
        <v>211.32953905659235</v>
      </c>
      <c r="G35" s="3454">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1169</v>
      </c>
      <c r="B36" s="1469">
        <v>269</v>
      </c>
      <c r="C36" s="1469">
        <v>221</v>
      </c>
      <c r="D36" s="1469">
        <f t="shared" si="54"/>
        <v>221</v>
      </c>
      <c r="E36" s="1469">
        <v>373</v>
      </c>
      <c r="F36" s="1470">
        <v>196</v>
      </c>
      <c r="G36" s="3452">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1170</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453">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1171</v>
      </c>
      <c r="B38" s="1477">
        <f t="shared" si="68"/>
        <v>242.95398227588385</v>
      </c>
      <c r="C38" s="1477">
        <f t="shared" si="68"/>
        <v>199.59137053614126</v>
      </c>
      <c r="D38" s="1477">
        <f t="shared" si="54"/>
        <v>199.59137053614126</v>
      </c>
      <c r="E38" s="1477">
        <f t="shared" si="69"/>
        <v>335.92189522342125</v>
      </c>
      <c r="F38" s="1477">
        <f t="shared" si="69"/>
        <v>183.10139991109489</v>
      </c>
      <c r="G38" s="3453">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1172</v>
      </c>
      <c r="B39" s="1477">
        <f t="shared" si="68"/>
        <v>232.06990378821649</v>
      </c>
      <c r="C39" s="1477">
        <f t="shared" si="68"/>
        <v>192.74878854286936</v>
      </c>
      <c r="D39" s="1477">
        <f t="shared" si="54"/>
        <v>192.74878854286936</v>
      </c>
      <c r="E39" s="1477">
        <f t="shared" si="69"/>
        <v>319.71247284992984</v>
      </c>
      <c r="F39" s="1477">
        <f t="shared" si="69"/>
        <v>175.67053622862409</v>
      </c>
      <c r="G39" s="3454">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1173</v>
      </c>
      <c r="B40" s="1469">
        <v>220</v>
      </c>
      <c r="C40" s="1469">
        <v>187</v>
      </c>
      <c r="D40" s="1469">
        <f t="shared" si="54"/>
        <v>187</v>
      </c>
      <c r="E40" s="1469">
        <v>301</v>
      </c>
      <c r="F40" s="1470">
        <v>168</v>
      </c>
      <c r="G40" s="3452">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1174</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453">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1175</v>
      </c>
      <c r="B42" s="1477">
        <f t="shared" si="70"/>
        <v>210.630522469011</v>
      </c>
      <c r="C42" s="1477">
        <f t="shared" si="70"/>
        <v>181.69567812247232</v>
      </c>
      <c r="D42" s="1477">
        <f t="shared" si="54"/>
        <v>181.69567812247232</v>
      </c>
      <c r="E42" s="1477">
        <f t="shared" si="71"/>
        <v>286.13517466736738</v>
      </c>
      <c r="F42" s="1477">
        <f t="shared" si="71"/>
        <v>165.47535084591149</v>
      </c>
      <c r="G42" s="3453">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1176</v>
      </c>
      <c r="B43" s="1477">
        <f t="shared" si="70"/>
        <v>208.83454537875372</v>
      </c>
      <c r="C43" s="1477">
        <f t="shared" si="70"/>
        <v>183.77230517090351</v>
      </c>
      <c r="D43" s="1477">
        <f t="shared" si="54"/>
        <v>183.77230517090351</v>
      </c>
      <c r="E43" s="1477">
        <f t="shared" si="71"/>
        <v>281.10342338870947</v>
      </c>
      <c r="F43" s="1477">
        <f t="shared" si="71"/>
        <v>168.97309388942256</v>
      </c>
      <c r="G43" s="3454">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1177</v>
      </c>
      <c r="B44" s="1511">
        <v>214</v>
      </c>
      <c r="C44" s="1511">
        <v>188</v>
      </c>
      <c r="D44" s="1511">
        <f t="shared" si="54"/>
        <v>188</v>
      </c>
      <c r="E44" s="1511">
        <v>289</v>
      </c>
      <c r="F44" s="1512">
        <v>166</v>
      </c>
      <c r="G44" s="3452">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1178</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453">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1179</v>
      </c>
      <c r="B46" s="1477">
        <f t="shared" si="72"/>
        <v>206.31694671589116</v>
      </c>
      <c r="C46" s="1477">
        <f t="shared" si="72"/>
        <v>183.61041121036101</v>
      </c>
      <c r="D46" s="1477">
        <f t="shared" si="54"/>
        <v>183.61041121036101</v>
      </c>
      <c r="E46" s="1477">
        <f t="shared" si="73"/>
        <v>276.66850301795557</v>
      </c>
      <c r="F46" s="1477">
        <f t="shared" si="73"/>
        <v>165.1360938278614</v>
      </c>
      <c r="G46" s="3453">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1180</v>
      </c>
      <c r="B47" s="1514">
        <f t="shared" si="72"/>
        <v>196.62341248059772</v>
      </c>
      <c r="C47" s="1514">
        <f t="shared" si="72"/>
        <v>170.99125648199012</v>
      </c>
      <c r="D47" s="1514">
        <f t="shared" si="54"/>
        <v>170.99125648199012</v>
      </c>
      <c r="E47" s="1514">
        <f t="shared" si="73"/>
        <v>266.07857570490052</v>
      </c>
      <c r="F47" s="1514">
        <f t="shared" si="73"/>
        <v>154.53499328828505</v>
      </c>
      <c r="G47" s="3454">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1181</v>
      </c>
      <c r="B48" s="1469">
        <v>188</v>
      </c>
      <c r="C48" s="1469">
        <v>165</v>
      </c>
      <c r="D48" s="1469">
        <f t="shared" si="54"/>
        <v>165</v>
      </c>
      <c r="E48" s="1469">
        <v>254</v>
      </c>
      <c r="F48" s="1470">
        <v>148</v>
      </c>
      <c r="G48" s="3452">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1182</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453">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1183</v>
      </c>
      <c r="B50" s="1477">
        <f t="shared" si="76"/>
        <v>168.82017748715555</v>
      </c>
      <c r="C50" s="1477">
        <f t="shared" si="76"/>
        <v>148.06267029972753</v>
      </c>
      <c r="D50" s="1477">
        <f t="shared" si="54"/>
        <v>148.06267029972753</v>
      </c>
      <c r="E50" s="1477">
        <f t="shared" si="77"/>
        <v>216.46288379323747</v>
      </c>
      <c r="F50" s="1477">
        <f t="shared" si="77"/>
        <v>134.23529411764704</v>
      </c>
      <c r="G50" s="3453">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1184</v>
      </c>
      <c r="B51" s="1477">
        <f t="shared" si="76"/>
        <v>163.84913591779542</v>
      </c>
      <c r="C51" s="1477">
        <f t="shared" si="76"/>
        <v>145.0283378746594</v>
      </c>
      <c r="D51" s="1477">
        <f t="shared" si="54"/>
        <v>145.0283378746594</v>
      </c>
      <c r="E51" s="1477">
        <f t="shared" si="77"/>
        <v>204.95180722891567</v>
      </c>
      <c r="F51" s="1477">
        <f t="shared" si="77"/>
        <v>125.95920303605313</v>
      </c>
      <c r="G51" s="3454">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1185</v>
      </c>
      <c r="B52" s="1490">
        <v>159</v>
      </c>
      <c r="C52" s="1490">
        <v>141</v>
      </c>
      <c r="D52" s="1490">
        <f t="shared" si="54"/>
        <v>141</v>
      </c>
      <c r="E52" s="1490">
        <v>195</v>
      </c>
      <c r="F52" s="1491">
        <v>122</v>
      </c>
      <c r="G52" s="3452">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1186</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453">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1187</v>
      </c>
      <c r="B54" s="1477">
        <f t="shared" si="80"/>
        <v>146.57412060301507</v>
      </c>
      <c r="C54" s="1477">
        <f t="shared" si="80"/>
        <v>136.46831955922866</v>
      </c>
      <c r="D54" s="1477">
        <f t="shared" si="54"/>
        <v>136.46831955922866</v>
      </c>
      <c r="E54" s="1477">
        <f t="shared" si="81"/>
        <v>166.73864894795128</v>
      </c>
      <c r="F54" s="1477">
        <f t="shared" si="81"/>
        <v>115.05882352941177</v>
      </c>
      <c r="G54" s="3453">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1188</v>
      </c>
      <c r="B55" s="1477">
        <f t="shared" si="80"/>
        <v>144.04145728643215</v>
      </c>
      <c r="C55" s="1477">
        <f t="shared" si="80"/>
        <v>136.12396694214877</v>
      </c>
      <c r="D55" s="1477">
        <f t="shared" si="54"/>
        <v>136.12396694214877</v>
      </c>
      <c r="E55" s="1477">
        <f t="shared" si="81"/>
        <v>158.32225913621264</v>
      </c>
      <c r="F55" s="1477">
        <f t="shared" si="81"/>
        <v>114.04278074866311</v>
      </c>
      <c r="G55" s="3454">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1189</v>
      </c>
      <c r="B56" s="1490">
        <v>138</v>
      </c>
      <c r="C56" s="1490">
        <v>131</v>
      </c>
      <c r="D56" s="1490">
        <f t="shared" si="54"/>
        <v>131</v>
      </c>
      <c r="E56" s="1490">
        <v>155</v>
      </c>
      <c r="F56" s="1491">
        <v>114</v>
      </c>
      <c r="G56" s="3452">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1190</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453">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1191</v>
      </c>
      <c r="B58" s="1477">
        <f t="shared" si="84"/>
        <v>124.29032258064517</v>
      </c>
      <c r="C58" s="1477">
        <f t="shared" si="84"/>
        <v>123.8968609865471</v>
      </c>
      <c r="D58" s="1477">
        <f t="shared" si="54"/>
        <v>123.8968609865471</v>
      </c>
      <c r="E58" s="1477">
        <f t="shared" si="85"/>
        <v>138.00507614213197</v>
      </c>
      <c r="F58" s="1477">
        <f t="shared" si="85"/>
        <v>107.96106557377048</v>
      </c>
      <c r="G58" s="3453">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1192</v>
      </c>
      <c r="B59" s="1477">
        <f t="shared" si="84"/>
        <v>122.57204301075269</v>
      </c>
      <c r="C59" s="1477">
        <f t="shared" si="84"/>
        <v>123.4932735426009</v>
      </c>
      <c r="D59" s="1477">
        <f t="shared" si="54"/>
        <v>123.4932735426009</v>
      </c>
      <c r="E59" s="1477">
        <f t="shared" si="85"/>
        <v>129.82233502538071</v>
      </c>
      <c r="F59" s="1477">
        <f t="shared" si="85"/>
        <v>107.39446721311475</v>
      </c>
      <c r="G59" s="3454">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1193</v>
      </c>
      <c r="B60" s="1511">
        <v>121</v>
      </c>
      <c r="C60" s="1511">
        <v>122</v>
      </c>
      <c r="D60" s="1511">
        <f t="shared" si="54"/>
        <v>122</v>
      </c>
      <c r="E60" s="1511">
        <v>124</v>
      </c>
      <c r="F60" s="1512">
        <v>107</v>
      </c>
      <c r="G60" s="3452">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1194</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453">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1195</v>
      </c>
      <c r="B62" s="1477">
        <f t="shared" si="88"/>
        <v>116.99099099099099</v>
      </c>
      <c r="C62" s="1477">
        <f t="shared" si="88"/>
        <v>118.84848484848486</v>
      </c>
      <c r="D62" s="1477">
        <f t="shared" si="54"/>
        <v>118.84848484848486</v>
      </c>
      <c r="E62" s="1477">
        <f t="shared" si="89"/>
        <v>117.60960960960961</v>
      </c>
      <c r="F62" s="1477">
        <f t="shared" si="89"/>
        <v>104</v>
      </c>
      <c r="G62" s="3453">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1196</v>
      </c>
      <c r="B63" s="1514">
        <f t="shared" si="88"/>
        <v>112.48648648648648</v>
      </c>
      <c r="C63" s="1514">
        <f t="shared" si="88"/>
        <v>115.21212121212122</v>
      </c>
      <c r="D63" s="1514">
        <f t="shared" si="54"/>
        <v>115.21212121212122</v>
      </c>
      <c r="E63" s="1514">
        <f t="shared" si="89"/>
        <v>110.4024024024024</v>
      </c>
      <c r="F63" s="1514">
        <f t="shared" si="89"/>
        <v>104</v>
      </c>
      <c r="G63" s="3454">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1197</v>
      </c>
      <c r="B64" s="1532">
        <v>111</v>
      </c>
      <c r="C64" s="1532">
        <v>114</v>
      </c>
      <c r="D64" s="1532">
        <f t="shared" si="54"/>
        <v>114</v>
      </c>
      <c r="E64" s="1532">
        <v>108</v>
      </c>
      <c r="F64" s="1533">
        <v>104</v>
      </c>
      <c r="G64" s="3452">
        <v>2003</v>
      </c>
      <c r="H64" s="1522">
        <v>4</v>
      </c>
      <c r="I64" s="1534"/>
      <c r="J64" s="1534"/>
      <c r="K64" s="1534"/>
      <c r="L64" s="1534"/>
      <c r="N64" s="1535"/>
      <c r="O64" s="1534"/>
      <c r="P64" s="1534"/>
      <c r="Q64" s="1534"/>
      <c r="S64" s="1535"/>
      <c r="T64" s="1534"/>
      <c r="U64" s="1534"/>
      <c r="V64" s="1534"/>
      <c r="X64" s="1526"/>
      <c r="Y64" s="1526"/>
      <c r="Z64" s="1526"/>
    </row>
    <row r="65" spans="1:26">
      <c r="A65" s="1461" t="s">
        <v>1198</v>
      </c>
      <c r="B65" s="1536">
        <f t="shared" ref="B65:C67" si="90">B66+(B$64-B$68)/4</f>
        <v>109.75</v>
      </c>
      <c r="C65" s="1536">
        <f t="shared" si="90"/>
        <v>112.25</v>
      </c>
      <c r="D65" s="1536">
        <f t="shared" si="54"/>
        <v>112.25</v>
      </c>
      <c r="E65" s="1536">
        <f t="shared" ref="E65:F67" si="91">E66+(E$64-E$68)/4</f>
        <v>107.25</v>
      </c>
      <c r="F65" s="1536">
        <f t="shared" si="91"/>
        <v>103.5</v>
      </c>
      <c r="G65" s="3453">
        <v>2003</v>
      </c>
      <c r="H65" s="1487">
        <v>3</v>
      </c>
      <c r="I65" s="1534"/>
      <c r="J65" s="1534"/>
      <c r="K65" s="1534"/>
      <c r="L65" s="1534"/>
      <c r="X65" s="1526"/>
      <c r="Y65" s="1526"/>
      <c r="Z65" s="1526"/>
    </row>
    <row r="66" spans="1:26">
      <c r="A66" s="1461" t="s">
        <v>1199</v>
      </c>
      <c r="B66" s="1536">
        <f t="shared" si="90"/>
        <v>108.5</v>
      </c>
      <c r="C66" s="1536">
        <f t="shared" si="90"/>
        <v>110.5</v>
      </c>
      <c r="D66" s="1536">
        <f t="shared" si="54"/>
        <v>110.5</v>
      </c>
      <c r="E66" s="1536">
        <f t="shared" si="91"/>
        <v>106.5</v>
      </c>
      <c r="F66" s="1536">
        <f t="shared" si="91"/>
        <v>103</v>
      </c>
      <c r="G66" s="3453">
        <v>2003</v>
      </c>
      <c r="H66" s="1465">
        <v>2</v>
      </c>
      <c r="I66" s="1534"/>
      <c r="J66" s="1534"/>
      <c r="K66" s="1534"/>
      <c r="L66" s="1534"/>
      <c r="X66" s="1526"/>
      <c r="Y66" s="1526"/>
      <c r="Z66" s="1526"/>
    </row>
    <row r="67" spans="1:26" ht="13.5" thickBot="1">
      <c r="A67" s="1461" t="s">
        <v>1200</v>
      </c>
      <c r="B67" s="1536">
        <f t="shared" si="90"/>
        <v>107.25</v>
      </c>
      <c r="C67" s="1536">
        <f t="shared" si="90"/>
        <v>108.75</v>
      </c>
      <c r="D67" s="1536">
        <f t="shared" si="54"/>
        <v>108.75</v>
      </c>
      <c r="E67" s="1536">
        <f t="shared" si="91"/>
        <v>105.75</v>
      </c>
      <c r="F67" s="1536">
        <f t="shared" si="91"/>
        <v>102.5</v>
      </c>
      <c r="G67" s="3454">
        <v>2003</v>
      </c>
      <c r="H67" s="1537">
        <v>1</v>
      </c>
      <c r="I67" s="1534"/>
      <c r="J67" s="1534"/>
      <c r="K67" s="1534"/>
      <c r="L67" s="1534"/>
      <c r="S67" s="1472"/>
      <c r="T67" s="1473"/>
      <c r="U67" s="1473"/>
      <c r="X67" s="1526"/>
      <c r="Y67" s="1526"/>
      <c r="Z67" s="1526"/>
    </row>
    <row r="68" spans="1:26" ht="13.5" thickBot="1">
      <c r="A68" s="1461" t="s">
        <v>1201</v>
      </c>
      <c r="B68" s="1538">
        <v>106</v>
      </c>
      <c r="C68" s="1538">
        <v>107</v>
      </c>
      <c r="D68" s="1538">
        <f t="shared" si="54"/>
        <v>107</v>
      </c>
      <c r="E68" s="1538">
        <v>105</v>
      </c>
      <c r="F68" s="1539">
        <v>102</v>
      </c>
      <c r="G68" s="3452">
        <v>2002</v>
      </c>
      <c r="H68" s="1482">
        <v>4</v>
      </c>
      <c r="I68" s="1534"/>
      <c r="J68" s="1534"/>
      <c r="K68" s="1534"/>
      <c r="L68" s="1534"/>
      <c r="N68" s="1535"/>
      <c r="O68" s="1534"/>
      <c r="P68" s="1534"/>
      <c r="Q68" s="1534"/>
      <c r="S68" s="1535"/>
      <c r="T68" s="1534"/>
      <c r="U68" s="1534"/>
      <c r="V68" s="1534"/>
      <c r="X68" s="1526"/>
      <c r="Y68" s="1526"/>
      <c r="Z68" s="1526"/>
    </row>
    <row r="69" spans="1:26">
      <c r="A69" s="1461" t="s">
        <v>1202</v>
      </c>
      <c r="B69" s="1536">
        <f t="shared" ref="B69:C71" si="92">B70+(B$68-B$72)/4</f>
        <v>105</v>
      </c>
      <c r="C69" s="1536">
        <f t="shared" si="92"/>
        <v>106</v>
      </c>
      <c r="D69" s="1536">
        <f t="shared" si="54"/>
        <v>106</v>
      </c>
      <c r="E69" s="1536">
        <f t="shared" ref="E69:F71" si="93">E70+(E$68-E$72)/4</f>
        <v>104.5</v>
      </c>
      <c r="F69" s="1536">
        <f t="shared" si="93"/>
        <v>101.5</v>
      </c>
      <c r="G69" s="3453">
        <v>2002</v>
      </c>
      <c r="H69" s="1487">
        <v>3</v>
      </c>
      <c r="I69" s="1534"/>
      <c r="J69" s="1534"/>
      <c r="K69" s="1534"/>
      <c r="L69" s="1534"/>
      <c r="X69" s="1526"/>
      <c r="Y69" s="1526"/>
      <c r="Z69" s="1526"/>
    </row>
    <row r="70" spans="1:26">
      <c r="A70" s="1461" t="s">
        <v>1203</v>
      </c>
      <c r="B70" s="1536">
        <f t="shared" si="92"/>
        <v>104</v>
      </c>
      <c r="C70" s="1536">
        <f t="shared" si="92"/>
        <v>105</v>
      </c>
      <c r="D70" s="1536">
        <f t="shared" si="54"/>
        <v>105</v>
      </c>
      <c r="E70" s="1536">
        <f t="shared" si="93"/>
        <v>104</v>
      </c>
      <c r="F70" s="1536">
        <f t="shared" si="93"/>
        <v>101</v>
      </c>
      <c r="G70" s="3453">
        <v>2002</v>
      </c>
      <c r="H70" s="1465">
        <v>2</v>
      </c>
      <c r="I70" s="1534"/>
      <c r="J70" s="1534"/>
      <c r="K70" s="1534"/>
      <c r="L70" s="1534"/>
      <c r="X70" s="1526"/>
      <c r="Y70" s="1526"/>
      <c r="Z70" s="1526"/>
    </row>
    <row r="71" spans="1:26" s="1498" customFormat="1" ht="13.5" thickBot="1">
      <c r="A71" s="1494" t="s">
        <v>1204</v>
      </c>
      <c r="B71" s="1540">
        <f t="shared" si="92"/>
        <v>103</v>
      </c>
      <c r="C71" s="1540">
        <f t="shared" si="92"/>
        <v>104</v>
      </c>
      <c r="D71" s="1540">
        <f t="shared" si="54"/>
        <v>104</v>
      </c>
      <c r="E71" s="1540">
        <f t="shared" si="93"/>
        <v>103.5</v>
      </c>
      <c r="F71" s="1540">
        <f t="shared" si="93"/>
        <v>100.5</v>
      </c>
      <c r="G71" s="3454">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1205</v>
      </c>
      <c r="G74" s="1550"/>
      <c r="N74" s="1550"/>
      <c r="S74" s="1550"/>
    </row>
    <row r="75" spans="1:26" s="1549" customFormat="1">
      <c r="A75" s="1549" t="s">
        <v>1206</v>
      </c>
      <c r="G75" s="1550"/>
      <c r="N75" s="1550"/>
      <c r="S75" s="1550"/>
    </row>
    <row r="76" spans="1:26" s="1549" customFormat="1">
      <c r="A76" s="1549" t="s">
        <v>1207</v>
      </c>
      <c r="G76" s="1550"/>
      <c r="I76" s="1551"/>
      <c r="J76" s="1551"/>
      <c r="K76" s="1551"/>
      <c r="L76" s="1551"/>
      <c r="N76" s="1552"/>
      <c r="O76" s="1551"/>
      <c r="P76" s="1551"/>
      <c r="Q76" s="1551"/>
      <c r="S76" s="1552"/>
      <c r="T76" s="1551"/>
      <c r="U76" s="1551"/>
      <c r="V76" s="1551"/>
    </row>
    <row r="77" spans="1:26" s="1549" customFormat="1">
      <c r="A77" s="1549" t="s">
        <v>1208</v>
      </c>
      <c r="G77" s="1550"/>
      <c r="N77" s="1550"/>
      <c r="S77" s="1550"/>
    </row>
    <row r="84" spans="7:22" ht="13.5" thickBot="1"/>
    <row r="85" spans="7:22">
      <c r="G85" s="1471"/>
      <c r="S85" s="1553" t="s">
        <v>1209</v>
      </c>
      <c r="T85" s="1554" t="s">
        <v>1210</v>
      </c>
      <c r="U85" s="1554" t="s">
        <v>1211</v>
      </c>
      <c r="V85" s="1554" t="s">
        <v>1212</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2990</v>
      </c>
      <c r="C1" s="3463" t="s">
        <v>2991</v>
      </c>
      <c r="D1" s="3464"/>
      <c r="E1" s="3464"/>
      <c r="F1" s="3464"/>
      <c r="G1" s="3464"/>
      <c r="H1" s="3464"/>
      <c r="I1" s="3464"/>
      <c r="J1" s="3464"/>
      <c r="K1" s="3464"/>
      <c r="L1" s="3464"/>
      <c r="M1" s="3464"/>
      <c r="N1" s="3464"/>
      <c r="O1" s="3464"/>
      <c r="P1" s="3464"/>
      <c r="Q1" s="3464"/>
      <c r="R1" s="3464"/>
      <c r="S1" s="3465"/>
      <c r="T1" s="1205" t="s">
        <v>2992</v>
      </c>
    </row>
    <row r="2" spans="1:45" s="707" customFormat="1">
      <c r="A2" s="1206"/>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7"/>
      <c r="G4" s="1707"/>
      <c r="H4" s="1707"/>
      <c r="I4" s="1707"/>
      <c r="J4" s="1707"/>
      <c r="K4" s="1707"/>
      <c r="L4" s="1707"/>
      <c r="M4" s="1708"/>
      <c r="N4" s="1708"/>
      <c r="O4" s="1707"/>
      <c r="P4" s="1707"/>
      <c r="Q4" s="1707"/>
      <c r="R4" s="1707"/>
      <c r="S4" s="1709"/>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7" t="s">
        <v>2994</v>
      </c>
      <c r="C5" s="1217"/>
      <c r="D5" s="1218"/>
      <c r="E5" s="1218"/>
      <c r="F5" s="1710"/>
      <c r="G5" s="1710"/>
      <c r="H5" s="1710"/>
      <c r="I5" s="1710"/>
      <c r="J5" s="1710"/>
      <c r="K5" s="1710"/>
      <c r="L5" s="1711"/>
      <c r="M5" s="1712"/>
      <c r="N5" s="1712"/>
      <c r="O5" s="1710"/>
      <c r="P5" s="1710"/>
      <c r="Q5" s="1710"/>
      <c r="R5" s="1710"/>
      <c r="S5" s="1713"/>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68" t="s">
        <v>2995</v>
      </c>
      <c r="C7" s="1122"/>
      <c r="D7" s="1116"/>
      <c r="E7" s="1116"/>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68" t="s">
        <v>2996</v>
      </c>
      <c r="C9" s="1122"/>
      <c r="D9" s="1116"/>
      <c r="E9" s="1116"/>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7" t="s">
        <v>2997</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7" t="s">
        <v>2998</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7" t="s">
        <v>2999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3000</v>
      </c>
      <c r="B17" s="2912" t="s">
        <v>3001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3" t="s">
        <v>3002</v>
      </c>
      <c r="E19" s="1790"/>
      <c r="F19" s="1790"/>
      <c r="G19" s="1790"/>
      <c r="H19" s="1281"/>
      <c r="I19" s="168"/>
      <c r="J19" s="168"/>
      <c r="K19" s="168"/>
      <c r="L19" s="168"/>
      <c r="M19" s="168"/>
      <c r="N19" s="168"/>
      <c r="O19" s="168"/>
      <c r="P19" s="168"/>
      <c r="Q19" s="168"/>
      <c r="R19" s="788"/>
      <c r="S19" s="138"/>
    </row>
    <row r="20" spans="1:45" ht="16.5" thickBot="1">
      <c r="A20" s="715" t="s">
        <v>3003</v>
      </c>
      <c r="B20" s="338" t="e">
        <f ca="1">IF(D20="——",S22,S22-F20)</f>
        <v>#REF!</v>
      </c>
      <c r="C20" s="168"/>
      <c r="D20" s="2914" t="s">
        <v>3004</v>
      </c>
      <c r="E20" s="1791"/>
      <c r="F20" s="1205" t="e">
        <f ca="1">SUMIF(INDIRECT("'"&amp;H20&amp;"'"&amp;"!A:A"),"承租人权益价值",INDIRECT("'"&amp;H20&amp;"'"&amp;"!c:c"))</f>
        <v>#REF!</v>
      </c>
      <c r="G20" s="1205" t="s">
        <v>3005</v>
      </c>
      <c r="H20" s="2915"/>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42" t="s">
        <v>33</v>
      </c>
      <c r="D22" s="3243"/>
      <c r="E22" s="3243"/>
      <c r="F22" s="3243"/>
      <c r="G22" s="3243"/>
      <c r="H22" s="3243"/>
      <c r="I22" s="3243"/>
      <c r="J22" s="3243"/>
      <c r="K22" s="3243"/>
      <c r="L22" s="3243"/>
      <c r="M22" s="3243"/>
      <c r="N22" s="3243"/>
      <c r="O22" s="3243"/>
      <c r="P22" s="3243"/>
      <c r="Q22" s="3462"/>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130290</v>
      </c>
      <c r="C2" s="2" t="s">
        <v>133</v>
      </c>
      <c r="D2" s="243"/>
      <c r="E2" s="243"/>
      <c r="F2" s="243"/>
      <c r="G2" s="243"/>
    </row>
    <row r="3" spans="1:7" s="244" customFormat="1" ht="18" customHeight="1" thickBot="1">
      <c r="A3" s="247" t="s">
        <v>85</v>
      </c>
      <c r="B3" s="248">
        <f ca="1">ROUND(B2*10000/'数据-汇总表'!E3,0)</f>
        <v>13186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1142</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1976</v>
      </c>
      <c r="D10" s="1033">
        <f>'数据-汇总表'!E6</f>
        <v>98810.33</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1976</v>
      </c>
      <c r="D19" s="1037">
        <f>'数据-汇总表'!E3</f>
        <v>98810.33</v>
      </c>
      <c r="E19" s="255">
        <f>'数据-取费表'!B31</f>
        <v>200</v>
      </c>
      <c r="F19" s="275"/>
      <c r="G19" s="1" t="s">
        <v>1074</v>
      </c>
    </row>
    <row r="20" spans="1:7" s="258" customFormat="1" ht="13.5" customHeight="1">
      <c r="A20" s="949" t="s">
        <v>1057</v>
      </c>
      <c r="B20" s="254" t="s">
        <v>104</v>
      </c>
      <c r="C20" s="276">
        <f>ROUND((C5+C19)*F20,0)</f>
        <v>678</v>
      </c>
      <c r="D20" s="276"/>
      <c r="E20" s="276"/>
      <c r="F20" s="277">
        <f>'数据-取费表'!B37</f>
        <v>0.03</v>
      </c>
      <c r="G20" s="1290" t="s">
        <v>1068</v>
      </c>
    </row>
    <row r="21" spans="1:7" s="258" customFormat="1" ht="13.5" customHeight="1">
      <c r="A21" s="949" t="s">
        <v>1059</v>
      </c>
      <c r="B21" s="254" t="s">
        <v>105</v>
      </c>
      <c r="C21" s="279">
        <f>F21</f>
        <v>0.03</v>
      </c>
      <c r="D21" s="280" t="s">
        <v>126</v>
      </c>
      <c r="E21" s="276"/>
      <c r="F21" s="277">
        <f>'数据-取费表'!B38</f>
        <v>0.03</v>
      </c>
      <c r="G21" s="278" t="s">
        <v>106</v>
      </c>
    </row>
    <row r="22" spans="1:7" s="258" customFormat="1" ht="13.5" customHeight="1">
      <c r="A22" s="949" t="s">
        <v>786</v>
      </c>
      <c r="B22" s="254" t="s">
        <v>107</v>
      </c>
      <c r="C22" s="1354">
        <f ca="1">ROUND(SUM(C23:C25),0)</f>
        <v>3423</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3079</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295</v>
      </c>
      <c r="D24" s="282"/>
      <c r="E24" s="282"/>
      <c r="F24" s="283"/>
      <c r="G24" s="284" t="s">
        <v>109</v>
      </c>
    </row>
    <row r="25" spans="1:7" s="258" customFormat="1" ht="24">
      <c r="A25" s="952" t="s">
        <v>793</v>
      </c>
      <c r="B25" s="259" t="s">
        <v>1058</v>
      </c>
      <c r="C25" s="1355">
        <f ca="1">ROUND(IF('数据-取费表'!B22&lt;=1,C20*F22*'数据-取费表'!B23/2,C20*(POWER((1+F22),'数据-取费表'!B23/2)-1)),0)</f>
        <v>49</v>
      </c>
      <c r="D25" s="282"/>
      <c r="E25" s="285"/>
      <c r="F25" s="283"/>
      <c r="G25" s="286" t="s">
        <v>110</v>
      </c>
    </row>
    <row r="26" spans="1:7" s="258" customFormat="1">
      <c r="A26" s="952" t="s">
        <v>795</v>
      </c>
      <c r="B26" s="259" t="s">
        <v>1060</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f>C28</f>
        <v>4653</v>
      </c>
      <c r="D27" s="279">
        <f>C29</f>
        <v>6.0000000000000001E-3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4653</v>
      </c>
      <c r="D28" s="279"/>
      <c r="E28" s="280"/>
      <c r="F28" s="290"/>
      <c r="G28" s="291"/>
    </row>
    <row r="29" spans="1:7" s="258" customFormat="1" ht="13.5" customHeight="1">
      <c r="A29" s="952" t="s">
        <v>792</v>
      </c>
      <c r="B29" s="292" t="s">
        <v>1063</v>
      </c>
      <c r="C29" s="282">
        <f>ROUND(C21*F27*'数据-取费表'!B21/'数据-取费表'!B20,4)</f>
        <v>6.0000000000000001E-3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80997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74198</v>
      </c>
      <c r="D34" s="261"/>
      <c r="E34" s="264"/>
      <c r="F34" s="301">
        <f>IF('数据-取费表'!B24=0,1,'数据-取费表'!N16)</f>
        <v>1</v>
      </c>
      <c r="G34" s="263" t="s">
        <v>116</v>
      </c>
    </row>
    <row r="35" spans="1:7" ht="13.5" customHeight="1">
      <c r="A35" s="952" t="s">
        <v>796</v>
      </c>
      <c r="B35" s="259" t="s">
        <v>60</v>
      </c>
      <c r="C35" s="264">
        <f>ROUND(C34*F35,0)</f>
        <v>3710</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1976</v>
      </c>
      <c r="D37" s="261">
        <f>'数据-汇总表'!E3</f>
        <v>98810.33</v>
      </c>
      <c r="E37" s="293">
        <f>'数据-取费表'!B35</f>
        <v>200</v>
      </c>
      <c r="F37" s="303"/>
      <c r="G37" s="305" t="s">
        <v>119</v>
      </c>
    </row>
    <row r="38" spans="1:7" ht="13.5" customHeight="1">
      <c r="A38" s="952" t="s">
        <v>799</v>
      </c>
      <c r="B38" s="259" t="s">
        <v>63</v>
      </c>
      <c r="C38" s="264">
        <f>ROUND(C34*F38,0)</f>
        <v>1113</v>
      </c>
      <c r="D38" s="264"/>
      <c r="E38" s="264"/>
      <c r="F38" s="303">
        <f>'数据-取费表'!B36</f>
        <v>1.4999999999999999E-2</v>
      </c>
      <c r="G38" s="263" t="s">
        <v>117</v>
      </c>
    </row>
    <row r="39" spans="1:7" s="258" customFormat="1" ht="13.5" customHeight="1">
      <c r="A39" s="949" t="s">
        <v>783</v>
      </c>
      <c r="B39" s="254" t="s">
        <v>104</v>
      </c>
      <c r="C39" s="276">
        <f>ROUND(C33*F20,0)</f>
        <v>2430</v>
      </c>
      <c r="D39" s="276"/>
      <c r="E39" s="276"/>
      <c r="F39" s="277"/>
      <c r="G39" s="1290" t="s">
        <v>1071</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6014</v>
      </c>
      <c r="D41" s="279">
        <f ca="1">C44</f>
        <v>2.2000000000000001E-3</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5839</v>
      </c>
      <c r="D42" s="282"/>
      <c r="E42" s="282"/>
      <c r="F42" s="283"/>
      <c r="G42" s="3297" t="s">
        <v>121</v>
      </c>
    </row>
    <row r="43" spans="1:7" ht="13.5" customHeight="1">
      <c r="A43" s="952" t="s">
        <v>792</v>
      </c>
      <c r="B43" s="259" t="s">
        <v>1064</v>
      </c>
      <c r="C43" s="282">
        <f ca="1">ROUND(IF('数据-取费表'!B22&lt;=1,C39*F22*'数据-取费表'!B21/2,C39*(POWER((1+F22),'数据-取费表'!B21/2)-1)),0)</f>
        <v>175</v>
      </c>
      <c r="D43" s="282"/>
      <c r="E43" s="282"/>
      <c r="F43" s="283"/>
      <c r="G43" s="3298"/>
    </row>
    <row r="44" spans="1:7" ht="13.5" customHeight="1">
      <c r="A44" s="952" t="s">
        <v>793</v>
      </c>
      <c r="B44" s="259" t="s">
        <v>1066</v>
      </c>
      <c r="C44" s="282">
        <f ca="1">ROUND(IF('数据-取费表'!B22&lt;=1,C40*F22*'数据-取费表'!B21/2,C40*(POWER((1+F22),'数据-取费表'!B21/2)-1)),4)</f>
        <v>2.2000000000000001E-3</v>
      </c>
      <c r="D44" s="282"/>
      <c r="E44" s="282"/>
      <c r="F44" s="283"/>
      <c r="G44" s="3299"/>
    </row>
    <row r="45" spans="1:7" s="258" customFormat="1" ht="13.5" customHeight="1">
      <c r="A45" s="949" t="s">
        <v>786</v>
      </c>
      <c r="B45" s="288" t="s">
        <v>112</v>
      </c>
      <c r="C45" s="289">
        <f>C46</f>
        <v>16685</v>
      </c>
      <c r="D45" s="279">
        <f>C47</f>
        <v>6.0000000000000001E-3</v>
      </c>
      <c r="E45" s="280" t="s">
        <v>129</v>
      </c>
      <c r="F45" s="290"/>
      <c r="G45" s="291" t="s">
        <v>1072</v>
      </c>
    </row>
    <row r="46" spans="1:7" s="258" customFormat="1" ht="13.5" customHeight="1">
      <c r="A46" s="952" t="s">
        <v>794</v>
      </c>
      <c r="B46" s="292" t="s">
        <v>1065</v>
      </c>
      <c r="C46" s="293">
        <f>ROUND((C33+C39)*F27,0)</f>
        <v>16685</v>
      </c>
      <c r="D46" s="307"/>
      <c r="E46" s="280"/>
      <c r="F46" s="290"/>
      <c r="G46" s="291"/>
    </row>
    <row r="47" spans="1:7" s="258" customFormat="1" ht="13.5" customHeight="1">
      <c r="A47" s="952" t="s">
        <v>792</v>
      </c>
      <c r="B47" s="292" t="s">
        <v>1067</v>
      </c>
      <c r="C47" s="282">
        <f>ROUND(C40*F27,4)</f>
        <v>6.0000000000000001E-3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116819</v>
      </c>
      <c r="D49" s="276"/>
      <c r="E49" s="276"/>
      <c r="F49" s="308"/>
      <c r="G49" s="278" t="s">
        <v>1073</v>
      </c>
    </row>
    <row r="50" spans="1:7" s="302" customFormat="1" ht="24">
      <c r="A50" s="949" t="s">
        <v>789</v>
      </c>
      <c r="B50" s="254" t="s">
        <v>124</v>
      </c>
      <c r="C50" s="276"/>
      <c r="D50" s="276"/>
      <c r="E50" s="276"/>
      <c r="F50" s="308">
        <f>IF('数据-取费表'!B24=0,'数据-取费表'!N16,1)</f>
        <v>0.82</v>
      </c>
      <c r="G50" s="291" t="s">
        <v>125</v>
      </c>
    </row>
    <row r="51" spans="1:7" ht="16.5" customHeight="1">
      <c r="A51" s="949" t="s">
        <v>790</v>
      </c>
      <c r="B51" s="254" t="s">
        <v>132</v>
      </c>
      <c r="C51" s="276">
        <f ca="1">ROUND(C49*F50,0)</f>
        <v>95792</v>
      </c>
      <c r="D51" s="276"/>
      <c r="E51" s="276"/>
      <c r="F51" s="308"/>
      <c r="G51" s="278" t="s">
        <v>64</v>
      </c>
    </row>
    <row r="52" spans="1:7" s="252" customFormat="1" ht="16.5" thickBot="1">
      <c r="A52" s="309" t="s">
        <v>65</v>
      </c>
      <c r="B52" s="310"/>
      <c r="C52" s="311">
        <f ca="1">C31+C51</f>
        <v>130290</v>
      </c>
      <c r="D52" s="310"/>
      <c r="E52" s="310"/>
      <c r="F52" s="310"/>
      <c r="G52" s="312"/>
    </row>
    <row r="55" spans="1:7" ht="15">
      <c r="B55" s="314" t="s">
        <v>66</v>
      </c>
      <c r="C55" s="315"/>
    </row>
    <row r="56" spans="1:7">
      <c r="B56" s="317" t="s">
        <v>67</v>
      </c>
      <c r="C56" s="318">
        <f ca="1">ROUND(C51/C52,3)</f>
        <v>0.73499999999999999</v>
      </c>
    </row>
    <row r="57" spans="1:7">
      <c r="B57" s="317" t="s">
        <v>68</v>
      </c>
      <c r="C57" s="319">
        <f ca="1">1-C56</f>
        <v>0.26500000000000001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66" t="s">
        <v>156</v>
      </c>
      <c r="B1" s="3466"/>
      <c r="C1" s="3466"/>
      <c r="D1" s="3466"/>
      <c r="E1" s="3466"/>
      <c r="F1" s="346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67" t="s">
        <v>169</v>
      </c>
      <c r="B2" s="3467"/>
      <c r="C2" s="3467"/>
      <c r="D2" s="3467"/>
      <c r="E2" s="3467"/>
      <c r="F2" s="346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6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6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6" t="s">
        <v>871</v>
      </c>
      <c r="B1" s="346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10" t="s">
        <v>1656</v>
      </c>
      <c r="B1" s="3110"/>
      <c r="C1" s="3110"/>
      <c r="D1" s="3110"/>
    </row>
    <row r="2" spans="1:4" ht="18">
      <c r="A2" s="3111" t="s">
        <v>1640</v>
      </c>
      <c r="B2" s="3111"/>
      <c r="C2" s="3111"/>
      <c r="D2" s="3111"/>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111" t="s">
        <v>1646</v>
      </c>
      <c r="B6" s="3111"/>
      <c r="C6" s="3111"/>
      <c r="D6" s="3111"/>
    </row>
    <row r="7" spans="1:4" ht="18.75">
      <c r="A7" s="1975" t="s">
        <v>1641</v>
      </c>
      <c r="B7" s="1977" t="s">
        <v>1647</v>
      </c>
      <c r="C7" s="1975" t="s">
        <v>1643</v>
      </c>
      <c r="D7" s="1975" t="s">
        <v>1644</v>
      </c>
    </row>
    <row r="8" spans="1:4" ht="56.25" customHeight="1">
      <c r="A8" s="1981" t="s">
        <v>869</v>
      </c>
      <c r="B8" s="1981" t="s">
        <v>1</v>
      </c>
      <c r="C8" s="1978"/>
      <c r="D8" s="1979" t="s">
        <v>1645</v>
      </c>
    </row>
    <row r="9" spans="1:4">
      <c r="A9" s="728"/>
      <c r="B9" s="728"/>
      <c r="C9" s="728"/>
      <c r="D9" s="728"/>
    </row>
    <row r="10" spans="1:4" ht="18.75">
      <c r="A10" s="1982" t="s">
        <v>1648</v>
      </c>
      <c r="B10" s="728"/>
      <c r="C10" s="728"/>
      <c r="D10" s="728"/>
    </row>
    <row r="11" spans="1:4" ht="30" customHeight="1">
      <c r="A11" s="3112" t="s">
        <v>1649</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4" t="str">
        <f>IF(项目基本情况!B8="抵押","4.本次评估估价师所知悉的法定优先受偿款情况说明如下：","——")</f>
        <v>4.本次评估估价师所知悉的法定优先受偿款情况说明如下：</v>
      </c>
      <c r="B14" s="3109"/>
      <c r="C14" s="3109"/>
      <c r="D14" s="3109"/>
    </row>
    <row r="15" spans="1:4" ht="42" customHeight="1">
      <c r="A15" s="3104"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104"/>
      <c r="C15" s="3104"/>
      <c r="D15" s="3104"/>
    </row>
    <row r="16" spans="1:4" ht="30" customHeight="1">
      <c r="A16" s="3106" t="s">
        <v>1650</v>
      </c>
      <c r="B16" s="3106"/>
      <c r="C16" s="3106"/>
      <c r="D16" s="3106"/>
    </row>
    <row r="17" spans="1:4" ht="144" customHeight="1">
      <c r="A17" s="3106" t="s">
        <v>1651</v>
      </c>
      <c r="B17" s="3106"/>
      <c r="C17" s="3106"/>
      <c r="D17" s="3106"/>
    </row>
    <row r="18" spans="1:4" ht="15.75" customHeight="1">
      <c r="A18" s="3104" t="str">
        <f>IF(项目基本情况!B8="抵押",'结果表（酒店）'!K120,"——")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7"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7"/>
      <c r="C21" s="3107"/>
      <c r="D21" s="3107"/>
    </row>
    <row r="22" spans="1:4" ht="18.75" customHeight="1">
      <c r="A22" s="3108" t="s">
        <v>1652</v>
      </c>
      <c r="B22" s="3108"/>
      <c r="C22" s="3108"/>
      <c r="D22" s="3108"/>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105">
        <v>42551</v>
      </c>
      <c r="D31" s="31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1294</v>
      </c>
      <c r="C1" s="1693">
        <f>项目基本情况!D3</f>
        <v>43581</v>
      </c>
      <c r="D1" s="1699" t="s">
        <v>1295</v>
      </c>
      <c r="E1" s="1694">
        <f>'数据-取费表'!B22</f>
        <v>3</v>
      </c>
      <c r="F1" s="1699" t="s">
        <v>1296</v>
      </c>
      <c r="G1" s="1695">
        <f ca="1">INDIRECT("d"&amp;$K$1)/100</f>
        <v>4.7500000000000001E-2</v>
      </c>
      <c r="H1" s="1699" t="s">
        <v>1326</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1297</v>
      </c>
      <c r="E2" s="1635"/>
      <c r="F2" s="1635" t="s">
        <v>1298</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1299</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1300</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1301</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1302</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1303</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1304</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1305</v>
      </c>
      <c r="C10" s="1663"/>
      <c r="D10" s="1663"/>
      <c r="E10" s="1663"/>
      <c r="F10" s="1663"/>
      <c r="G10" s="1663"/>
      <c r="H10" s="1663"/>
      <c r="I10" s="1637"/>
      <c r="J10" s="1637"/>
      <c r="K10" s="1663"/>
      <c r="L10" s="1664" t="s">
        <v>1306</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1307</v>
      </c>
      <c r="C11" s="1668" t="s">
        <v>1308</v>
      </c>
      <c r="D11" s="1669" t="s">
        <v>1309</v>
      </c>
      <c r="E11" s="1670"/>
      <c r="F11" s="1669" t="s">
        <v>1310</v>
      </c>
      <c r="G11" s="1671"/>
      <c r="H11" s="1670"/>
      <c r="I11" s="1669" t="s">
        <v>1311</v>
      </c>
      <c r="J11" s="1670"/>
      <c r="K11" s="1666"/>
      <c r="L11" s="1667" t="s">
        <v>1307</v>
      </c>
      <c r="M11" s="1668" t="s">
        <v>1308</v>
      </c>
      <c r="N11" s="1667" t="s">
        <v>1312</v>
      </c>
      <c r="O11" s="1669" t="s">
        <v>1313</v>
      </c>
      <c r="P11" s="1671"/>
      <c r="Q11" s="1671"/>
      <c r="R11" s="1671"/>
      <c r="S11" s="1671"/>
      <c r="T11" s="1670"/>
      <c r="U11" s="1669" t="s">
        <v>1314</v>
      </c>
      <c r="V11" s="1671"/>
      <c r="W11" s="1670"/>
      <c r="X11" s="1667" t="s">
        <v>1315</v>
      </c>
      <c r="Y11" s="1667" t="s">
        <v>1316</v>
      </c>
      <c r="Z11" s="1667" t="s">
        <v>1317</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1318</v>
      </c>
      <c r="E12" s="1676" t="s">
        <v>1319</v>
      </c>
      <c r="F12" s="1676" t="s">
        <v>1320</v>
      </c>
      <c r="G12" s="1676" t="s">
        <v>1321</v>
      </c>
      <c r="H12" s="1676" t="s">
        <v>1303</v>
      </c>
      <c r="I12" s="1677" t="s">
        <v>1322</v>
      </c>
      <c r="J12" s="1677" t="s">
        <v>1322</v>
      </c>
      <c r="K12" s="1673"/>
      <c r="L12" s="1674"/>
      <c r="M12" s="1675"/>
      <c r="N12" s="1674"/>
      <c r="O12" s="1677" t="s">
        <v>1323</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1324</v>
      </c>
      <c r="C13" s="1681">
        <v>42301</v>
      </c>
      <c r="D13" s="1682">
        <v>4.3499999999999996</v>
      </c>
      <c r="E13" s="1682">
        <v>4.3499999999999996</v>
      </c>
      <c r="F13" s="1682">
        <v>4.75</v>
      </c>
      <c r="G13" s="1682">
        <v>4.75</v>
      </c>
      <c r="H13" s="1682">
        <v>4.9000000000000004</v>
      </c>
      <c r="I13" s="1682">
        <v>2.75</v>
      </c>
      <c r="J13" s="1682">
        <v>3.25</v>
      </c>
      <c r="K13" s="1679"/>
      <c r="L13" s="1680" t="s">
        <v>1324</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1325</v>
      </c>
      <c r="Y42" s="1686" t="s">
        <v>1325</v>
      </c>
      <c r="Z42" s="1686" t="s">
        <v>1325</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1325</v>
      </c>
      <c r="Y43" s="1686" t="s">
        <v>1325</v>
      </c>
      <c r="Z43" s="1686" t="s">
        <v>1325</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1325</v>
      </c>
      <c r="Y44" s="1686" t="s">
        <v>1325</v>
      </c>
      <c r="Z44" s="1686" t="s">
        <v>1325</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1325</v>
      </c>
      <c r="Y45" s="1686" t="s">
        <v>1325</v>
      </c>
      <c r="Z45" s="1686" t="s">
        <v>1325</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1325</v>
      </c>
      <c r="Y46" s="1686" t="s">
        <v>1325</v>
      </c>
      <c r="Z46" s="1686" t="s">
        <v>1325</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1325</v>
      </c>
      <c r="Y47" s="1686" t="s">
        <v>1325</v>
      </c>
      <c r="Z47" s="1686" t="s">
        <v>1325</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1325</v>
      </c>
      <c r="Y48" s="1686" t="s">
        <v>1325</v>
      </c>
      <c r="Z48" s="1686" t="s">
        <v>1325</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1325</v>
      </c>
      <c r="Y49" s="1686" t="s">
        <v>1325</v>
      </c>
      <c r="Z49" s="1686" t="s">
        <v>1325</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1325</v>
      </c>
      <c r="Y50" s="1686" t="s">
        <v>1325</v>
      </c>
      <c r="Z50" s="1686" t="s">
        <v>1325</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1325</v>
      </c>
      <c r="V51" s="1686" t="s">
        <v>1325</v>
      </c>
      <c r="W51" s="1686" t="s">
        <v>1325</v>
      </c>
      <c r="X51" s="1686" t="s">
        <v>1325</v>
      </c>
      <c r="Y51" s="1686" t="s">
        <v>1325</v>
      </c>
      <c r="Z51" s="1686" t="s">
        <v>1325</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1325</v>
      </c>
      <c r="J55" s="1686" t="s">
        <v>1325</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27</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118" t="s">
        <v>1663</v>
      </c>
      <c r="B15" s="3113" t="s">
        <v>136</v>
      </c>
      <c r="C15" s="3114"/>
    </row>
    <row r="16" spans="1:7" ht="13.5">
      <c r="A16" s="3119"/>
      <c r="B16" s="3113" t="s">
        <v>69</v>
      </c>
      <c r="C16" s="3114"/>
    </row>
    <row r="17" spans="1:3" ht="13.5">
      <c r="A17" s="3119"/>
      <c r="B17" s="3116" t="s">
        <v>1664</v>
      </c>
      <c r="C17" s="1998" t="s">
        <v>1663</v>
      </c>
    </row>
    <row r="18" spans="1:3" ht="13.5">
      <c r="A18" s="3119"/>
      <c r="B18" s="3116"/>
      <c r="C18" s="1998" t="s">
        <v>1665</v>
      </c>
    </row>
    <row r="19" spans="1:3" ht="13.5">
      <c r="A19" s="3119"/>
      <c r="B19" s="3116"/>
      <c r="C19" s="1998" t="s">
        <v>1666</v>
      </c>
    </row>
    <row r="20" spans="1:3" ht="13.5">
      <c r="A20" s="3120"/>
      <c r="B20" s="3115" t="s">
        <v>1667</v>
      </c>
      <c r="C20" s="3114"/>
    </row>
    <row r="21" spans="1:3" ht="13.5">
      <c r="A21" s="1999" t="s">
        <v>1668</v>
      </c>
      <c r="B21" s="2000"/>
      <c r="C21" s="2001"/>
    </row>
    <row r="22" spans="1:3" ht="13.5">
      <c r="A22" s="3117" t="s">
        <v>1669</v>
      </c>
      <c r="B22" s="3115" t="s">
        <v>1670</v>
      </c>
      <c r="C22" s="3114"/>
    </row>
    <row r="23" spans="1:3" ht="13.5">
      <c r="A23" s="3117"/>
      <c r="B23" s="3115" t="s">
        <v>1671</v>
      </c>
      <c r="C23" s="3114"/>
    </row>
    <row r="24" spans="1:3" ht="13.5">
      <c r="A24" s="3117"/>
      <c r="B24" s="3115" t="s">
        <v>1672</v>
      </c>
      <c r="C24" s="3114"/>
    </row>
    <row r="25" spans="1:3" ht="13.5">
      <c r="A25" s="3117"/>
      <c r="B25" s="3116" t="s">
        <v>1673</v>
      </c>
      <c r="C25" s="1998" t="s">
        <v>1674</v>
      </c>
    </row>
    <row r="26" spans="1:3" ht="13.5">
      <c r="A26" s="3117"/>
      <c r="B26" s="3116"/>
      <c r="C26" s="1998" t="s">
        <v>1675</v>
      </c>
    </row>
    <row r="27" spans="1:3" ht="13.5">
      <c r="A27" s="3117"/>
      <c r="B27" s="3116"/>
      <c r="C27" s="1998" t="s">
        <v>1676</v>
      </c>
    </row>
    <row r="28" spans="1:3" ht="13.5">
      <c r="A28" s="3117"/>
      <c r="B28" s="3116"/>
      <c r="C28" s="1998" t="s">
        <v>1677</v>
      </c>
    </row>
    <row r="29" spans="1:3" ht="13.5">
      <c r="A29" s="3117"/>
      <c r="B29" s="3116"/>
      <c r="C29" s="1998" t="s">
        <v>1678</v>
      </c>
    </row>
    <row r="30" spans="1:3" ht="13.5">
      <c r="A30" s="3117"/>
      <c r="B30" s="3116"/>
      <c r="C30" s="1998" t="s">
        <v>1679</v>
      </c>
    </row>
    <row r="31" spans="1:3" ht="13.5">
      <c r="A31" s="3117"/>
      <c r="B31" s="3116"/>
      <c r="C31" s="1998" t="s">
        <v>1680</v>
      </c>
    </row>
    <row r="32" spans="1:3" ht="13.5">
      <c r="A32" s="3117"/>
      <c r="B32" s="3116"/>
      <c r="C32" s="1998" t="s">
        <v>1681</v>
      </c>
    </row>
    <row r="33" spans="1:3" ht="13.5">
      <c r="A33" s="3117"/>
      <c r="B33" s="3116"/>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43593</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44395</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t="str">
        <f ca="1">IF(C10&lt;B2,"已过期",1120060040)</f>
        <v>已过期</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3029</v>
      </c>
      <c r="B12" s="1023">
        <v>1120110054</v>
      </c>
      <c r="C12" s="2935">
        <v>43937</v>
      </c>
      <c r="D12" s="1701" t="s">
        <v>3029</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1143</v>
      </c>
      <c r="B15" s="1023">
        <v>1120070085</v>
      </c>
      <c r="C15" s="2342">
        <v>43814</v>
      </c>
      <c r="D15" s="2346" t="s">
        <v>1143</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5">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1327</v>
      </c>
      <c r="B24" s="1702" t="s">
        <v>1327</v>
      </c>
      <c r="C24" s="2343" t="s">
        <v>1327</v>
      </c>
      <c r="D24" s="2346" t="s">
        <v>1327</v>
      </c>
      <c r="E24" s="1702" t="s">
        <v>1327</v>
      </c>
      <c r="F24" s="1702" t="s">
        <v>1327</v>
      </c>
    </row>
    <row r="25" spans="1:7" ht="24" customHeight="1">
      <c r="A25" s="3121" t="s">
        <v>846</v>
      </c>
      <c r="B25" s="3121"/>
      <c r="C25" s="3121"/>
      <c r="D25" s="3121"/>
      <c r="E25" s="3121"/>
      <c r="F25" s="3121"/>
      <c r="G25" s="3121"/>
    </row>
    <row r="26" spans="1:7" s="1026" customFormat="1" ht="24" customHeight="1">
      <c r="A26" s="3122" t="s">
        <v>847</v>
      </c>
      <c r="B26" s="3122"/>
      <c r="C26" s="3123"/>
      <c r="D26" s="3124" t="s">
        <v>848</v>
      </c>
      <c r="E26" s="3122"/>
      <c r="F26" s="3122"/>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1378</v>
      </c>
      <c r="F29" s="1204">
        <v>43281</v>
      </c>
    </row>
    <row r="30" spans="1:7" ht="24" customHeight="1">
      <c r="C30" s="1032"/>
      <c r="D30" s="1032"/>
    </row>
  </sheetData>
  <sheetProtection sheet="1" objects="1" scenarios="1"/>
  <mergeCells count="3">
    <mergeCell ref="A25:G25"/>
    <mergeCell ref="A26:C26"/>
    <mergeCell ref="D26:F26"/>
  </mergeCells>
  <phoneticPr fontId="87" type="noConversion"/>
  <conditionalFormatting sqref="C28">
    <cfRule type="expression" dxfId="265" priority="66">
      <formula>AND($C28-TODAY()&lt;30,TODAY()&lt;$C28)</formula>
    </cfRule>
  </conditionalFormatting>
  <conditionalFormatting sqref="C28 F4">
    <cfRule type="cellIs" dxfId="264" priority="68" stopIfTrue="1" operator="lessThan">
      <formula>$B$2</formula>
    </cfRule>
  </conditionalFormatting>
  <conditionalFormatting sqref="C5">
    <cfRule type="expression" dxfId="263" priority="63">
      <formula>AND($C5-TODAY()&lt;30,TODAY()&lt;$C5)</formula>
    </cfRule>
  </conditionalFormatting>
  <conditionalFormatting sqref="C5 F5">
    <cfRule type="cellIs" dxfId="262" priority="64" stopIfTrue="1" operator="lessThan">
      <formula>$B$2</formula>
    </cfRule>
  </conditionalFormatting>
  <conditionalFormatting sqref="F6 F8 F10">
    <cfRule type="cellIs" dxfId="261" priority="62" stopIfTrue="1" operator="lessThan">
      <formula>$B$2</formula>
    </cfRule>
  </conditionalFormatting>
  <conditionalFormatting sqref="C4:C11 C13:C21 C23">
    <cfRule type="expression" dxfId="260" priority="60">
      <formula>AND($C4-TODAY()&lt;30,TODAY()&lt;$C4)</formula>
    </cfRule>
  </conditionalFormatting>
  <conditionalFormatting sqref="F7 F9 F11 C4:C11 C13:C21 C23">
    <cfRule type="cellIs" dxfId="259" priority="61" stopIfTrue="1" operator="lessThan">
      <formula>$B$2</formula>
    </cfRule>
  </conditionalFormatting>
  <conditionalFormatting sqref="C14">
    <cfRule type="expression" dxfId="258" priority="54">
      <formula>AND($C14-TODAY()&lt;30,TODAY()&lt;$C14)</formula>
    </cfRule>
  </conditionalFormatting>
  <conditionalFormatting sqref="C14">
    <cfRule type="cellIs" dxfId="257" priority="55" stopIfTrue="1" operator="lessThan">
      <formula>$B$2</formula>
    </cfRule>
  </conditionalFormatting>
  <conditionalFormatting sqref="C16">
    <cfRule type="expression" dxfId="256" priority="52">
      <formula>AND($C16-TODAY()&lt;30,TODAY()&lt;$C16)</formula>
    </cfRule>
  </conditionalFormatting>
  <conditionalFormatting sqref="C16">
    <cfRule type="cellIs" dxfId="255" priority="53" stopIfTrue="1" operator="lessThan">
      <formula>$B$2</formula>
    </cfRule>
  </conditionalFormatting>
  <conditionalFormatting sqref="C18">
    <cfRule type="expression" dxfId="254" priority="50">
      <formula>AND($C18-TODAY()&lt;30,TODAY()&lt;$C18)</formula>
    </cfRule>
  </conditionalFormatting>
  <conditionalFormatting sqref="C18">
    <cfRule type="cellIs" dxfId="253" priority="51" stopIfTrue="1" operator="lessThan">
      <formula>$B$2</formula>
    </cfRule>
  </conditionalFormatting>
  <conditionalFormatting sqref="C20">
    <cfRule type="expression" dxfId="252" priority="48">
      <formula>AND($C20-TODAY()&lt;30,TODAY()&lt;$C20)</formula>
    </cfRule>
  </conditionalFormatting>
  <conditionalFormatting sqref="C20">
    <cfRule type="cellIs" dxfId="251" priority="49" stopIfTrue="1" operator="lessThan">
      <formula>$B$2</formula>
    </cfRule>
  </conditionalFormatting>
  <conditionalFormatting sqref="C15">
    <cfRule type="expression" dxfId="250" priority="44">
      <formula>AND($C15-TODAY()&lt;30,TODAY()&lt;$C15)</formula>
    </cfRule>
  </conditionalFormatting>
  <conditionalFormatting sqref="C15">
    <cfRule type="cellIs" dxfId="249" priority="45" stopIfTrue="1" operator="lessThan">
      <formula>$B$2</formula>
    </cfRule>
  </conditionalFormatting>
  <conditionalFormatting sqref="C17">
    <cfRule type="expression" dxfId="248" priority="42">
      <formula>AND($C17-TODAY()&lt;30,TODAY()&lt;$C17)</formula>
    </cfRule>
  </conditionalFormatting>
  <conditionalFormatting sqref="C17">
    <cfRule type="cellIs" dxfId="247" priority="43" stopIfTrue="1" operator="lessThan">
      <formula>$B$2</formula>
    </cfRule>
  </conditionalFormatting>
  <conditionalFormatting sqref="C19">
    <cfRule type="expression" dxfId="246" priority="40">
      <formula>AND($C19-TODAY()&lt;30,TODAY()&lt;$C19)</formula>
    </cfRule>
  </conditionalFormatting>
  <conditionalFormatting sqref="C19">
    <cfRule type="cellIs" dxfId="245" priority="41" stopIfTrue="1" operator="lessThan">
      <formula>$B$2</formula>
    </cfRule>
  </conditionalFormatting>
  <conditionalFormatting sqref="C21">
    <cfRule type="expression" dxfId="244" priority="38">
      <formula>AND($C21-TODAY()&lt;30,TODAY()&lt;$C21)</formula>
    </cfRule>
  </conditionalFormatting>
  <conditionalFormatting sqref="C21">
    <cfRule type="cellIs" dxfId="243" priority="39" stopIfTrue="1" operator="lessThan">
      <formula>$B$2</formula>
    </cfRule>
  </conditionalFormatting>
  <conditionalFormatting sqref="C23">
    <cfRule type="expression" dxfId="242" priority="36">
      <formula>AND($C23-TODAY()&lt;30,TODAY()&lt;$C23)</formula>
    </cfRule>
  </conditionalFormatting>
  <conditionalFormatting sqref="C23">
    <cfRule type="cellIs" dxfId="241" priority="37" stopIfTrue="1" operator="lessThan">
      <formula>$B$2</formula>
    </cfRule>
  </conditionalFormatting>
  <conditionalFormatting sqref="F16">
    <cfRule type="cellIs" dxfId="240" priority="34" stopIfTrue="1" operator="lessThan">
      <formula>$B$2</formula>
    </cfRule>
  </conditionalFormatting>
  <conditionalFormatting sqref="F18">
    <cfRule type="cellIs" dxfId="239" priority="33" stopIfTrue="1" operator="lessThan">
      <formula>$B$2</formula>
    </cfRule>
  </conditionalFormatting>
  <conditionalFormatting sqref="F22">
    <cfRule type="cellIs" dxfId="238" priority="32" stopIfTrue="1" operator="lessThan">
      <formula>$B$2</formula>
    </cfRule>
  </conditionalFormatting>
  <conditionalFormatting sqref="F21">
    <cfRule type="cellIs" dxfId="237" priority="31" stopIfTrue="1" operator="lessThan">
      <formula>$B$2</formula>
    </cfRule>
  </conditionalFormatting>
  <conditionalFormatting sqref="F17">
    <cfRule type="cellIs" dxfId="236" priority="30" stopIfTrue="1" operator="lessThan">
      <formula>$B$2</formula>
    </cfRule>
  </conditionalFormatting>
  <conditionalFormatting sqref="B4:B11 E4:E11 B16:B23 E16:E23 B13:B14 E13:E14">
    <cfRule type="cellIs" dxfId="235" priority="29" stopIfTrue="1" operator="equal">
      <formula>"已过期"</formula>
    </cfRule>
  </conditionalFormatting>
  <conditionalFormatting sqref="A24:F24">
    <cfRule type="cellIs" dxfId="234" priority="25" stopIfTrue="1" operator="equal">
      <formula>"已过期"</formula>
    </cfRule>
  </conditionalFormatting>
  <conditionalFormatting sqref="F28">
    <cfRule type="expression" dxfId="233" priority="23">
      <formula>AND($E28-TODAY()&lt;30,TODAY()&lt;$E28)</formula>
    </cfRule>
  </conditionalFormatting>
  <conditionalFormatting sqref="F28">
    <cfRule type="cellIs" dxfId="232" priority="24" stopIfTrue="1" operator="lessThan">
      <formula>$B$2</formula>
    </cfRule>
  </conditionalFormatting>
  <conditionalFormatting sqref="F29">
    <cfRule type="expression" dxfId="231" priority="19" stopIfTrue="1">
      <formula>AND($E29-TODAY()&lt;30,TODAY()&lt;$E29)</formula>
    </cfRule>
  </conditionalFormatting>
  <conditionalFormatting sqref="F29">
    <cfRule type="cellIs" dxfId="230" priority="20" stopIfTrue="1" operator="lessThan">
      <formula>$B$2</formula>
    </cfRule>
  </conditionalFormatting>
  <conditionalFormatting sqref="B15">
    <cfRule type="cellIs" dxfId="229" priority="17" stopIfTrue="1" operator="equal">
      <formula>"已过期"</formula>
    </cfRule>
  </conditionalFormatting>
  <conditionalFormatting sqref="A15">
    <cfRule type="cellIs" dxfId="228" priority="16" stopIfTrue="1" operator="equal">
      <formula>"已过期"</formula>
    </cfRule>
  </conditionalFormatting>
  <conditionalFormatting sqref="C15">
    <cfRule type="expression" dxfId="227" priority="15">
      <formula>AND($C15-TODAY()&lt;30,TODAY()&lt;$C15)</formula>
    </cfRule>
  </conditionalFormatting>
  <conditionalFormatting sqref="E15">
    <cfRule type="cellIs" dxfId="226" priority="14" stopIfTrue="1" operator="equal">
      <formula>"已过期"</formula>
    </cfRule>
  </conditionalFormatting>
  <conditionalFormatting sqref="D15">
    <cfRule type="cellIs" dxfId="225" priority="13" stopIfTrue="1" operator="equal">
      <formula>"已过期"</formula>
    </cfRule>
  </conditionalFormatting>
  <conditionalFormatting sqref="F13">
    <cfRule type="cellIs" dxfId="224" priority="12" stopIfTrue="1" operator="lessThan">
      <formula>$B$2</formula>
    </cfRule>
  </conditionalFormatting>
  <conditionalFormatting sqref="C12">
    <cfRule type="expression" dxfId="223" priority="10">
      <formula>AND($C12-TODAY()&lt;30,TODAY()&lt;$C12)</formula>
    </cfRule>
  </conditionalFormatting>
  <conditionalFormatting sqref="C12">
    <cfRule type="cellIs" dxfId="222" priority="11" stopIfTrue="1" operator="lessThan">
      <formula>$B$2</formula>
    </cfRule>
  </conditionalFormatting>
  <conditionalFormatting sqref="C12">
    <cfRule type="expression" dxfId="221" priority="8">
      <formula>AND($C12-TODAY()&lt;30,TODAY()&lt;$C12)</formula>
    </cfRule>
  </conditionalFormatting>
  <conditionalFormatting sqref="C12">
    <cfRule type="cellIs" dxfId="220" priority="9" stopIfTrue="1" operator="lessThan">
      <formula>$B$2</formula>
    </cfRule>
  </conditionalFormatting>
  <conditionalFormatting sqref="B12">
    <cfRule type="cellIs" dxfId="219" priority="7" stopIfTrue="1" operator="equal">
      <formula>"已过期"</formula>
    </cfRule>
  </conditionalFormatting>
  <conditionalFormatting sqref="E12">
    <cfRule type="cellIs" dxfId="218" priority="6" stopIfTrue="1" operator="equal">
      <formula>"已过期"</formula>
    </cfRule>
  </conditionalFormatting>
  <conditionalFormatting sqref="F12">
    <cfRule type="cellIs" dxfId="217" priority="5" stopIfTrue="1" operator="lessThan">
      <formula>$B$2</formula>
    </cfRule>
  </conditionalFormatting>
  <conditionalFormatting sqref="C22">
    <cfRule type="expression" dxfId="216" priority="3">
      <formula>AND($C22-TODAY()&lt;30,TODAY()&lt;$C22)</formula>
    </cfRule>
  </conditionalFormatting>
  <conditionalFormatting sqref="C22">
    <cfRule type="cellIs" dxfId="215" priority="4" stopIfTrue="1" operator="lessThan">
      <formula>$B$2</formula>
    </cfRule>
  </conditionalFormatting>
  <conditionalFormatting sqref="C22">
    <cfRule type="expression" dxfId="214" priority="1">
      <formula>AND($C22-TODAY()&lt;30,TODAY()&lt;$C22)</formula>
    </cfRule>
  </conditionalFormatting>
  <conditionalFormatting sqref="C22">
    <cfRule type="cellIs" dxfId="21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面积新</vt:lpstr>
      <vt:lpstr>面积</vt:lpstr>
      <vt:lpstr>租金台账</vt:lpstr>
      <vt:lpstr>抵押物清单（分楼）</vt:lpstr>
      <vt:lpstr>数据-取费表</vt:lpstr>
      <vt:lpstr>估价对象房地状况</vt:lpstr>
      <vt:lpstr>系统读取表</vt:lpstr>
      <vt:lpstr>结果表111 </vt:lpstr>
      <vt:lpstr>结果表（酒店）</vt:lpstr>
      <vt:lpstr>成本法</vt:lpstr>
      <vt:lpstr>结果表 (办公)</vt:lpstr>
      <vt:lpstr>比较法-办公</vt:lpstr>
      <vt:lpstr>土地比较法-住宅、综合</vt:lpstr>
      <vt:lpstr>土地案例</vt:lpstr>
      <vt:lpstr>基准地价修正（商业）</vt:lpstr>
      <vt:lpstr>基准地价修正 (办公)</vt:lpstr>
      <vt:lpstr>收益法-商业</vt:lpstr>
      <vt:lpstr>租金</vt:lpstr>
      <vt:lpstr>收益法-办公</vt:lpstr>
      <vt:lpstr>成本法 (元)</vt:lpstr>
      <vt:lpstr>假设开发法</vt:lpstr>
      <vt:lpstr>收益法 (元)</vt:lpstr>
      <vt:lpstr>成本法-酒店</vt:lpstr>
      <vt:lpstr>比较法-住宅</vt:lpstr>
      <vt:lpstr>比较法-商业</vt:lpstr>
      <vt:lpstr>比较法-工业</vt:lpstr>
      <vt:lpstr>比较法-车位</vt:lpstr>
      <vt:lpstr>比较法-仓储</vt:lpstr>
      <vt:lpstr>土地比较法-工业</vt:lpstr>
      <vt:lpstr>结果表（库房）</vt:lpstr>
      <vt:lpstr>成本法-库房</vt:lpstr>
      <vt:lpstr>收益法-酒店</vt:lpstr>
      <vt:lpstr>酒店收入计算</vt:lpstr>
      <vt:lpstr>收益法-库房</vt:lpstr>
      <vt:lpstr>结果表（车库）</vt:lpstr>
      <vt:lpstr>收益法-车库</vt:lpstr>
      <vt:lpstr>收益法（汇总）</vt:lpstr>
      <vt:lpstr>成本法-车库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'收益法 (元)'!Print_Area</vt:lpstr>
      <vt:lpstr>'收益法-办公'!Print_Area</vt:lpstr>
      <vt:lpstr>'收益法-车库'!Print_Area</vt:lpstr>
      <vt:lpstr>'收益法-酒店'!Print_Area</vt:lpstr>
      <vt:lpstr>'收益法-库房'!Print_Area</vt:lpstr>
      <vt:lpstr>'收益法-商业'!Print_Area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2019-05-08T08:01:15Z</dcterms:modified>
</cp:coreProperties>
</file>