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 i="61" l="1"/>
  <c r="J1" i="61"/>
  <c r="D4" i="61"/>
  <c r="E20" i="43"/>
  <c r="O17" i="43"/>
  <c r="G20" i="43"/>
  <c r="J20" i="43"/>
  <c r="B2" i="1"/>
  <c r="B13" i="1"/>
  <c r="I20" i="43"/>
  <c r="C20" i="43"/>
  <c r="G2" i="43"/>
  <c r="I2" i="43"/>
  <c r="M2" i="43"/>
  <c r="C6" i="43"/>
  <c r="C15" i="43"/>
  <c r="D15" i="43"/>
  <c r="E15" i="43"/>
  <c r="F15" i="43"/>
  <c r="C12" i="43"/>
  <c r="G17" i="43"/>
  <c r="H17" i="43"/>
  <c r="I17" i="43"/>
  <c r="J17" i="43"/>
  <c r="C17" i="43"/>
  <c r="C16" i="43"/>
  <c r="C5" i="43"/>
  <c r="C18" i="43"/>
  <c r="G19" i="43"/>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43"/>
  <c r="M19" i="43"/>
  <c r="C19" i="43"/>
  <c r="G3" i="43"/>
  <c r="E22" i="43"/>
  <c r="G22" i="43"/>
  <c r="F22" i="43"/>
  <c r="D22" i="43"/>
  <c r="C21" i="43"/>
  <c r="K70" i="43"/>
  <c r="D70" i="43"/>
  <c r="K71" i="43"/>
  <c r="D71" i="43"/>
  <c r="K72" i="43"/>
  <c r="D72" i="43"/>
  <c r="M73" i="43"/>
  <c r="N73" i="43"/>
  <c r="D73" i="43"/>
  <c r="K74" i="43"/>
  <c r="J74" i="43"/>
  <c r="D74" i="43"/>
  <c r="M75" i="43"/>
  <c r="D75" i="43"/>
  <c r="K76" i="43"/>
  <c r="D76" i="43"/>
  <c r="K77" i="43"/>
  <c r="D77" i="43"/>
  <c r="K78" i="43"/>
  <c r="D78" i="43"/>
  <c r="E70" i="43"/>
  <c r="B68" i="43"/>
  <c r="C24" i="43"/>
  <c r="C29" i="43"/>
  <c r="C30" i="43"/>
  <c r="C28" i="9"/>
  <c r="B28" i="9"/>
  <c r="D30" i="9"/>
  <c r="B41" i="1"/>
  <c r="D29" i="43"/>
  <c r="D30" i="43"/>
  <c r="B5" i="1"/>
  <c r="D9" i="11"/>
  <c r="E9" i="11"/>
  <c r="C9" i="11"/>
  <c r="E13" i="1"/>
  <c r="E29" i="43"/>
  <c r="C6" i="11"/>
  <c r="L3" i="59"/>
  <c r="K3" i="59"/>
  <c r="J3" i="59"/>
  <c r="I3" i="59"/>
  <c r="AH5" i="59"/>
  <c r="AG5" i="59"/>
  <c r="AE5" i="59"/>
  <c r="AF5" i="59"/>
  <c r="AD5" i="59"/>
  <c r="Q9" i="59"/>
  <c r="Q16" i="59"/>
  <c r="Q20" i="59"/>
  <c r="AB5" i="59"/>
  <c r="P9" i="59"/>
  <c r="P16" i="59"/>
  <c r="P20" i="59"/>
  <c r="AA5" i="59"/>
  <c r="O9" i="59"/>
  <c r="O16" i="59"/>
  <c r="O20" i="59"/>
  <c r="Y5" i="59"/>
  <c r="Z5" i="59"/>
  <c r="N9" i="59"/>
  <c r="N16" i="59"/>
  <c r="N20" i="59"/>
  <c r="X5" i="59"/>
  <c r="AD6" i="59"/>
  <c r="AE6" i="59"/>
  <c r="AF6" i="59"/>
  <c r="AG6" i="59"/>
  <c r="AH6" i="59"/>
  <c r="X6" i="59"/>
  <c r="Y6" i="59"/>
  <c r="Z6" i="59"/>
  <c r="AA6" i="59"/>
  <c r="AB6" i="59"/>
  <c r="B23" i="1"/>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7" i="59"/>
  <c r="AG7" i="59"/>
  <c r="AE7" i="59"/>
  <c r="AF7" i="59"/>
  <c r="AD7" i="59"/>
  <c r="F7" i="15"/>
  <c r="F9" i="15"/>
  <c r="F6" i="15"/>
  <c r="F8" i="15"/>
  <c r="C6" i="15"/>
  <c r="F113" i="57"/>
  <c r="I113" i="57"/>
  <c r="M50" i="57"/>
  <c r="F112" i="9"/>
  <c r="I112" i="9"/>
  <c r="M49" i="9"/>
  <c r="AH8" i="59"/>
  <c r="AG8" i="59"/>
  <c r="AE8" i="59"/>
  <c r="AF8" i="59"/>
  <c r="AD8" i="59"/>
  <c r="AB7" i="59"/>
  <c r="Y7" i="59"/>
  <c r="Z7" i="59"/>
  <c r="X7" i="59"/>
  <c r="AA7" i="59"/>
  <c r="U8" i="59"/>
  <c r="AB8" i="59"/>
  <c r="AA8" i="59"/>
  <c r="T8" i="59"/>
  <c r="Y8" i="59"/>
  <c r="Z8" i="59"/>
  <c r="S8" i="59"/>
  <c r="X8" i="59"/>
  <c r="A2" i="50"/>
  <c r="V8" i="59"/>
  <c r="K60" i="15"/>
  <c r="P59" i="15"/>
  <c r="P72" i="15"/>
  <c r="A132" i="57"/>
  <c r="A130" i="57"/>
  <c r="A128" i="57"/>
  <c r="A126" i="57"/>
  <c r="A129" i="9"/>
  <c r="A127"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L1" i="61"/>
  <c r="F7" i="61"/>
  <c r="B68" i="60"/>
  <c r="D7" i="61"/>
  <c r="F3" i="61"/>
  <c r="F6" i="61"/>
  <c r="F4" i="61"/>
  <c r="D6" i="61"/>
  <c r="F5" i="61"/>
  <c r="D5" i="61"/>
  <c r="D3" i="61"/>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c r="Q56" i="59"/>
  <c r="P56" i="59"/>
  <c r="O56" i="59"/>
  <c r="N56" i="59"/>
  <c r="F56" i="59"/>
  <c r="V56" i="59"/>
  <c r="E56" i="59"/>
  <c r="C56" i="59"/>
  <c r="Q55" i="59"/>
  <c r="P55" i="59"/>
  <c r="O55" i="59"/>
  <c r="N55" i="59"/>
  <c r="F55" i="59"/>
  <c r="F54" i="59"/>
  <c r="B55" i="59"/>
  <c r="B54" i="59"/>
  <c r="Q54" i="59"/>
  <c r="P54" i="59"/>
  <c r="O54" i="59"/>
  <c r="N54" i="59"/>
  <c r="Q53" i="59"/>
  <c r="P53" i="59"/>
  <c r="O53" i="59"/>
  <c r="N53" i="59"/>
  <c r="D53" i="59"/>
  <c r="E52" i="59"/>
  <c r="U52" i="59"/>
  <c r="B52" i="59"/>
  <c r="S52" i="59"/>
  <c r="P52" i="59"/>
  <c r="N52" i="59"/>
  <c r="F52" i="59"/>
  <c r="V52" i="59"/>
  <c r="E51" i="59"/>
  <c r="P51" i="59"/>
  <c r="C52" i="59"/>
  <c r="F51" i="59"/>
  <c r="F50" i="59"/>
  <c r="Q50" i="59"/>
  <c r="B51" i="59"/>
  <c r="E50" i="59"/>
  <c r="P49"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7" i="59"/>
  <c r="F38" i="59"/>
  <c r="Q38" i="59"/>
  <c r="F39" i="59"/>
  <c r="F40" i="59"/>
  <c r="V40" i="59"/>
  <c r="P38" i="59"/>
  <c r="O38" i="59"/>
  <c r="N38" i="59"/>
  <c r="P37" i="59"/>
  <c r="E38" i="59"/>
  <c r="O37" i="59"/>
  <c r="C38" i="59"/>
  <c r="N37" i="59"/>
  <c r="B38" i="59"/>
  <c r="B39" i="59"/>
  <c r="B40" i="59"/>
  <c r="S40" i="59"/>
  <c r="D37" i="59"/>
  <c r="Q36" i="59"/>
  <c r="P36" i="59"/>
  <c r="O36" i="59"/>
  <c r="N36" i="59"/>
  <c r="Q35" i="59"/>
  <c r="P35" i="59"/>
  <c r="O35" i="59"/>
  <c r="N35" i="59"/>
  <c r="Q34" i="59"/>
  <c r="P34" i="59"/>
  <c r="O34" i="59"/>
  <c r="N34" i="59"/>
  <c r="P33" i="59"/>
  <c r="E34" i="59"/>
  <c r="E35" i="59"/>
  <c r="E36" i="59"/>
  <c r="U36" i="59"/>
  <c r="Q33" i="59"/>
  <c r="F34" i="59"/>
  <c r="F35" i="59"/>
  <c r="F36" i="59"/>
  <c r="V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N25" i="59"/>
  <c r="B26" i="59"/>
  <c r="B27" i="59"/>
  <c r="B28" i="59"/>
  <c r="S28" i="59"/>
  <c r="D25" i="59"/>
  <c r="Q24" i="59"/>
  <c r="P24" i="59"/>
  <c r="O24" i="59"/>
  <c r="N24" i="59"/>
  <c r="AB23" i="59"/>
  <c r="AA23" i="59"/>
  <c r="Y23" i="59"/>
  <c r="Z23" i="59"/>
  <c r="X23" i="59"/>
  <c r="Z22" i="59"/>
  <c r="V24" i="59"/>
  <c r="U24" i="59"/>
  <c r="S24" i="59"/>
  <c r="V20" i="59"/>
  <c r="U20" i="59"/>
  <c r="S20" i="59"/>
  <c r="V16" i="59"/>
  <c r="U16" i="59"/>
  <c r="S16" i="59"/>
  <c r="T12" i="59"/>
  <c r="Y3" i="59"/>
  <c r="Z3" i="59"/>
  <c r="Y9" i="59"/>
  <c r="Z9" i="59"/>
  <c r="Y10" i="59"/>
  <c r="Z10" i="59"/>
  <c r="Y12" i="59"/>
  <c r="Z12" i="59"/>
  <c r="Y11" i="59"/>
  <c r="Z11" i="59"/>
  <c r="X12" i="59"/>
  <c r="X11" i="59"/>
  <c r="X3" i="59"/>
  <c r="X9" i="59"/>
  <c r="X10" i="59"/>
  <c r="C27" i="59"/>
  <c r="D26" i="59"/>
  <c r="C31" i="59"/>
  <c r="D31" i="59"/>
  <c r="D30" i="59"/>
  <c r="C35" i="59"/>
  <c r="D34" i="59"/>
  <c r="E39" i="59"/>
  <c r="E40" i="59"/>
  <c r="U40" i="59"/>
  <c r="E43" i="59"/>
  <c r="E44" i="59"/>
  <c r="U44" i="59"/>
  <c r="E47" i="59"/>
  <c r="E48" i="59"/>
  <c r="U48" i="59"/>
  <c r="Q49" i="59"/>
  <c r="P50" i="59"/>
  <c r="U56" i="59"/>
  <c r="E55" i="59"/>
  <c r="E54"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S12" i="59"/>
  <c r="AB3" i="59"/>
  <c r="AB9" i="59"/>
  <c r="AB10" i="59"/>
  <c r="AB11" i="59"/>
  <c r="AB12" i="59"/>
  <c r="AA10" i="59"/>
  <c r="AA11" i="59"/>
  <c r="AA12" i="59"/>
  <c r="AA3" i="59"/>
  <c r="AA9"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U12" i="59"/>
  <c r="V12" i="59"/>
  <c r="O50" i="59"/>
  <c r="D50" i="59"/>
  <c r="O49" i="59"/>
  <c r="T36" i="59"/>
  <c r="D36" i="59"/>
  <c r="T16" i="59"/>
  <c r="T20" i="59"/>
  <c r="T24" i="59"/>
  <c r="T28" i="59"/>
  <c r="D28" i="59"/>
  <c r="T40" i="59"/>
  <c r="D40" i="59"/>
  <c r="T44" i="59"/>
  <c r="D44" i="59"/>
  <c r="T48" i="59"/>
  <c r="D48"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N75" i="43"/>
  <c r="K75" i="43"/>
  <c r="J75" i="43"/>
  <c r="M74" i="43"/>
  <c r="N74" i="43"/>
  <c r="K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N17" i="43"/>
  <c r="M17"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J109" i="43"/>
  <c r="H48" i="43"/>
  <c r="I115" i="43"/>
  <c r="J115" i="43"/>
  <c r="K115" i="43"/>
  <c r="L115" i="43"/>
  <c r="M115" i="43"/>
  <c r="M60" i="15"/>
  <c r="H70" i="43"/>
  <c r="H75" i="43"/>
  <c r="H71" i="43"/>
  <c r="H76" i="43"/>
  <c r="D115" i="43"/>
  <c r="E115" i="43"/>
  <c r="F115" i="43"/>
  <c r="G115" i="43"/>
  <c r="H115" i="43"/>
  <c r="B117" i="43"/>
  <c r="C117" i="43"/>
  <c r="M109"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M12" i="43"/>
  <c r="H15" i="44"/>
  <c r="M8"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20" i="9"/>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L47" i="15"/>
  <c r="B3" i="15"/>
  <c r="D20" i="9"/>
  <c r="E2" i="11"/>
  <c r="E2" i="37"/>
  <c r="B2" i="15"/>
  <c r="D19" i="9"/>
  <c r="E2" i="35"/>
  <c r="E2" i="36"/>
  <c r="E2" i="21"/>
  <c r="C19" i="57"/>
  <c r="C20" i="57"/>
  <c r="E2" i="33"/>
  <c r="E2" i="34"/>
  <c r="B2" i="36"/>
  <c r="B3" i="36"/>
  <c r="B2" i="34"/>
  <c r="B3" i="34"/>
  <c r="B2" i="35"/>
  <c r="B2" i="37"/>
  <c r="B3" i="37"/>
  <c r="B2" i="33"/>
  <c r="B3" i="33"/>
  <c r="B2" i="21"/>
  <c r="B3" i="21"/>
  <c r="D101" i="9"/>
  <c r="C102" i="57"/>
  <c r="B2" i="11"/>
  <c r="G20" i="9"/>
  <c r="D102" i="9"/>
  <c r="G20" i="57"/>
  <c r="C103" i="57"/>
  <c r="Q65" i="15"/>
  <c r="L58" i="15"/>
  <c r="L61"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 r="G14" i="62"/>
  <c r="B6" i="62"/>
  <c r="C6" i="62"/>
  <c r="D6" i="62"/>
  <c r="D14" i="62"/>
  <c r="B5" i="62"/>
  <c r="C5" i="62"/>
  <c r="D5" i="62"/>
  <c r="F14" i="62"/>
  <c r="E14"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<sst xmlns="http://schemas.openxmlformats.org/spreadsheetml/2006/main" count="6770" uniqueCount="2855">
  <si>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</si>
  <si>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</si>
  <si>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</si>
  <si>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</si>
  <si>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</si>
  <si>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</si>
  <si>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</si>
  <si>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</si>
  <si>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</si>
  <si>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</si>
  <si>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</si>
  <si>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</si>
  <si>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</si>
  <si>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</si>
  <si>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</si>
  <si>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</si>
  <si>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</si>
  <si>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</si>
  <si>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</si>
  <si>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</si>
  <si>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</si>
  <si>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</si>
  <si>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</si>
  <si>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</si>
  <si>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</si>
  <si>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</si>
  <si>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</si>
  <si>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</si>
  <si>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</si>
  <si>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</si>
  <si>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</si>
  <si>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</si>
  <si>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</si>
  <si>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</si>
  <si>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</si>
  <si>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</si>
  <si>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</si>
  <si>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</si>
  <si>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</si>
  <si>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</si>
  <si>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</si>
  <si>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</si>
  <si>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</si>
  <si>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</si>
  <si>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</si>
  <si>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</si>
  <si>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</si>
  <si>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</si>
  <si>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</si>
  <si>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</si>
  <si>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</si>
  <si>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</si>
  <si>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</si>
  <si>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</si>
  <si>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</si>
  <si>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</si>
  <si>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</si>
  <si>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</si>
  <si>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</si>
  <si>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</si>
  <si>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</si>
  <si>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</si>
  <si>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</si>
  <si>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</si>
  <si>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</si>
  <si>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</si>
  <si>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</si>
  <si>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</si>
  <si>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</si>
  <si>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</si>
  <si>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</si>
  <si>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</si>
  <si>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</si>
  <si>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</si>
  <si>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</si>
  <si>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</si>
  <si>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</si>
  <si>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</si>
  <si>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</si>
  <si>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</si>
  <si>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</si>
  <si>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</si>
  <si>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</si>
  <si>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</si>
  <si>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</si>
  <si>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</si>
  <si>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</si>
  <si>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</si>
  <si>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</si>
  <si>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</si>
  <si>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</si>
  <si>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</si>
  <si>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</si>
  <si>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</si>
  <si>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</si>
  <si>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</si>
  <si>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</si>
  <si>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</si>
  <si>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</si>
  <si>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</si>
  <si>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</si>
  <si>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</si>
  <si>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</si>
  <si>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</si>
  <si>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</si>
  <si>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</si>
  <si>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</si>
  <si>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</si>
  <si>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</si>
  <si>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</si>
  <si>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</si>
  <si>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</si>
  <si>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</si>
  <si>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</si>
  <si>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</si>
  <si>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</si>
  <si>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</si>
  <si>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</si>
  <si>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</si>
  <si>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</si>
  <si>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</si>
  <si>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</si>
  <si>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</si>
  <si>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</si>
  <si>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</si>
  <si>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</si>
  <si>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</si>
  <si>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</si>
  <si>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</si>
  <si>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</si>
  <si>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</si>
  <si>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</si>
  <si>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</si>
  <si>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</si>
  <si>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</si>
  <si>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</si>
  <si>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</si>
  <si>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</si>
  <si>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</si>
  <si>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</si>
  <si>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</si>
  <si>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</si>
  <si>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</si>
  <si>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</si>
  <si>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</si>
  <si>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</si>
  <si>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</si>
  <si>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</si>
  <si>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</si>
  <si>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</si>
  <si>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</si>
  <si>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</si>
  <si>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</si>
  <si>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</si>
  <si>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</si>
  <si>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</si>
  <si>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</si>
  <si>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</si>
  <si>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</si>
  <si>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</si>
  <si>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</si>
  <si>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</si>
  <si>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</si>
  <si>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</si>
  <si>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</si>
  <si>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</si>
  <si>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</si>
  <si>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</si>
  <si>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</si>
  <si>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</si>
  <si>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</si>
  <si>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</si>
  <si>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</si>
  <si>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</si>
  <si>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</si>
  <si>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</si>
  <si>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</si>
  <si>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</si>
  <si>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</si>
  <si>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</si>
  <si>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</si>
  <si>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</si>
  <si>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</si>
  <si>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</si>
  <si>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</si>
  <si>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</si>
  <si>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</si>
  <si>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</si>
  <si>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</si>
  <si>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</si>
  <si>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</si>
  <si>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</si>
  <si>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</si>
  <si>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</si>
  <si>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</si>
  <si>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</si>
  <si>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</si>
  <si>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</si>
  <si>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</si>
  <si>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</si>
  <si>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</si>
  <si>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</si>
  <si>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</si>
  <si>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</si>
  <si>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</si>
  <si>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</si>
  <si>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</si>
  <si>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</si>
  <si>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</si>
  <si>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</si>
  <si>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</si>
  <si>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</si>
  <si>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</si>
  <si>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</si>
  <si>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</si>
  <si>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</si>
  <si>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</si>
  <si>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</si>
  <si>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</si>
  <si>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</si>
  <si>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</si>
  <si>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</si>
  <si>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</si>
  <si>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</si>
  <si>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</si>
  <si>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</si>
  <si>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</si>
  <si>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</si>
  <si>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</si>
  <si>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</si>
  <si>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</si>
  <si>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</si>
  <si>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</si>
  <si>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</si>
  <si>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</si>
  <si>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</si>
  <si>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</si>
  <si>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</si>
  <si>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</si>
  <si>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</si>
  <si>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</si>
  <si>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</si>
  <si>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</si>
  <si>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</si>
  <si>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</si>
  <si>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</si>
  <si>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</si>
  <si>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</si>
  <si>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</si>
  <si>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</si>
  <si>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</si>
  <si>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</si>
  <si>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</si>
  <si>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</si>
  <si>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</si>
  <si>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</si>
  <si>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</si>
  <si>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</si>
  <si>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</si>
  <si>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</si>
  <si>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</si>
  <si>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</si>
  <si>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</si>
  <si>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</si>
  <si>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</si>
  <si>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</si>
  <si>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</si>
  <si>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</si>
  <si>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</si>
  <si>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</si>
  <si>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</si>
  <si>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</si>
  <si>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</si>
  <si>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</si>
  <si>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</si>
  <si>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</si>
  <si>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</si>
  <si>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</si>
  <si>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</si>
  <si>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</si>
  <si>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</si>
  <si>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</si>
  <si>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</si>
  <si>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</si>
  <si>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</si>
  <si>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</si>
  <si>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</si>
  <si>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</si>
  <si>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</si>
  <si>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</si>
  <si>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</si>
  <si>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</si>
  <si>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</si>
  <si>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</si>
  <si>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</si>
  <si>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</si>
  <si>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</si>
  <si>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</si>
  <si>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</si>
  <si>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</si>
  <si>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</si>
  <si>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</si>
  <si>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</si>
  <si>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</si>
  <si>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</si>
  <si>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</si>
  <si>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</si>
  <si>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</si>
  <si>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</si>
  <si>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</si>
  <si>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</si>
  <si>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</si>
  <si>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</si>
  <si>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</si>
  <si>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</si>
  <si>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</si>
  <si>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</si>
  <si>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</si>
  <si>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</si>
  <si>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</si>
  <si>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</si>
  <si>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</si>
  <si>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</si>
  <si>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</si>
  <si>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</si>
  <si>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</si>
  <si>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</si>
  <si>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</si>
  <si>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</si>
  <si>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</si>
  <si>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</si>
  <si>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</si>
  <si>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</si>
  <si>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</si>
  <si>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</si>
  <si>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</si>
  <si>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</si>
  <si>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</si>
  <si>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</si>
  <si>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</si>
  <si>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</si>
  <si>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</si>
  <si>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</si>
  <si>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</si>
  <si>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</si>
  <si>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</si>
  <si>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</si>
  <si>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</si>
  <si>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</si>
  <si>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</si>
  <si>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</si>
  <si>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</si>
  <si>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</si>
  <si>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</si>
  <si>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</si>
  <si>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</si>
  <si>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</si>
  <si>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</si>
  <si>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</si>
  <si>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</si>
  <si>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</si>
  <si>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</si>
  <si>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</si>
  <si>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</si>
  <si>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</si>
  <si>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</si>
  <si>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</si>
  <si>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</si>
  <si>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</si>
  <si>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</si>
  <si>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</si>
  <si>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</si>
  <si>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</si>
  <si>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</si>
  <si>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</si>
  <si>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</si>
  <si>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</si>
  <si>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</si>
  <si>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</si>
  <si>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</si>
  <si>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</si>
  <si>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</si>
  <si>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</si>
  <si>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</si>
  <si>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</si>
  <si>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</si>
  <si>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</si>
  <si>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</si>
  <si>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</si>
  <si>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</si>
  <si>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</si>
  <si>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</si>
  <si>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</si>
  <si>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</si>
  <si>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</si>
  <si>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</si>
  <si>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</si>
  <si>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</si>
  <si>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</si>
  <si>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</si>
  <si>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</si>
  <si>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</si>
  <si>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</si>
  <si>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</si>
  <si>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</si>
  <si>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</si>
  <si>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</si>
  <si>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</si>
  <si>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</si>
  <si>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</si>
  <si>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</si>
  <si>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</si>
  <si>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</si>
  <si>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</si>
  <si>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</si>
  <si>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</si>
  <si>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</si>
  <si>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</si>
  <si>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</si>
  <si>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</si>
  <si>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</si>
  <si>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</si>
  <si>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</si>
  <si>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</si>
  <si>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</si>
  <si>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</si>
  <si>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</si>
  <si>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</si>
  <si>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</si>
  <si>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</si>
  <si>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</si>
  <si>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</si>
  <si>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</si>
  <si>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</si>
  <si>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</si>
  <si>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</si>
  <si>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</si>
  <si>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</si>
  <si>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</si>
  <si>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</si>
  <si>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</si>
  <si>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</si>
  <si>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</si>
  <si>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</si>
  <si>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</si>
  <si>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</si>
  <si>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</si>
  <si>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</si>
  <si>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</si>
  <si>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</si>
  <si>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</si>
  <si>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</si>
  <si>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</si>
  <si>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</si>
  <si>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</si>
  <si>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</si>
  <si>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</si>
  <si>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</si>
  <si>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</si>
  <si>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</si>
  <si>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</si>
  <si>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</si>
  <si>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</si>
  <si>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</si>
  <si>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</si>
  <si>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</si>
  <si>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</si>
  <si>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</si>
  <si>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</si>
  <si>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</si>
  <si>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</si>
  <si>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</si>
  <si>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</si>
  <si>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</si>
  <si>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</si>
  <si>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</si>
  <si>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</si>
  <si>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</si>
  <si>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</si>
  <si>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</si>
  <si>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</si>
  <si>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</si>
  <si>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</si>
  <si>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</si>
  <si>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</si>
  <si>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</si>
  <si>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</si>
  <si>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</si>
  <si>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</si>
  <si>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</si>
  <si>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</si>
  <si>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</si>
  <si>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</si>
  <si>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</si>
  <si>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</si>
  <si>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</si>
  <si>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</si>
  <si>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</si>
  <si>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</si>
  <si>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</si>
  <si>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</si>
  <si>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</si>
  <si>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</si>
  <si>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</si>
  <si>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</si>
  <si>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</si>
  <si>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</si>
  <si>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</si>
  <si>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</si>
  <si>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</si>
  <si>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</si>
  <si>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</si>
  <si>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</si>
  <si>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</si>
  <si>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</si>
  <si>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</si>
  <si>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</si>
  <si>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</si>
  <si>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</si>
  <si>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</si>
  <si>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</si>
  <si>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</si>
  <si>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</si>
  <si>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</si>
  <si>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</si>
  <si>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</si>
  <si>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</si>
  <si>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</si>
  <si>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</si>
  <si>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</si>
  <si>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</si>
  <si>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</si>
  <si>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</si>
  <si>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</si>
  <si>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</si>
  <si>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</si>
  <si>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</si>
  <si>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</si>
  <si>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</si>
  <si>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</si>
  <si>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</si>
  <si>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</si>
  <si>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</si>
  <si>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</si>
  <si>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</si>
  <si>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</si>
  <si>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</si>
  <si>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</si>
  <si>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</si>
  <si>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</si>
  <si>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</si>
  <si>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</si>
  <si>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</si>
  <si>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</si>
  <si>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</si>
  <si>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</si>
  <si>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</si>
  <si>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</si>
  <si>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</si>
  <si>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</si>
  <si>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</si>
  <si>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</si>
  <si>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</si>
  <si>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</si>
  <si>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</si>
  <si>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</si>
  <si>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</si>
  <si>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</si>
  <si>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</si>
  <si>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</si>
  <si>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</si>
  <si>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</si>
  <si>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</si>
  <si>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</si>
  <si>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</si>
  <si>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</si>
  <si>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</si>
  <si>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</si>
  <si>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</si>
  <si>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</si>
  <si>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</si>
  <si>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</si>
  <si>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</si>
  <si>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</si>
  <si>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</si>
  <si>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</si>
  <si>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</si>
  <si>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</si>
  <si>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</si>
  <si>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</si>
  <si>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</si>
  <si>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</si>
  <si>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</si>
  <si>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</si>
  <si>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</si>
  <si>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</si>
  <si>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</si>
  <si>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</si>
  <si>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</si>
  <si>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</si>
  <si>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</si>
  <si>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</si>
  <si>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</si>
  <si>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</si>
  <si>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</si>
  <si>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</si>
  <si>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</si>
  <si>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</si>
  <si>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</si>
  <si>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</si>
  <si>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</si>
  <si>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</si>
  <si>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</si>
  <si>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</si>
  <si>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</si>
  <si>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</si>
  <si>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</si>
  <si>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</si>
  <si>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</si>
  <si>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</si>
  <si>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</si>
  <si>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</si>
  <si>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</si>
  <si>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</si>
  <si>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</si>
  <si>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</si>
  <si>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</si>
  <si>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</si>
  <si>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</si>
  <si>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</si>
  <si>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</si>
  <si>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</si>
  <si>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</si>
  <si>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</si>
  <si>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</si>
  <si>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</si>
  <si>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</si>
  <si>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</si>
  <si>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</si>
  <si>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</si>
  <si>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</si>
  <si>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</si>
  <si>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</si>
  <si>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</si>
  <si>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</si>
  <si>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</si>
  <si>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</si>
  <si>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</si>
  <si>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</si>
  <si>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</si>
  <si>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</si>
  <si>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</si>
  <si>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</si>
  <si>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</si>
  <si>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</si>
  <si>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</si>
  <si>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</si>
  <si>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</si>
  <si>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</si>
  <si>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</si>
  <si>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</si>
  <si>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</si>
  <si>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</si>
  <si>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</si>
  <si>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</si>
  <si>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</si>
  <si>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</si>
  <si>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</si>
  <si>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</si>
  <si>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</si>
  <si>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</si>
  <si>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</si>
  <si>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</si>
  <si>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</si>
  <si>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</si>
  <si>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</si>
  <si>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</si>
  <si>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</si>
  <si>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</si>
  <si>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</si>
  <si>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</si>
  <si>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</si>
  <si>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</si>
  <si>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</si>
  <si>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</si>
  <si>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</si>
  <si>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</si>
  <si>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</si>
  <si>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</si>
  <si>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</si>
  <si>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</si>
  <si>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</si>
  <si>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</si>
  <si>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</si>
  <si>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</si>
  <si>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</si>
  <si>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</si>
  <si>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</si>
  <si>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</si>
  <si>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</si>
  <si>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</si>
  <si>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</si>
  <si>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</si>
  <si>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</si>
  <si>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</si>
  <si>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</si>
  <si>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</si>
  <si>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</si>
  <si>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</si>
  <si>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</si>
  <si>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</si>
  <si>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</si>
  <si>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</si>
  <si>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</si>
  <si>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</si>
  <si>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</si>
  <si>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</si>
  <si>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</si>
  <si>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</si>
  <si>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</si>
  <si>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</si>
  <si>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</si>
  <si>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</si>
  <si>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</si>
  <si>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</si>
  <si>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</si>
  <si>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</si>
  <si>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</si>
  <si>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</si>
  <si>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</si>
  <si>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</si>
  <si>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</si>
  <si>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</si>
  <si>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</si>
  <si>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</si>
  <si>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</si>
  <si>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</si>
  <si>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</si>
  <si>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</si>
  <si>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</si>
  <si>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</si>
  <si>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</si>
  <si>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</si>
  <si>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</si>
  <si>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</si>
  <si>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</si>
  <si>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</si>
  <si>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</si>
  <si>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</si>
  <si>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</si>
  <si>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</si>
  <si>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</si>
  <si>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</si>
  <si>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</si>
  <si>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</si>
  <si>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</si>
  <si>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</si>
  <si>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</si>
  <si>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</si>
  <si>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</si>
  <si>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</si>
  <si>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</si>
  <si>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</si>
  <si>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</si>
  <si>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</si>
  <si>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</si>
  <si>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</si>
  <si>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</si>
  <si>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</si>
  <si>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</si>
  <si>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</si>
  <si>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</si>
  <si>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</si>
  <si>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</si>
  <si>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</si>
  <si>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</si>
  <si>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</si>
  <si>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</si>
  <si>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</si>
  <si>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</si>
  <si>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</si>
  <si>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</si>
  <si>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</si>
  <si>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</si>
  <si>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</si>
  <si>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</si>
  <si>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</si>
  <si>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</si>
  <si>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</si>
  <si>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</si>
  <si>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</si>
  <si>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</si>
  <si>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</si>
  <si>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</si>
  <si>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</si>
  <si>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</si>
  <si>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</si>
  <si>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</si>
  <si>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</si>
  <si>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</si>
  <si>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</si>
  <si>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</si>
  <si>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</si>
  <si>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</si>
  <si>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</si>
  <si>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</si>
  <si>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</si>
  <si>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</si>
  <si>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</si>
  <si>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</si>
  <si>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</si>
  <si>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</si>
  <si>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</si>
  <si>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</si>
  <si>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</si>
  <si>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</si>
  <si>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</si>
  <si>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</si>
  <si>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</si>
  <si>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</si>
  <si>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</si>
  <si>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</si>
  <si>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</si>
  <si>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</si>
  <si>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</si>
  <si>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</si>
  <si>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</si>
  <si>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</si>
  <si>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</si>
  <si>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</si>
  <si>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</si>
  <si>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</si>
  <si>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</si>
  <si>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</si>
  <si>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</si>
  <si>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</si>
  <si>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</si>
  <si>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</si>
  <si>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</si>
  <si>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</si>
  <si>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</si>
  <si>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</si>
  <si>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</si>
  <si>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</si>
  <si>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</si>
  <si>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</si>
  <si>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</si>
  <si>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</si>
  <si>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</si>
  <si>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</si>
  <si>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</si>
  <si>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</si>
  <si>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</si>
  <si>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</si>
  <si>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</si>
  <si>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</si>
  <si>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</si>
  <si>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</si>
  <si>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</si>
  <si>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</si>
  <si>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</si>
  <si>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</si>
  <si>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</si>
  <si>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</si>
  <si>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</si>
  <si>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</si>
  <si>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</si>
  <si>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</si>
  <si>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</si>
  <si>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</si>
  <si>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</si>
  <si>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</si>
  <si>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</si>
  <si>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</si>
  <si>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</si>
  <si>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</si>
  <si>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</si>
  <si>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</si>
  <si>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</si>
  <si>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</si>
  <si>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</si>
  <si>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</si>
  <si>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</si>
  <si>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</si>
  <si>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</si>
  <si>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</si>
  <si>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</si>
  <si>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</si>
  <si>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</si>
  <si>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</si>
  <si>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</si>
  <si>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</si>
  <si>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</si>
  <si>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</si>
  <si>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</si>
  <si>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</si>
  <si>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</si>
  <si>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</si>
  <si>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</si>
  <si>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</si>
  <si>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</si>
  <si>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</si>
  <si>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</si>
  <si>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</si>
  <si>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</si>
  <si>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</si>
  <si>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</si>
  <si>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</si>
  <si>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</si>
  <si>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</si>
  <si>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</si>
  <si>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</si>
  <si>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</si>
  <si>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</si>
  <si>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</si>
  <si>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</si>
  <si>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</si>
  <si>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</si>
  <si>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</si>
  <si>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</si>
  <si>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</si>
  <si>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</si>
  <si>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</si>
  <si>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</si>
  <si>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</si>
  <si>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</si>
  <si>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</si>
  <si>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</si>
  <si>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</si>
  <si>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</si>
  <si>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</si>
  <si>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</si>
  <si>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</si>
  <si>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</si>
  <si>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</si>
  <si>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</si>
  <si>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</si>
  <si>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</si>
  <si>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</si>
  <si>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</si>
  <si>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</si>
  <si>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</si>
  <si>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</si>
  <si>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</si>
  <si>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</si>
  <si>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</si>
  <si>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</si>
  <si>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</si>
  <si>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</si>
  <si>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</si>
  <si>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</si>
  <si>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</si>
  <si>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</si>
  <si>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</si>
  <si>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</si>
  <si>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</si>
  <si>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</si>
  <si>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</si>
  <si>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</si>
  <si>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</si>
  <si>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</si>
  <si>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</si>
  <si>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</si>
  <si>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</si>
  <si>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</si>
  <si>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</si>
  <si>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</si>
  <si>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</si>
  <si>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</si>
  <si>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</si>
  <si>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</si>
  <si>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</si>
  <si>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</si>
  <si>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</si>
  <si>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</si>
  <si>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</si>
  <si>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</si>
  <si>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</si>
  <si>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</si>
  <si>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</si>
  <si>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</si>
  <si>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</si>
  <si>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</si>
  <si>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</si>
  <si>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</si>
  <si>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</si>
  <si>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</si>
  <si>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</si>
  <si>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</si>
  <si>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</si>
  <si>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</si>
  <si>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</si>
  <si>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</si>
  <si>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</si>
  <si>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</si>
  <si>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</si>
  <si>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</si>
  <si>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</si>
  <si>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</si>
  <si>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</si>
  <si>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</si>
  <si>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</si>
  <si>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</si>
  <si>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</si>
  <si>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</si>
  <si>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</si>
  <si>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</si>
  <si>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</si>
  <si>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</si>
  <si>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</si>
  <si>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</si>
  <si>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</si>
  <si>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</si>
  <si>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</si>
  <si>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</si>
  <si>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</si>
  <si>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</si>
  <si>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</si>
  <si>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</si>
  <si>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</si>
  <si>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</si>
  <si>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</si>
  <si>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</si>
  <si>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</si>
  <si>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</si>
  <si>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</si>
  <si>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</si>
  <si>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</si>
  <si>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</si>
  <si>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</si>
  <si>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</si>
  <si>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</si>
  <si>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</si>
  <si>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</si>
  <si>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</si>
  <si>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</si>
  <si>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</si>
  <si>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</si>
  <si>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</si>
  <si>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</si>
  <si>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</si>
  <si>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</si>
  <si>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</si>
  <si>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</si>
  <si>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</si>
  <si>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</si>
  <si>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</si>
  <si>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</si>
  <si>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</si>
  <si>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</si>
  <si>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</si>
  <si>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</si>
  <si>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</si>
  <si>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</si>
  <si>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</si>
  <si>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</si>
  <si>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</si>
  <si>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</si>
  <si>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</si>
  <si>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</si>
  <si>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</si>
  <si>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</si>
  <si>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</si>
  <si>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</si>
  <si>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</si>
  <si>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</si>
  <si>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</si>
  <si>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</si>
  <si>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</si>
  <si>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</si>
  <si>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</si>
  <si>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</si>
  <si>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</si>
  <si>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</si>
  <si>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</si>
  <si>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</si>
  <si>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</si>
  <si>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</si>
  <si>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</si>
  <si>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</si>
  <si>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</si>
  <si>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</si>
  <si>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</si>
  <si>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</si>
  <si>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</si>
  <si>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</si>
  <si>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</si>
  <si>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</si>
  <si>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</si>
  <si>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</si>
  <si>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</si>
  <si>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</si>
  <si>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</si>
  <si>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</si>
  <si>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</si>
  <si>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</si>
  <si>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</si>
  <si>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</si>
  <si>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</si>
  <si>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</si>
  <si>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</si>
  <si>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</si>
  <si>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</si>
  <si>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</si>
  <si>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</si>
  <si>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</si>
  <si>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</si>
  <si>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</si>
  <si>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</si>
  <si>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</si>
  <si>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</si>
  <si>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</si>
  <si>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</si>
  <si>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</si>
  <si>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</si>
  <si>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</si>
  <si>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</si>
  <si>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</si>
  <si>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</si>
  <si>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</si>
  <si>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</si>
  <si>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</si>
  <si>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</si>
  <si>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</si>
  <si>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</si>
  <si>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</si>
  <si>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</si>
  <si>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</si>
  <si>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</si>
  <si>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</si>
  <si>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</si>
  <si>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</si>
  <si>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</si>
  <si>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</si>
  <si>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</si>
  <si>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</si>
  <si>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</si>
  <si>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</si>
  <si>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</si>
  <si>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</si>
  <si>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</si>
  <si>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</si>
  <si>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</si>
  <si>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</si>
  <si>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</si>
  <si>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</si>
  <si>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</si>
  <si>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</si>
  <si>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</si>
  <si>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</si>
  <si>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</si>
  <si>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</si>
  <si>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</si>
  <si>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</si>
  <si>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</si>
  <si>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</si>
  <si>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</si>
  <si>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</si>
  <si>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</si>
  <si>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</si>
  <si>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</si>
  <si>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</si>
  <si>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</si>
  <si>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</si>
  <si>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</si>
  <si>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</si>
  <si>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</si>
  <si>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</si>
  <si>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</si>
  <si>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</si>
  <si>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</si>
  <si>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</si>
  <si>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</si>
  <si>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</si>
  <si>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</si>
  <si>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</si>
  <si>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</si>
  <si>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</si>
  <si>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</si>
  <si>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</si>
  <si>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</si>
  <si>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</si>
  <si>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</si>
  <si>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</si>
  <si>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</si>
  <si>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</si>
  <si>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</si>
  <si>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</si>
  <si>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</si>
  <si>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</si>
  <si>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</si>
  <si>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</si>
  <si>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</si>
  <si>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</si>
  <si>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</si>
  <si>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</si>
  <si>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</si>
  <si>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</si>
  <si>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</si>
  <si>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</si>
  <si>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</si>
  <si>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</si>
  <si>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</si>
  <si>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</si>
  <si>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</si>
  <si>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</si>
  <si>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</si>
  <si>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</si>
  <si>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</si>
  <si>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</si>
  <si>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</si>
  <si>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</si>
  <si>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</si>
  <si>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</si>
  <si>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</si>
  <si>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</si>
  <si>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</si>
  <si>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</si>
  <si>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</si>
  <si>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</si>
  <si>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</si>
  <si>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</si>
  <si>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</si>
  <si>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</si>
  <si>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</si>
  <si>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</si>
  <si>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</si>
  <si>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</si>
  <si>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</si>
  <si>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</si>
  <si>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</si>
  <si>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</si>
  <si>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</si>
  <si>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</si>
  <si>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</si>
  <si>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</si>
  <si>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</si>
  <si>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</si>
  <si>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</si>
  <si>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</si>
  <si>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</si>
  <si>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</si>
  <si>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</si>
  <si>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</si>
  <si>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</si>
  <si>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</si>
  <si>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</si>
  <si>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</si>
  <si>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</si>
  <si>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</si>
  <si>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</si>
  <si>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</si>
  <si>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</si>
  <si>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</si>
  <si>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</si>
  <si>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</si>
  <si>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</si>
  <si>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</si>
  <si>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</si>
  <si>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</si>
  <si>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</si>
  <si>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</si>
  <si>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</si>
  <si>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</si>
  <si>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</si>
  <si>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</si>
  <si>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</si>
  <si>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</si>
  <si>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</si>
  <si>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</si>
  <si>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</si>
  <si>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</si>
  <si>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</si>
  <si>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</si>
  <si>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</si>
  <si>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</si>
  <si>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</si>
  <si>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</si>
  <si>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</si>
  <si>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</si>
  <si>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</si>
  <si>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</si>
  <si>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</si>
  <si>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</si>
  <si>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</si>
  <si>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</si>
  <si>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</si>
  <si>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</si>
  <si>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</si>
  <si>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</si>
  <si>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</si>
  <si>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</si>
  <si>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</si>
  <si>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</si>
  <si>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</si>
  <si>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</si>
  <si>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</si>
  <si>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</si>
  <si>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</si>
  <si>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</si>
  <si>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</si>
  <si>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</si>
  <si>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</si>
  <si>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</si>
  <si>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</si>
  <si>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</si>
  <si>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</si>
  <si>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</si>
  <si>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</si>
  <si>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</si>
  <si>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</si>
  <si>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</si>
  <si>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</si>
  <si>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</si>
  <si>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</si>
  <si>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</si>
  <si>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</si>
  <si>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</si>
  <si>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</si>
  <si>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</si>
  <si>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</si>
  <si>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</si>
  <si>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</si>
  <si>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</si>
  <si>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</si>
  <si>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</si>
  <si>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</si>
  <si>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</si>
  <si>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</si>
  <si>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</si>
  <si>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</si>
  <si>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</si>
  <si>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</si>
  <si>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</si>
  <si>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</si>
  <si>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</si>
  <si>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</si>
  <si>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</si>
  <si>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</si>
  <si>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</si>
  <si>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</si>
  <si>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</si>
  <si>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</si>
  <si>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</si>
  <si>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</si>
  <si>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</si>
  <si>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</si>
  <si>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</si>
  <si>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</si>
  <si>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</si>
  <si>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</si>
  <si>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</si>
  <si>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</si>
  <si>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</si>
  <si>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</si>
  <si>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</si>
  <si>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</si>
  <si>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</si>
  <si>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</si>
  <si>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</si>
  <si>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</si>
  <si>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</si>
  <si>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</si>
  <si>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</si>
  <si>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</si>
  <si>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</si>
  <si>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</si>
  <si>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</si>
  <si>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</si>
  <si>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</si>
  <si>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</si>
  <si>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</si>
  <si>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</si>
  <si>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</si>
  <si>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</si>
  <si>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</si>
  <si>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</si>
  <si>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</si>
  <si>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</si>
  <si>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</si>
  <si>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</si>
  <si>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</si>
  <si>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</si>
  <si>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</si>
  <si>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</si>
  <si>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</si>
  <si>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</si>
  <si>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</si>
  <si>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</si>
  <si>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</si>
  <si>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</si>
  <si>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</si>
  <si>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</si>
  <si>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</si>
  <si>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</si>
  <si>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</si>
  <si>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</si>
  <si>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</si>
  <si>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</si>
  <si>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</si>
  <si>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</si>
  <si>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</si>
  <si>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</si>
  <si>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</si>
  <si>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</si>
  <si>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</si>
  <si>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</si>
  <si>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</si>
  <si>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</si>
  <si>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</si>
  <si>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</si>
  <si>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</si>
  <si>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</si>
  <si>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</si>
  <si>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</si>
  <si>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</si>
  <si>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</si>
  <si>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</si>
  <si>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</si>
  <si>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</si>
  <si>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</si>
  <si>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</si>
  <si>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</si>
  <si>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</si>
  <si>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</si>
  <si>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</si>
  <si>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</si>
  <si>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</si>
  <si>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</si>
  <si>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</si>
  <si>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</si>
  <si>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</si>
  <si>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</si>
  <si>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</si>
  <si>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</si>
  <si>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</si>
  <si>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</si>
  <si>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</si>
  <si>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</si>
  <si>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</si>
  <si>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</si>
  <si>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</si>
  <si>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</si>
  <si>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</si>
  <si>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</si>
  <si>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</si>
  <si>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</si>
  <si>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</si>
  <si>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</si>
  <si>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</si>
  <si>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</si>
  <si>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</si>
  <si>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</si>
  <si>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</si>
  <si>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</si>
  <si>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</si>
  <si>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</si>
  <si>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</si>
  <si>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</si>
  <si>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</si>
  <si>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</si>
  <si>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</si>
  <si>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</si>
  <si>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</si>
  <si>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</si>
  <si>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</si>
  <si>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</si>
  <si>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</si>
  <si>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</si>
  <si>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</si>
  <si>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</si>
  <si>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</si>
  <si>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</si>
  <si>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</si>
  <si>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</si>
  <si>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</si>
  <si>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</si>
  <si>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</si>
  <si>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</si>
  <si>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</si>
  <si>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</si>
  <si>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</si>
  <si>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</si>
  <si>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</si>
  <si>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</si>
  <si>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</si>
  <si>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</si>
  <si>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</si>
  <si>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</si>
  <si>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</si>
  <si>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</si>
  <si>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</si>
  <si>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</si>
  <si>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</si>
  <si>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</si>
  <si>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</si>
  <si>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</si>
  <si>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</si>
  <si>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</si>
  <si>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</si>
  <si>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</si>
  <si>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</si>
  <si>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</si>
  <si>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</si>
  <si>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</si>
  <si>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</si>
  <si>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</si>
  <si>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</si>
  <si>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</si>
  <si>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</si>
  <si>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</si>
  <si>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</si>
  <si>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</si>
  <si>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</si>
  <si>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</si>
  <si>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</si>
  <si>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</si>
  <si>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</si>
  <si>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</si>
  <si>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</si>
  <si>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</si>
  <si>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</si>
  <si>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</si>
  <si>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</si>
  <si>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</si>
  <si>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</si>
  <si>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</si>
  <si>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</si>
  <si>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</si>
  <si>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</si>
  <si>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</si>
  <si>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</si>
  <si>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</si>
  <si>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</si>
  <si>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</si>
  <si>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</si>
  <si>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</si>
  <si>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</si>
  <si>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</si>
  <si>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</si>
  <si>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</si>
  <si>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</si>
  <si>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</si>
  <si>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</si>
  <si>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</si>
  <si>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</si>
  <si>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</si>
  <si>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</si>
  <si>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</si>
  <si>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</si>
  <si>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</si>
  <si>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</si>
  <si>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</si>
  <si>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</si>
  <si>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</si>
  <si>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</si>
  <si>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</si>
  <si>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</si>
  <si>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</si>
  <si>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</si>
  <si>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</si>
  <si>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</si>
  <si>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</si>
  <si>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</si>
  <si>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</si>
  <si>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</si>
  <si>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</si>
  <si>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</si>
  <si>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</si>
  <si>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</si>
  <si>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</si>
  <si>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</si>
  <si>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</si>
  <si>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</si>
  <si>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</si>
  <si>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</si>
  <si>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</si>
  <si>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</si>
  <si>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</si>
  <si>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</si>
  <si>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</si>
  <si>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</si>
  <si>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</si>
  <si>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</si>
  <si>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</si>
  <si>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</si>
  <si>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</si>
  <si>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</si>
  <si>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</si>
  <si>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</si>
  <si>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</si>
  <si>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</si>
  <si>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</si>
  <si>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</si>
  <si>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</si>
  <si>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</si>
  <si>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</si>
  <si>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</si>
  <si>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</si>
  <si>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</si>
  <si>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</si>
  <si>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</si>
  <si>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</si>
  <si>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</si>
  <si>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</si>
  <si>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</si>
  <si>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</si>
  <si>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</si>
  <si>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</si>
  <si>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</si>
  <si>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</si>
  <si>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</si>
  <si>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</si>
  <si>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</si>
  <si>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</si>
  <si>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</si>
  <si>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</si>
  <si>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</si>
  <si>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</si>
  <si>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</si>
  <si>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</si>
  <si>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</si>
  <si>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</si>
  <si>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</si>
  <si>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</si>
  <si>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</si>
  <si>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</si>
  <si>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</si>
  <si>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</si>
  <si>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</si>
  <si>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</si>
  <si>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</si>
  <si>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</si>
  <si>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</si>
  <si>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</si>
  <si>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</si>
  <si>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</si>
  <si>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</si>
  <si>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</si>
  <si>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</si>
  <si>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</si>
  <si>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</si>
  <si>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</si>
  <si>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</si>
  <si>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</si>
  <si>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</si>
  <si>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</si>
  <si>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</si>
  <si>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</si>
  <si>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</si>
  <si>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</si>
  <si>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</si>
  <si>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</si>
  <si>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</si>
  <si>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</si>
  <si>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</si>
  <si>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</si>
  <si>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</si>
  <si>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</si>
  <si>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</si>
  <si>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</si>
  <si>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</si>
  <si>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</si>
  <si>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</si>
  <si>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</si>
  <si>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</si>
  <si>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</si>
  <si>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</si>
  <si>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</si>
  <si>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</si>
  <si>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</si>
  <si>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</si>
  <si>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</si>
  <si>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</si>
  <si>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</si>
  <si>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</si>
  <si>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</si>
  <si>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</si>
  <si>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</si>
  <si>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</si>
  <si>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</si>
  <si>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</si>
  <si>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</si>
  <si>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</si>
  <si>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</si>
  <si>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</si>
  <si>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</si>
  <si>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</si>
  <si>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</si>
  <si>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</si>
  <si>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</si>
  <si>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</si>
  <si>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</si>
  <si>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</si>
  <si>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</si>
  <si>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</si>
  <si>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</si>
  <si>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</si>
  <si>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</si>
  <si>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</si>
  <si>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</si>
  <si>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</si>
  <si>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</si>
  <si>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</si>
  <si>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</si>
  <si>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</si>
  <si>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</si>
  <si>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</si>
  <si>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</si>
  <si>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</si>
  <si>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</si>
  <si>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</si>
  <si>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</si>
  <si>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</si>
  <si>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</si>
  <si>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</si>
  <si>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</si>
  <si>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</si>
  <si>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</si>
  <si>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</si>
  <si>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</si>
  <si>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</si>
  <si>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</si>
  <si>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</si>
  <si>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</si>
  <si>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</si>
  <si>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</si>
  <si>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</si>
  <si>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</si>
  <si>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</si>
  <si>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</si>
  <si>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</si>
  <si>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</si>
  <si>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</si>
  <si>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</si>
  <si>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</si>
  <si>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</si>
  <si>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</si>
  <si>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</si>
  <si>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</si>
  <si>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</si>
  <si>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</si>
  <si>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</si>
  <si>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</si>
  <si>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</si>
  <si>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</si>
  <si>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</si>
  <si>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</si>
  <si>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</si>
  <si>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</si>
  <si>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</si>
  <si>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</si>
  <si>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</si>
  <si>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</si>
  <si>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</si>
  <si>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</si>
  <si>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</si>
  <si>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</si>
  <si>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</si>
  <si>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</si>
  <si>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</si>
  <si>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</si>
  <si>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</si>
  <si>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</si>
  <si>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</si>
  <si>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</si>
  <si>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</si>
  <si>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</si>
  <si>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</si>
  <si>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</si>
  <si>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</si>
  <si>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</si>
  <si>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</si>
  <si>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</si>
  <si>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</si>
  <si>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</si>
  <si>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</si>
  <si>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</si>
  <si>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</si>
  <si>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</si>
  <si>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</si>
  <si>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</si>
  <si>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</si>
  <si>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</si>
  <si>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</si>
  <si>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</si>
  <si>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</si>
  <si>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</si>
  <si>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</si>
  <si>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</si>
  <si>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</si>
  <si>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</si>
  <si>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</si>
  <si>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</si>
  <si>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</si>
  <si>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</si>
  <si>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</si>
  <si>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</si>
  <si>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</si>
  <si>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</si>
  <si>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</si>
  <si>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</si>
  <si>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</si>
  <si>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</si>
  <si>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</si>
  <si>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</si>
  <si>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</si>
  <si>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</si>
  <si>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</si>
  <si>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</si>
  <si>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</si>
  <si>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</si>
  <si>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</si>
  <si>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</si>
  <si>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</si>
  <si>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</si>
  <si>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</si>
  <si>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</si>
  <si>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</si>
  <si>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</si>
  <si>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</si>
  <si>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</si>
  <si>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</si>
  <si>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</si>
  <si>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</si>
  <si>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</si>
  <si>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</si>
  <si>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</si>
  <si>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</si>
  <si>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</si>
  <si>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</si>
  <si>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</si>
  <si>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</si>
  <si>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</si>
  <si>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</si>
  <si>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</si>
  <si>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</si>
  <si>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</si>
  <si>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</si>
  <si>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</si>
  <si>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</si>
  <si>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</si>
  <si>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</si>
  <si>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</si>
  <si>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</si>
  <si>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</si>
  <si>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</si>
  <si>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</si>
  <si>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</si>
  <si>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</si>
  <si>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</si>
  <si>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</si>
  <si>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</si>
  <si>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</si>
  <si>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</si>
  <si>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</si>
  <si>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</si>
  <si>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</si>
  <si>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</si>
  <si>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</si>
  <si>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</si>
  <si>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</si>
  <si>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</si>
  <si>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</si>
  <si>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</si>
  <si>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</si>
  <si>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</si>
  <si>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</si>
  <si>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</si>
  <si>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</si>
  <si>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</si>
  <si>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</si>
  <si>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</si>
  <si>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</si>
  <si>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</si>
  <si>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</si>
  <si>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</si>
  <si>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</si>
  <si>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</si>
  <si>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</si>
  <si>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</si>
  <si>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</si>
  <si>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</si>
  <si>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</si>
  <si>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</si>
  <si>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</si>
  <si>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</si>
  <si>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</si>
  <si>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</si>
  <si>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</si>
  <si>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</si>
  <si>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</si>
  <si>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</si>
  <si>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</si>
  <si>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</si>
  <si>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</si>
  <si>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</si>
  <si>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</si>
  <si>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</si>
  <si>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</si>
  <si>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</si>
  <si>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</si>
  <si>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</si>
  <si>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</si>
  <si>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</si>
  <si>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</si>
  <si>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</si>
  <si>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</si>
  <si>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</si>
  <si>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</si>
  <si>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</si>
  <si>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</si>
  <si>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</si>
  <si>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</si>
  <si>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</si>
  <si>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</si>
  <si>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</si>
  <si>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</si>
  <si>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</si>
  <si>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</si>
  <si>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</si>
  <si>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</si>
  <si>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</si>
  <si>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</si>
  <si>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</si>
  <si>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</si>
  <si>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</si>
  <si>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</si>
  <si>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</si>
  <si>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</si>
  <si>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</si>
  <si>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</si>
  <si>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</si>
  <si>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</si>
  <si>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</si>
  <si>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</si>
  <si>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</si>
  <si>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</si>
  <si>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</si>
  <si>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</si>
  <si>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</si>
  <si>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</si>
  <si>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</si>
  <si>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</si>
  <si>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</si>
  <si>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</si>
  <si>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</si>
  <si>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</si>
  <si>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</si>
  <si>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</si>
  <si>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</si>
  <si>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</si>
  <si>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</si>
  <si>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</si>
  <si>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</si>
  <si>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</si>
  <si>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</si>
  <si>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</si>
  <si>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</si>
  <si>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</si>
  <si>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</si>
  <si>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</si>
  <si>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</si>
  <si>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</si>
  <si>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</si>
  <si>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</si>
  <si>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</si>
  <si>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</si>
  <si>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</si>
  <si>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</si>
  <si>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</si>
  <si>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</si>
  <si>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</si>
  <si>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</si>
  <si>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</si>
  <si>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</si>
  <si>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</si>
  <si>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</si>
  <si>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</si>
  <si>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</si>
  <si>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</si>
  <si>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</si>
  <si>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</si>
  <si>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</si>
  <si>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</si>
  <si>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</si>
  <si>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</si>
  <si>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</si>
  <si>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</si>
  <si>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</si>
  <si>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</si>
  <si>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</si>
  <si>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</si>
  <si>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</si>
  <si>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</si>
  <si>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</si>
  <si>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</si>
  <si>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</si>
  <si>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</si>
  <si>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</si>
  <si>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</si>
  <si>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</si>
  <si>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</si>
  <si>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</si>
  <si>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</si>
  <si>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</si>
  <si>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</si>
  <si>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</si>
  <si>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</si>
  <si>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</si>
  <si>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</si>
  <si>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</si>
  <si>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</si>
  <si>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</si>
  <si>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</si>
  <si>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</si>
  <si>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</si>
  <si>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</si>
  <si>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</si>
  <si>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</si>
  <si>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</si>
  <si>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</si>
  <si>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</si>
  <si>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</si>
  <si>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</si>
  <si>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</si>
  <si>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</si>
  <si>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</si>
  <si>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</si>
  <si>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</si>
  <si>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</si>
  <si>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</si>
  <si>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</si>
  <si>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</si>
  <si>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</si>
  <si>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</si>
  <si>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</si>
  <si>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</si>
  <si>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</si>
  <si>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</si>
  <si>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</si>
  <si>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</si>
  <si>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</si>
  <si>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</si>
  <si>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</si>
  <si>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</si>
  <si>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</si>
  <si>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</si>
  <si>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</si>
  <si>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</si>
  <si>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</si>
  <si>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</si>
  <si>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</si>
  <si>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</si>
  <si>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</si>
  <si>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</si>
  <si>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</si>
  <si>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</si>
  <si>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</si>
  <si>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</si>
  <si>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</si>
  <si>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</si>
  <si>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</si>
  <si>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</si>
  <si>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</si>
  <si>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</si>
  <si>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</si>
  <si>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</si>
  <si>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</si>
  <si>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</si>
  <si>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</si>
  <si>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</si>
  <si>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</si>
  <si>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</si>
  <si>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</si>
  <si>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</si>
  <si>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</si>
  <si>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</si>
  <si>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</si>
  <si>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</si>
  <si>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</si>
  <si>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</si>
  <si>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</si>
  <si>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</si>
  <si>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</si>
  <si>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</si>
  <si>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</si>
  <si>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</si>
  <si>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</si>
  <si>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</si>
  <si>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</si>
  <si>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</si>
  <si>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</si>
  <si>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</si>
  <si>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</si>
  <si>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</si>
  <si>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</si>
  <si>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</si>
  <si>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</si>
  <si>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</si>
  <si>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</si>
  <si>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</si>
  <si>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</si>
  <si>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</si>
  <si>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</si>
  <si>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</si>
  <si>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</si>
  <si>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</si>
  <si>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</si>
  <si>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</si>
  <si>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</si>
  <si>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</si>
  <si>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</si>
  <si>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</si>
  <si>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</si>
  <si>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</si>
  <si>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</si>
  <si>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</si>
  <si>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</si>
  <si>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</si>
  <si>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</si>
  <si>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</si>
  <si>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</si>
  <si>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</si>
  <si>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</si>
  <si>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</si>
  <si>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</si>
  <si>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</si>
  <si>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</si>
  <si>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</si>
  <si>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</si>
  <si>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</si>
  <si>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</si>
  <si>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</si>
  <si>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</si>
  <si>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</si>
  <si>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</si>
  <si>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</si>
  <si>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</si>
  <si>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</si>
  <si>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</si>
  <si>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</si>
  <si>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</si>
  <si>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</si>
  <si>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</si>
  <si>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</si>
  <si>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</si>
  <si>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</si>
  <si>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</si>
  <si>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</si>
  <si>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</si>
  <si>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</si>
  <si>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</si>
  <si>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</si>
  <si>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</si>
  <si>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</si>
  <si>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</si>
  <si>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</si>
  <si>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</si>
  <si>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</si>
  <si>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</si>
  <si>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</si>
  <si>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</si>
  <si>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</si>
  <si>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</si>
  <si>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</si>
  <si>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</si>
  <si>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</si>
  <si>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</si>
  <si>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</si>
  <si>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</si>
  <si>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</si>
  <si>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</si>
  <si>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</si>
  <si>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</si>
  <si>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</si>
  <si>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</si>
  <si>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</si>
  <si>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</si>
  <si>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</si>
  <si>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</si>
  <si>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</si>
  <si>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</si>
  <si>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</si>
  <si>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</si>
  <si>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</si>
  <si>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</si>
  <si>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</si>
  <si>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</si>
  <si>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</si>
  <si>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</si>
  <si>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</si>
  <si>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</si>
  <si>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</si>
  <si>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</si>
  <si>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</si>
  <si>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</si>
  <si>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</si>
  <si>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</si>
  <si>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</si>
  <si>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</si>
  <si>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</si>
  <si>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</si>
  <si>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</si>
  <si>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</si>
  <si>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</si>
  <si>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</si>
  <si>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</si>
  <si>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</si>
  <si>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</si>
  <si>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</si>
  <si>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</si>
  <si>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</si>
  <si>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</si>
  <si>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</si>
  <si>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</si>
  <si>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</si>
  <si>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</si>
  <si>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</si>
  <si>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</si>
  <si>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</si>
  <si>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</si>
  <si>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</si>
  <si>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</si>
  <si>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</si>
  <si>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</si>
  <si>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</si>
  <si>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</si>
  <si>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</si>
  <si>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</si>
  <si>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</si>
  <si>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</si>
  <si>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</si>
  <si>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</si>
  <si>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</si>
  <si>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</si>
  <si>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</si>
  <si>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</si>
  <si>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</si>
  <si>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</si>
  <si>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</si>
  <si>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</si>
  <si>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</si>
  <si>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</si>
  <si>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</si>
  <si>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</si>
  <si>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</si>
  <si>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</si>
  <si>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</si>
  <si>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</si>
  <si>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</si>
  <si>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</si>
  <si>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</si>
  <si>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</si>
  <si>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</si>
  <si>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</si>
  <si>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</si>
  <si>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</si>
  <si>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</si>
  <si>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</si>
  <si>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</si>
  <si>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</si>
  <si>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</si>
  <si>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</si>
  <si>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</si>
  <si>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</si>
  <si>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</si>
  <si>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</si>
  <si>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</si>
  <si>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</si>
  <si>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</si>
  <si>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</si>
  <si>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</si>
  <si>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</si>
  <si>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</si>
  <si>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</si>
  <si>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</si>
  <si>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</si>
  <si>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</si>
  <si>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</si>
  <si>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</si>
  <si>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</si>
  <si>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</si>
  <si>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</si>
  <si>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</si>
  <si>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</si>
  <si>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</si>
  <si>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</si>
  <si>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</si>
  <si>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</si>
  <si>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</si>
  <si>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</si>
  <si>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</si>
  <si>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</si>
  <si>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</si>
  <si>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</si>
  <si>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</si>
  <si>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</si>
  <si>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</si>
  <si>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</si>
  <si>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</si>
  <si>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</si>
  <si>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</si>
  <si>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</si>
  <si>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</si>
  <si>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</si>
  <si>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</si>
  <si>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</si>
  <si>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</si>
  <si>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</si>
  <si>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</si>
  <si>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</si>
  <si>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</si>
  <si>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</si>
  <si>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</si>
  <si>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</si>
  <si>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</si>
  <si>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</si>
  <si>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</si>
  <si>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</si>
  <si>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</si>
  <si>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</si>
  <si>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</si>
  <si>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</si>
  <si>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</si>
  <si>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</si>
  <si>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</si>
  <si>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</si>
  <si>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</si>
  <si>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</si>
  <si>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</si>
  <si>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</si>
  <si>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</si>
  <si>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</si>
  <si>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</si>
  <si>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</si>
  <si>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</si>
  <si>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</si>
  <si>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</si>
  <si>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</si>
  <si>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</si>
  <si>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</si>
  <si>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</si>
  <si>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</si>
  <si>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</si>
  <si>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</si>
  <si>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</si>
  <si>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</si>
  <si>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</si>
  <si>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</si>
  <si>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</si>
  <si>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</si>
  <si>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</si>
  <si>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</si>
  <si>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</si>
  <si>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</si>
  <si>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</si>
  <si>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</si>
  <si>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</si>
  <si>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</si>
  <si>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</si>
  <si>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</si>
  <si>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</si>
  <si>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</si>
  <si>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</si>
  <si>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</si>
  <si>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</si>
  <si>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</si>
  <si>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</si>
  <si>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</si>
  <si>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</si>
  <si>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</si>
  <si>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</si>
  <si>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</si>
  <si>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</si>
  <si>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</si>
  <si>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</si>
  <si>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</si>
  <si>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</si>
  <si>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</si>
  <si>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</si>
  <si>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</si>
  <si>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</si>
  <si>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</si>
  <si>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</si>
  <si>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</si>
  <si>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</si>
  <si>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</si>
  <si>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</si>
  <si>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</si>
  <si>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</si>
  <si>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</si>
  <si>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</si>
  <si>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</si>
  <si>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</si>
  <si>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</si>
  <si>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</si>
  <si>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</si>
  <si>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</si>
  <si>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</si>
  <si>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</si>
  <si>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</si>
  <si>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</si>
  <si>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</si>
  <si>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</si>
  <si>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</si>
  <si>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</si>
  <si>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</si>
  <si>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</si>
  <si>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</si>
  <si>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</si>
  <si>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</si>
  <si>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</si>
  <si>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</si>
  <si>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</si>
  <si>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</si>
  <si>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</si>
  <si>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</si>
  <si>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</si>
  <si>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</si>
  <si>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</si>
  <si>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</si>
  <si>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</si>
  <si>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</si>
  <si>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</si>
  <si>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</si>
  <si>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</si>
  <si>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</si>
  <si>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</si>
  <si>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</si>
  <si>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</si>
  <si>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</si>
  <si>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</si>
  <si>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</si>
  <si>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</si>
  <si>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</si>
  <si>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</si>
  <si>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</si>
  <si>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</si>
  <si>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</si>
  <si>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</si>
  <si>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</si>
  <si>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</si>
  <si>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</si>
  <si>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</si>
  <si>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</si>
  <si>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</si>
  <si>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</si>
  <si>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</si>
  <si>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</si>
  <si>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</si>
  <si>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</si>
  <si>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</si>
  <si>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</si>
  <si>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</si>
  <si>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</si>
  <si>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</si>
  <si>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</si>
  <si>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</si>
  <si>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</si>
  <si>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</si>
  <si>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</si>
  <si>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</si>
  <si>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</si>
  <si>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</si>
  <si>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</si>
  <si>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</si>
  <si>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</si>
  <si>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</si>
  <si>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</si>
  <si>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</si>
  <si>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</si>
  <si>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</si>
  <si>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</si>
  <si>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</si>
  <si>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</si>
  <si>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</si>
  <si>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</si>
  <si>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</si>
  <si>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</si>
  <si>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</si>
  <si>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</si>
  <si>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</si>
  <si>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</si>
  <si>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</si>
  <si>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</si>
  <si>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</si>
  <si>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</si>
  <si>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</si>
  <si>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</si>
  <si>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</si>
  <si>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</si>
  <si>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</si>
  <si>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</si>
  <si>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</si>
  <si>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</si>
  <si>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</si>
  <si>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</si>
  <si>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</si>
  <si>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</si>
  <si>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</si>
  <si>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</si>
  <si>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</si>
  <si>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</si>
  <si>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</si>
  <si>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</si>
  <si>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</si>
  <si>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</si>
  <si>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</si>
  <si>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</si>
  <si>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</si>
  <si>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</si>
  <si>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</si>
  <si>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</si>
  <si>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</si>
  <si>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</si>
  <si>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</si>
  <si>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</si>
  <si>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</si>
  <si>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</si>
  <si>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</si>
  <si>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</si>
  <si>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</si>
  <si>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</si>
  <si>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</si>
  <si>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</si>
  <si>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</si>
  <si>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</si>
  <si>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</si>
  <si>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</si>
  <si>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</si>
  <si>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</si>
  <si>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</si>
  <si>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</si>
  <si>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</si>
  <si>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</si>
  <si>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</si>
  <si>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</si>
  <si>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</si>
  <si>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</si>
  <si>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</si>
  <si>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</si>
  <si>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</si>
  <si>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</si>
  <si>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</si>
  <si>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</si>
  <si>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</si>
  <si>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</si>
  <si>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</si>
  <si>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</si>
  <si>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</si>
  <si>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</si>
  <si>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</si>
  <si>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</si>
  <si>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</si>
  <si>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</si>
  <si>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</si>
  <si>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</si>
  <si>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</si>
  <si>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</si>
  <si>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</si>
  <si>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</si>
  <si>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</si>
  <si>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</si>
  <si>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</si>
  <si>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</si>
  <si>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</si>
  <si>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</si>
  <si>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</si>
  <si>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</si>
  <si>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</si>
  <si>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</si>
  <si>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</si>
  <si>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</si>
  <si>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</si>
  <si>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</si>
  <si>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</si>
  <si>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</si>
  <si>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</si>
  <si>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</si>
  <si>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</si>
  <si>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</si>
  <si>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</si>
  <si>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</si>
  <si>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</si>
  <si>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</si>
  <si>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</si>
  <si>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</si>
  <si>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</si>
  <si>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</si>
  <si>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</si>
  <si>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</si>
  <si>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</si>
  <si>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</si>
  <si>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</si>
  <si>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</si>
  <si>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</si>
  <si>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</si>
  <si>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</si>
  <si>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</si>
  <si>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</si>
  <si>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</si>
  <si>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</si>
  <si>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</si>
  <si>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</si>
  <si>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</si>
  <si>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</si>
  <si>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</si>
  <si>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</si>
  <si>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</si>
  <si>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</si>
  <si>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</si>
  <si>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</si>
  <si>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</si>
  <si>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</si>
  <si>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</si>
  <si>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</si>
  <si>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</si>
  <si>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</si>
  <si>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</si>
  <si>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</si>
  <si>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</si>
  <si>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</si>
  <si>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</si>
  <si>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</si>
  <si>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</si>
  <si>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</si>
  <si>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</si>
  <si>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</si>
  <si>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</si>
  <si>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</si>
  <si>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</si>
  <si>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</si>
  <si>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</si>
  <si>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</si>
  <si>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</si>
  <si>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</si>
  <si>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</si>
  <si>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</si>
  <si>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</si>
  <si>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</si>
  <si>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</si>
  <si>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</si>
  <si>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</si>
  <si>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</si>
  <si>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</si>
  <si>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</si>
  <si>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</si>
  <si>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</si>
  <si>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</si>
  <si>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</si>
  <si>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</si>
  <si>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</si>
  <si>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</si>
  <si>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</si>
  <si>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</si>
  <si>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</si>
  <si>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</si>
  <si>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</si>
  <si>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</si>
  <si>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</si>
  <si>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</si>
  <si>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</si>
  <si>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</si>
  <si>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</si>
  <si>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</si>
  <si>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</si>
  <si>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</si>
  <si>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</si>
  <si>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</si>
  <si>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</si>
  <si>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</si>
  <si>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</si>
  <si>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</si>
  <si>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</si>
  <si>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</si>
  <si>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</si>
  <si>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</si>
  <si>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</si>
  <si>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</si>
  <si>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</si>
  <si>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</si>
  <si>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</si>
  <si>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</si>
  <si>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</si>
  <si>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</si>
  <si>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</si>
  <si>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</si>
  <si>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</si>
  <si>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</si>
  <si>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</si>
  <si>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</si>
  <si>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</si>
  <si>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</si>
  <si>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</si>
  <si>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</si>
  <si>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</si>
  <si>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</si>
  <si>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</si>
  <si>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</si>
  <si>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</si>
  <si>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</si>
  <si>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</si>
  <si>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</si>
  <si>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</si>
  <si>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</si>
  <si>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</si>
  <si>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</si>
  <si>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</si>
  <si>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</si>
  <si>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</si>
  <si>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</si>
  <si>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</si>
  <si>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</si>
  <si>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</si>
  <si>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</si>
  <si>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</si>
  <si>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</si>
  <si>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</si>
  <si>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</si>
  <si>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</si>
  <si>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</si>
  <si>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</si>
  <si>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</si>
  <si>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</si>
  <si>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</si>
  <si>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</si>
  <si>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</si>
  <si>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</si>
  <si>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</si>
  <si>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</si>
  <si>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</si>
  <si>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</si>
  <si>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</si>
  <si>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</si>
  <si>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</si>
  <si>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</si>
  <si>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</si>
  <si>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</si>
  <si>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</si>
  <si>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</si>
  <si>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</si>
  <si>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</si>
  <si>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</si>
  <si>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</si>
  <si>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</si>
  <si>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</si>
  <si>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</si>
  <si>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</si>
  <si>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</si>
  <si>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</si>
  <si>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</si>
  <si>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</si>
  <si>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</si>
  <si>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</si>
  <si>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</si>
  <si>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</si>
  <si>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</si>
  <si>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</si>
  <si>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</si>
  <si>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</si>
  <si>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</si>
  <si>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</si>
  <si>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</si>
  <si>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</si>
  <si>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</si>
  <si>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</si>
  <si>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</si>
  <si>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</si>
  <si>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</si>
  <si>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</si>
  <si>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</si>
  <si>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</si>
  <si>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</si>
  <si>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</si>
  <si>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</si>
  <si>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</si>
  <si>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</si>
  <si>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</si>
  <si>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</si>
  <si>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</si>
  <si>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</si>
  <si>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</si>
  <si>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</si>
  <si>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</si>
  <si>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</si>
  <si>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</si>
  <si>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</si>
  <si>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</si>
  <si>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</si>
  <si>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</si>
  <si>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</si>
  <si>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</si>
  <si>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</si>
  <si>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</si>
  <si>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</si>
  <si>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</si>
  <si>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</si>
  <si>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</si>
  <si>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</si>
  <si>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</si>
  <si>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</si>
  <si>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</si>
  <si>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</si>
  <si>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</si>
  <si>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</si>
  <si>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</si>
  <si>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</si>
  <si>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</si>
  <si>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</si>
  <si>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</si>
  <si>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</si>
  <si>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</si>
  <si>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</si>
  <si>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</si>
  <si>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</si>
  <si>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</si>
  <si>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</si>
  <si>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</si>
  <si>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陈颖</t>
  </si>
  <si>
    <t>叶凌</t>
  </si>
  <si>
    <t>核定资产</t>
  </si>
  <si>
    <t>房地产市场价值</t>
  </si>
  <si>
    <t>与房产证证载一致</t>
  </si>
  <si>
    <t>住宅</t>
  </si>
  <si>
    <t>住宅</t>
    <phoneticPr fontId="7" type="noConversion"/>
  </si>
  <si>
    <t>北京市</t>
  </si>
  <si>
    <t>自然人</t>
  </si>
  <si>
    <r>
      <rPr>
        <sz val="10"/>
        <color indexed="8"/>
        <rFont val="宋体"/>
        <family val="3"/>
        <charset val="134"/>
      </rPr>
      <t>西城区（原宣武区）培英胡同</t>
    </r>
    <r>
      <rPr>
        <sz val="10"/>
        <color indexed="8"/>
        <rFont val="Arial"/>
        <family val="2"/>
      </rPr>
      <t>3</t>
    </r>
    <r>
      <rPr>
        <sz val="10"/>
        <color indexed="8"/>
        <rFont val="宋体"/>
        <family val="3"/>
        <charset val="134"/>
      </rPr>
      <t>、</t>
    </r>
    <r>
      <rPr>
        <sz val="10"/>
        <color indexed="8"/>
        <rFont val="Arial"/>
        <family val="2"/>
      </rPr>
      <t>7</t>
    </r>
    <r>
      <rPr>
        <sz val="10"/>
        <color indexed="8"/>
        <rFont val="宋体"/>
        <family val="3"/>
        <charset val="134"/>
      </rPr>
      <t>号、煤市街</t>
    </r>
    <r>
      <rPr>
        <sz val="10"/>
        <color indexed="8"/>
        <rFont val="Arial"/>
        <family val="2"/>
      </rPr>
      <t>175</t>
    </r>
    <r>
      <rPr>
        <sz val="10"/>
        <color indexed="8"/>
        <rFont val="宋体"/>
        <family val="3"/>
        <charset val="134"/>
      </rPr>
      <t>号幢号</t>
    </r>
    <r>
      <rPr>
        <sz val="10"/>
        <color indexed="8"/>
        <rFont val="Arial"/>
        <family val="2"/>
      </rPr>
      <t>17</t>
    </r>
    <phoneticPr fontId="7" type="noConversion"/>
  </si>
  <si>
    <t>估价对象1（结果表）</t>
  </si>
  <si>
    <t>有</t>
  </si>
  <si>
    <t>三通一平</t>
  </si>
  <si>
    <t>缺少</t>
  </si>
  <si>
    <t>通路</t>
  </si>
  <si>
    <t>通下水</t>
  </si>
  <si>
    <t>通热</t>
  </si>
  <si>
    <t>燃气</t>
  </si>
  <si>
    <t>元</t>
  </si>
  <si>
    <t>楼面单价</t>
  </si>
  <si>
    <t>无租约</t>
  </si>
  <si>
    <t>估价对象</t>
  </si>
  <si>
    <t>未包含在土地购买价格中</t>
  </si>
  <si>
    <t>已包含在土地取得成本中</t>
  </si>
  <si>
    <t>估价对象周边有培智胡同、小椿树胡同、博兴胡同等，综合评价居住社区成熟度较好</t>
    <phoneticPr fontId="35" type="noConversion"/>
  </si>
  <si>
    <t>估价对象周边有5路、23路、48路、57路、66路等多条公交线路，距地铁7号线（珠市口站）约300米，停车便捷程度较差，综合评价交通便捷度较好</t>
    <phoneticPr fontId="35" type="noConversion"/>
  </si>
  <si>
    <t>估价对象所在区域公共配套设施齐备情况好</t>
    <phoneticPr fontId="35" type="noConversion"/>
  </si>
  <si>
    <t>三通</t>
    <phoneticPr fontId="20" type="noConversion"/>
  </si>
  <si>
    <t>区域自然环境：天坛公园；人文环境：琉璃厂古文化街、北京天桥艺术中心；综合评价环境状况较好</t>
    <phoneticPr fontId="35" type="noConversion"/>
  </si>
  <si>
    <t>城市支路——煤市街</t>
    <phoneticPr fontId="20" type="noConversion"/>
  </si>
  <si>
    <t>成本法</t>
  </si>
  <si>
    <t>收益法</t>
  </si>
  <si>
    <t>土地出让金</t>
    <phoneticPr fontId="8" type="noConversion"/>
  </si>
  <si>
    <t>居住用地（指二类居住用地）</t>
  </si>
  <si>
    <t>无</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</si>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</sst>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19" fillId="0" borderId="7" xfId="0"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23</xdr:row>
      <xdr:rowOff>37603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3" cy="3980953"/>
        </a:xfrm>
        <a:prstGeom prst="rect">
          <a:avLst/>
        </a:prstGeom>
      </xdr:spPr>
    </xdr:pic>
    <xdr:clientData/>
  </xdr:twoCellAnchor>
  <xdr:twoCellAnchor editAs="oneCell">
    <xdr:from>
      <xdr:col>0</xdr:col>
      <xdr:colOff>0</xdr:colOff>
      <xdr:row>23</xdr:row>
      <xdr:rowOff>0</xdr:rowOff>
    </xdr:from>
    <xdr:to>
      <xdr:col>13</xdr:col>
      <xdr:colOff>217934</xdr:colOff>
      <xdr:row>33</xdr:row>
      <xdr:rowOff>161691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133334" cy="1876191"/>
        </a:xfrm>
        <a:prstGeom prst="rect">
          <a:avLst/>
        </a:prstGeom>
      </xdr:spPr>
    </xdr:pic>
    <xdr:clientData/>
  </xdr:twoCellAnchor>
  <xdr:twoCellAnchor editAs="oneCell">
    <xdr:from>
      <xdr:col>0</xdr:col>
      <xdr:colOff>0</xdr:colOff>
      <xdr:row>34</xdr:row>
      <xdr:rowOff>0</xdr:rowOff>
    </xdr:from>
    <xdr:to>
      <xdr:col>13</xdr:col>
      <xdr:colOff>160791</xdr:colOff>
      <xdr:row>44</xdr:row>
      <xdr:rowOff>161691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9076191" cy="1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估价对象为北京市房地产，为所有。根据《不动产权证书》[]，估价对象建筑面积为23.8平方米，（分摊）出让国有建设用地使用权面积为平方米。估价对象用途为住宅。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2018年7月17日</v>
      </c>
    </row>
    <row r="10" spans="1:2">
      <c r="A10" s="1702" t="s">
        <v>1116</v>
      </c>
      <c r="B10" s="1689" t="str">
        <f>'预评函-1'!A13</f>
        <v>本次估价的“房地产价值”是指在正常市场情况下，在价值时点2018年7月17日，估价对象规划用途为住宅，假定未设立法定优先受偿款下的房地产市场价值。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23.8</v>
      </c>
    </row>
    <row r="19" spans="1:2">
      <c r="A19" s="1702" t="s">
        <v>1125</v>
      </c>
      <c r="B19" s="1689">
        <f ca="1">'预评函-2（1）'!D7</f>
        <v>1886079</v>
      </c>
    </row>
    <row r="20" spans="1:2">
      <c r="A20" s="1702" t="s">
        <v>1163</v>
      </c>
      <c r="B20" s="1689" t="str">
        <f>'预评函-2（1）'!C7</f>
        <v>总价（元）</v>
      </c>
    </row>
    <row r="21" spans="1:2">
      <c r="A21" s="1702" t="s">
        <v>1126</v>
      </c>
      <c r="B21" s="1689">
        <f ca="1">'预评函-2（1）'!D9</f>
        <v>79247</v>
      </c>
    </row>
    <row r="22" spans="1:2">
      <c r="A22" s="1702" t="s">
        <v>1127</v>
      </c>
      <c r="B22" s="1689" t="str">
        <f ca="1">'预评函-2（1）'!D8</f>
        <v>壹佰捌拾捌万陆仟零柒拾玖元整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1886079</v>
      </c>
    </row>
    <row r="30" spans="1:2">
      <c r="A30" s="1702" t="s">
        <v>1133</v>
      </c>
      <c r="B30" s="1689" t="str">
        <f ca="1">'预评函-2（1）'!D16</f>
        <v>壹佰捌拾捌万陆仟零柒拾玖元整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1848356</v>
      </c>
    </row>
    <row r="38" spans="1:2">
      <c r="A38" s="1702" t="s">
        <v>1141</v>
      </c>
      <c r="B38" s="1689">
        <f ca="1">'预评函-2（2）'!E4</f>
        <v>77662</v>
      </c>
    </row>
    <row r="39" spans="1:2">
      <c r="A39" s="1702" t="s">
        <v>1142</v>
      </c>
      <c r="B39" s="1689" t="str">
        <f ca="1">'预评函-2（2）'!D5</f>
        <v>壹佰捌拾肆万捌仟叁佰伍拾陆元整</v>
      </c>
    </row>
    <row r="40" spans="1:2">
      <c r="A40" s="1702" t="s">
        <v>1143</v>
      </c>
      <c r="B40" s="1689">
        <f ca="1">'预评函-2（2）'!F4</f>
        <v>37723</v>
      </c>
    </row>
    <row r="41" spans="1:2">
      <c r="A41" s="1702" t="s">
        <v>1144</v>
      </c>
      <c r="B41" s="1689">
        <f ca="1">'预评函-2（2）'!G4</f>
        <v>1585</v>
      </c>
    </row>
    <row r="42" spans="1:2" s="1699" customFormat="1" ht="15.75" thickBot="1">
      <c r="A42" s="1703" t="s">
        <v>1145</v>
      </c>
      <c r="B42" s="1691" t="str">
        <f ca="1">'预评函-2（2）'!F5</f>
        <v>叁万柒仟柒佰贰拾叁元整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79247</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43391</v>
      </c>
      <c r="C2" s="1999" t="s">
        <v>1546</v>
      </c>
      <c r="D2" s="1088">
        <v>43298</v>
      </c>
      <c r="E2" s="1064"/>
      <c r="F2" s="1064"/>
      <c r="G2" s="1683"/>
      <c r="H2" s="1020"/>
    </row>
    <row r="3" spans="1:10" ht="13.5" thickBot="1">
      <c r="A3" s="2000" t="s">
        <v>1547</v>
      </c>
      <c r="B3" s="2001" t="s">
        <v>2819</v>
      </c>
      <c r="C3" s="1065">
        <f ca="1">SUMIF(注册房地产估价师,B3,估价师及机构信息!B3:B24)</f>
        <v>1120060040</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t="s">
        <v>2821</v>
      </c>
      <c r="E4" s="1064"/>
      <c r="F4" s="1064"/>
      <c r="G4" s="1683"/>
    </row>
    <row r="5" spans="1:10">
      <c r="A5" s="2006" t="s">
        <v>1550</v>
      </c>
      <c r="B5" s="2007"/>
      <c r="C5" s="2008" t="s">
        <v>1551</v>
      </c>
      <c r="D5" s="2009" t="s">
        <v>2822</v>
      </c>
      <c r="E5" s="2010" t="s">
        <v>1552</v>
      </c>
      <c r="F5" s="2011"/>
      <c r="G5" s="2012"/>
      <c r="I5" s="1020" t="str">
        <f>IF(C16="否","截至估价时点，估价对象抵押权未见登记。","截至价值时点，估价对象已设定抵押。")</f>
        <v>截至价值时点，估价对象已设定抵押。</v>
      </c>
    </row>
    <row r="6" spans="1:10" ht="50.25">
      <c r="A6" s="2013" t="s">
        <v>1553</v>
      </c>
      <c r="B6" s="2014" t="s">
        <v>2826</v>
      </c>
      <c r="C6" s="2015" t="s">
        <v>2828</v>
      </c>
      <c r="D6" s="2016" t="s">
        <v>1554</v>
      </c>
      <c r="E6" s="1022"/>
      <c r="F6" s="1021"/>
      <c r="G6" s="1074"/>
      <c r="I6" s="1070" t="str">
        <f>IF(COUNTIF(B5,"*上海银行*"),"上海银行","")</f>
        <v/>
      </c>
    </row>
    <row r="7" spans="1:10" ht="13.5" thickBot="1">
      <c r="A7" s="2000" t="s">
        <v>1555</v>
      </c>
      <c r="B7" s="2017" t="s">
        <v>2827</v>
      </c>
      <c r="C7" s="2018" t="str">
        <f>IF(B7="自然人","姓名","名称")</f>
        <v>姓名</v>
      </c>
      <c r="D7" s="2019"/>
      <c r="E7" s="1068"/>
      <c r="F7" s="1067"/>
      <c r="G7" s="1684"/>
    </row>
    <row r="8" spans="1:10" ht="51.75" thickTop="1">
      <c r="A8" s="2789" t="s">
        <v>1556</v>
      </c>
      <c r="B8" s="2020" t="s">
        <v>1557</v>
      </c>
      <c r="C8" s="2802"/>
      <c r="D8" s="2803"/>
      <c r="E8" s="2021" t="s">
        <v>1558</v>
      </c>
      <c r="F8" s="2022" t="s">
        <v>1559</v>
      </c>
      <c r="G8" s="690" t="str">
        <f>C6</f>
        <v>西城区（原宣武区）培英胡同3、7号、煤市街175号幢号17</v>
      </c>
    </row>
    <row r="9" spans="1:10" ht="25.5">
      <c r="A9" s="2789"/>
      <c r="B9" s="344" t="s">
        <v>1560</v>
      </c>
      <c r="C9" s="2007"/>
      <c r="D9" s="2023" t="s">
        <v>2823</v>
      </c>
      <c r="E9" s="1010" t="s">
        <v>1561</v>
      </c>
      <c r="F9" s="996" t="s">
        <v>221</v>
      </c>
      <c r="G9" s="1012"/>
    </row>
    <row r="10" spans="1:10" ht="13.5" thickBot="1">
      <c r="A10" s="2789"/>
      <c r="B10" s="344" t="s">
        <v>1562</v>
      </c>
      <c r="C10" s="2804"/>
      <c r="D10" s="2805"/>
      <c r="E10" s="2024" t="s">
        <v>1563</v>
      </c>
      <c r="F10" s="1013" t="s">
        <v>224</v>
      </c>
      <c r="G10" s="1014"/>
    </row>
    <row r="11" spans="1:10" ht="13.5" thickBot="1">
      <c r="A11" s="2789"/>
      <c r="B11" s="2025" t="s">
        <v>1564</v>
      </c>
      <c r="C11" s="2806"/>
      <c r="D11" s="2807"/>
      <c r="E11" s="1022"/>
      <c r="F11" s="1021"/>
      <c r="G11" s="1074"/>
    </row>
    <row r="12" spans="1:10" ht="24.75" thickBot="1">
      <c r="A12" s="2793" t="s">
        <v>1565</v>
      </c>
      <c r="B12" s="2026" t="s">
        <v>1566</v>
      </c>
      <c r="C12" s="1016">
        <v>23.8</v>
      </c>
      <c r="D12" s="2026" t="s">
        <v>1567</v>
      </c>
      <c r="E12" s="2027" t="s">
        <v>1568</v>
      </c>
      <c r="F12" s="2028" t="s">
        <v>1569</v>
      </c>
      <c r="G12" s="1074"/>
    </row>
    <row r="13" spans="1:10" ht="21" customHeight="1" thickBot="1">
      <c r="A13" s="2794"/>
      <c r="B13" s="2029" t="s">
        <v>1570</v>
      </c>
      <c r="C13" s="1017"/>
      <c r="D13" s="2029" t="s">
        <v>1571</v>
      </c>
      <c r="E13" s="2030" t="s">
        <v>1568</v>
      </c>
      <c r="F13" s="1021"/>
      <c r="G13" s="1074"/>
      <c r="I13" s="2812"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3" t="s">
        <v>2825</v>
      </c>
      <c r="D14" s="1021"/>
      <c r="E14" s="1021"/>
      <c r="F14" s="1021"/>
      <c r="G14" s="1074"/>
      <c r="I14" s="281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1</v>
      </c>
      <c r="D15" s="1067"/>
      <c r="E15" s="1067"/>
      <c r="F15" s="1067"/>
      <c r="G15" s="1684"/>
      <c r="I15" s="281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08" t="s">
        <v>1579</v>
      </c>
      <c r="C17" s="2809"/>
      <c r="D17" s="2810" t="s">
        <v>1580</v>
      </c>
      <c r="E17" s="2811"/>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796" t="s">
        <v>1596</v>
      </c>
      <c r="D27" s="2797"/>
      <c r="E27" s="1004"/>
      <c r="F27" s="1011" t="s">
        <v>1596</v>
      </c>
      <c r="G27" s="1004"/>
      <c r="I27" s="1071"/>
      <c r="K27" s="1071"/>
    </row>
    <row r="28" spans="1:15">
      <c r="A28" s="1008" t="s">
        <v>1597</v>
      </c>
      <c r="B28" s="978"/>
      <c r="C28" s="2798" t="s">
        <v>1598</v>
      </c>
      <c r="D28" s="2799"/>
      <c r="E28" s="978"/>
      <c r="F28" s="1894" t="s">
        <v>1598</v>
      </c>
      <c r="G28" s="978"/>
      <c r="I28" s="1071"/>
      <c r="K28" s="1071"/>
    </row>
    <row r="29" spans="1:15">
      <c r="A29" s="1008" t="s">
        <v>1599</v>
      </c>
      <c r="B29" s="978"/>
      <c r="C29" s="2798" t="s">
        <v>1599</v>
      </c>
      <c r="D29" s="2799"/>
      <c r="E29" s="978"/>
      <c r="F29" s="1894" t="s">
        <v>1600</v>
      </c>
      <c r="G29" s="978"/>
      <c r="I29" s="1071"/>
      <c r="K29" s="1071"/>
    </row>
    <row r="30" spans="1:15">
      <c r="A30" s="1008" t="s">
        <v>1601</v>
      </c>
      <c r="B30" s="978"/>
      <c r="C30" s="2818" t="s">
        <v>1602</v>
      </c>
      <c r="D30" s="2067"/>
      <c r="E30" s="1023" t="str">
        <f>E31&amp;" "&amp;E32&amp;" "&amp;E33&amp;" "&amp;E34</f>
        <v xml:space="preserve">   </v>
      </c>
      <c r="F30" s="1894" t="s">
        <v>1603</v>
      </c>
      <c r="G30" s="978"/>
    </row>
    <row r="31" spans="1:15">
      <c r="A31" s="1008" t="s">
        <v>1604</v>
      </c>
      <c r="B31" s="978"/>
      <c r="C31" s="2819"/>
      <c r="D31" s="1893" t="s">
        <v>1605</v>
      </c>
      <c r="E31" s="978"/>
      <c r="F31" s="1894" t="s">
        <v>1606</v>
      </c>
      <c r="G31" s="978"/>
    </row>
    <row r="32" spans="1:15" ht="24.75" thickBot="1">
      <c r="A32" s="1009" t="s">
        <v>1607</v>
      </c>
      <c r="B32" s="1005"/>
      <c r="C32" s="2819"/>
      <c r="D32" s="1893" t="s">
        <v>1608</v>
      </c>
      <c r="E32" s="978"/>
      <c r="F32" s="1894" t="s">
        <v>1609</v>
      </c>
      <c r="G32" s="978"/>
    </row>
    <row r="33" spans="1:7">
      <c r="A33" s="1007" t="s">
        <v>1610</v>
      </c>
      <c r="B33" s="1004"/>
      <c r="C33" s="2819"/>
      <c r="D33" s="1893" t="s">
        <v>1611</v>
      </c>
      <c r="E33" s="978"/>
      <c r="F33" s="1894" t="s">
        <v>1612</v>
      </c>
      <c r="G33" s="978"/>
    </row>
    <row r="34" spans="1:7" ht="13.5" thickBot="1">
      <c r="A34" s="1008" t="s">
        <v>1613</v>
      </c>
      <c r="B34" s="978"/>
      <c r="C34" s="2820"/>
      <c r="D34" s="1893" t="s">
        <v>1614</v>
      </c>
      <c r="E34" s="978"/>
      <c r="F34" s="1895" t="s">
        <v>1615</v>
      </c>
      <c r="G34" s="1006"/>
    </row>
    <row r="35" spans="1:7">
      <c r="A35" s="1008" t="s">
        <v>1566</v>
      </c>
      <c r="B35" s="978"/>
      <c r="C35" s="2798" t="s">
        <v>1616</v>
      </c>
      <c r="D35" s="2799"/>
      <c r="E35" s="978"/>
      <c r="F35" s="1019" t="s">
        <v>1617</v>
      </c>
      <c r="G35" s="1004"/>
    </row>
    <row r="36" spans="1:7" ht="13.5" thickBot="1">
      <c r="A36" s="1008" t="s">
        <v>1618</v>
      </c>
      <c r="B36" s="978"/>
      <c r="C36" s="2800" t="s">
        <v>1619</v>
      </c>
      <c r="D36" s="2801"/>
      <c r="E36" s="1005"/>
      <c r="F36" s="1891" t="s">
        <v>1620</v>
      </c>
      <c r="G36" s="978"/>
    </row>
    <row r="37" spans="1:7" ht="13.5" thickBot="1">
      <c r="A37" s="1008" t="s">
        <v>1621</v>
      </c>
      <c r="B37" s="978"/>
      <c r="C37" s="2790" t="s">
        <v>1622</v>
      </c>
      <c r="D37" s="2068" t="s">
        <v>1606</v>
      </c>
      <c r="E37" s="1004"/>
      <c r="F37" s="1895" t="s">
        <v>1623</v>
      </c>
      <c r="G37" s="1005"/>
    </row>
    <row r="38" spans="1:7">
      <c r="A38" s="1008" t="s">
        <v>1624</v>
      </c>
      <c r="B38" s="978"/>
      <c r="C38" s="2791"/>
      <c r="D38" s="1893" t="s">
        <v>1613</v>
      </c>
      <c r="E38" s="978"/>
      <c r="F38" s="1011" t="s">
        <v>1625</v>
      </c>
      <c r="G38" s="1004"/>
    </row>
    <row r="39" spans="1:7">
      <c r="A39" s="1008" t="s">
        <v>1626</v>
      </c>
      <c r="B39" s="978"/>
      <c r="C39" s="2791" t="s">
        <v>1627</v>
      </c>
      <c r="D39" s="1893" t="s">
        <v>1566</v>
      </c>
      <c r="E39" s="978"/>
      <c r="F39" s="1894" t="s">
        <v>1628</v>
      </c>
      <c r="G39" s="978"/>
    </row>
    <row r="40" spans="1:7" ht="24.75" customHeight="1" thickBot="1">
      <c r="A40" s="1009" t="s">
        <v>1629</v>
      </c>
      <c r="B40" s="1005"/>
      <c r="C40" s="2792"/>
      <c r="D40" s="1896" t="s">
        <v>1570</v>
      </c>
      <c r="E40" s="1005"/>
      <c r="F40" s="1895" t="s">
        <v>1630</v>
      </c>
      <c r="G40" s="1005"/>
    </row>
    <row r="41" spans="1:7">
      <c r="A41" s="1010" t="s">
        <v>1631</v>
      </c>
      <c r="B41" s="1060"/>
      <c r="C41" s="2813" t="s">
        <v>1631</v>
      </c>
      <c r="D41" s="2814"/>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5" t="s">
        <v>1634</v>
      </c>
      <c r="D48" s="2816"/>
      <c r="E48" s="1055"/>
      <c r="F48" s="1895" t="s">
        <v>1635</v>
      </c>
      <c r="G48" s="1005"/>
    </row>
    <row r="49" spans="1:15">
      <c r="A49" s="1008" t="s">
        <v>1636</v>
      </c>
      <c r="B49" s="1054"/>
      <c r="C49" s="2790" t="s">
        <v>1637</v>
      </c>
      <c r="D49" s="2817"/>
      <c r="E49" s="1056"/>
      <c r="F49" s="1084"/>
      <c r="G49" s="1085"/>
    </row>
    <row r="50" spans="1:15" ht="13.5" thickBot="1">
      <c r="A50" s="1008" t="s">
        <v>1638</v>
      </c>
      <c r="B50" s="1054"/>
      <c r="C50" s="2792" t="s">
        <v>1639</v>
      </c>
      <c r="D50" s="279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43298</v>
      </c>
      <c r="C2" s="1855"/>
      <c r="D2" s="2823"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2837</v>
      </c>
      <c r="C3" s="1855"/>
      <c r="D3" s="2824"/>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2838</v>
      </c>
      <c r="C4" s="1855"/>
      <c r="D4" s="2824"/>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23.8</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68962</v>
      </c>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70</v>
      </c>
      <c r="C13" s="2095"/>
      <c r="D13" s="2096" t="s">
        <v>1661</v>
      </c>
      <c r="E13" s="39">
        <f>成本法!C9</f>
        <v>3808</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1</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0.03</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v>1000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23800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0.5</v>
      </c>
      <c r="C21" s="1855"/>
      <c r="D21" s="2093" t="s">
        <v>1674</v>
      </c>
      <c r="E21" s="711">
        <v>0.04</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0.5</v>
      </c>
      <c r="C22" s="1855"/>
      <c r="D22" s="2093" t="s">
        <v>1677</v>
      </c>
      <c r="E22" s="40">
        <v>0.1</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0.5</v>
      </c>
      <c r="C23" s="1855"/>
      <c r="D23" s="2093"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0.5</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2839</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3.1</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0.1</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70</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f>项目基本情况!C12</f>
        <v>23.8</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365</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25" t="s">
        <v>1735</v>
      </c>
      <c r="B1" s="2826"/>
      <c r="C1" s="2826"/>
      <c r="D1" s="2826"/>
      <c r="E1" s="2826"/>
      <c r="F1" s="2826"/>
      <c r="G1" s="2826"/>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34" t="s">
        <v>2843</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81">
      <c r="A6" s="411"/>
      <c r="B6" s="1887" t="s">
        <v>1750</v>
      </c>
      <c r="C6" s="2735" t="s">
        <v>2844</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35" t="s">
        <v>2845</v>
      </c>
      <c r="D7" s="2151"/>
      <c r="E7" s="2152"/>
      <c r="F7" s="2153" t="s">
        <v>1753</v>
      </c>
      <c r="G7" s="2154" t="s">
        <v>1754</v>
      </c>
      <c r="H7" s="2141"/>
      <c r="I7" s="2141"/>
      <c r="J7" s="2141"/>
      <c r="K7" s="2141"/>
      <c r="L7" s="2141"/>
      <c r="M7" s="2141"/>
      <c r="N7" s="2141"/>
      <c r="O7" s="2141"/>
      <c r="P7" s="2141"/>
      <c r="Q7" s="2141"/>
      <c r="R7" s="2141"/>
    </row>
    <row r="8" spans="1:29" ht="15">
      <c r="A8" s="411"/>
      <c r="B8" s="1887" t="s">
        <v>1751</v>
      </c>
      <c r="C8" s="2735" t="s">
        <v>2846</v>
      </c>
      <c r="D8" s="2151"/>
      <c r="E8" s="2151"/>
      <c r="F8" s="1246"/>
      <c r="G8" s="1246"/>
      <c r="H8" s="2141"/>
      <c r="I8" s="2141"/>
      <c r="J8" s="2141"/>
      <c r="K8" s="2141"/>
      <c r="L8" s="2141"/>
      <c r="M8" s="2141"/>
      <c r="N8" s="2141"/>
      <c r="O8" s="2141"/>
      <c r="P8" s="2141"/>
      <c r="Q8" s="2141"/>
      <c r="R8" s="2141"/>
    </row>
    <row r="9" spans="1:29" ht="54">
      <c r="A9" s="411"/>
      <c r="B9" s="1887" t="s">
        <v>1755</v>
      </c>
      <c r="C9" s="2736" t="s">
        <v>2847</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37" t="s">
        <v>2848</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估价对象周边有培智胡同、小椿树胡同、博兴胡同等，综合评价居住社区成熟度较好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85.5">
      <c r="A18" s="629"/>
      <c r="B18" s="2180" t="s">
        <v>1750</v>
      </c>
      <c r="C18" s="52" t="str">
        <f>C6</f>
        <v>估价对象周边有5路、23路、48路、57路、66路等多条公交线路，距地铁7号线（珠市口站）约300米，停车便捷程度较差，综合评价交通便捷度较好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57">
      <c r="A20" s="629"/>
      <c r="B20" s="2180" t="s">
        <v>1765</v>
      </c>
      <c r="C20" s="2178" t="str">
        <f>C9</f>
        <v>区域自然环境：天坛公园；人文环境：琉璃厂古文化街、北京天桥艺术中心；综合评价环境状况较好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三通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城市支路——煤市街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30" t="s">
        <v>1225</v>
      </c>
      <c r="B1" s="1830">
        <f>SUM(B14:B23)</f>
        <v>23.8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188.6079</v>
      </c>
      <c r="C5" s="1830">
        <f ca="1">ROUND(B5*10000/$B$1,0)</f>
        <v>79247</v>
      </c>
      <c r="D5" s="1830" t="e">
        <f ca="1">ROUND(B5*10000/$B$2,0)</f>
        <v>#DIV/0!</v>
      </c>
      <c r="E5" s="1831"/>
      <c r="F5" s="1835"/>
      <c r="G5" s="1835"/>
    </row>
    <row r="6" spans="1:9" ht="16.5">
      <c r="A6" s="1830" t="s">
        <v>1233</v>
      </c>
      <c r="B6" s="1830">
        <f ca="1">SUM(G14:G23)</f>
        <v>188.6079</v>
      </c>
      <c r="C6" s="1830">
        <f t="shared" ref="C6:C8" ca="1" si="0">ROUND(B6*10000/$B$1,0)</f>
        <v>79247</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2829</v>
      </c>
      <c r="B14" s="1834">
        <f>项目基本情况!C12</f>
        <v>23.8</v>
      </c>
      <c r="C14" s="1834">
        <f>项目基本情况!C13</f>
        <v>0</v>
      </c>
      <c r="D14" s="1834">
        <f ca="1">IF('数据-取费表'!B3="万元",IF(A14="估价对象1（结果表）",结果表!H121,'结果表 (1修多)'!H124),IF(A14="估价对象1（结果表）",结果表!H121,'结果表 (1修多)'!H124)/10000)</f>
        <v>188.6079</v>
      </c>
      <c r="E14" s="1834">
        <f ca="1">ROUND(D14*10000/B14,0)</f>
        <v>79247</v>
      </c>
      <c r="F14" s="1834" t="e">
        <f ca="1">ROUND(D14*10000/C14,0)</f>
        <v>#DIV/0!</v>
      </c>
      <c r="G14" s="1834">
        <f ca="1">IF('数据-取费表'!B3="万元",IF(A14="估价对象1（结果表）",结果表!D125,'结果表 (1修多)'!D128),IF(A14="估价对象1（结果表）",结果表!D125,'结果表 (1修多)'!D128)/10000)</f>
        <v>188.6079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 zoomScaleNormal="100" zoomScaleSheetLayoutView="100" zoomScalePageLayoutView="80" workbookViewId="0">
      <selection activeCell="C33" sqref="C3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3" t="str">
        <f>项目基本情况!B1</f>
        <v>北京市房地产市场价值预评估</v>
      </c>
      <c r="B2" s="2903"/>
      <c r="C2" s="2903"/>
      <c r="D2" s="2903"/>
      <c r="E2" s="2903"/>
      <c r="F2" s="2903"/>
      <c r="G2" s="2903"/>
      <c r="H2" s="2903"/>
      <c r="I2" s="2903"/>
    </row>
    <row r="3" spans="1:12" ht="12.75">
      <c r="A3" s="2909" t="s">
        <v>1771</v>
      </c>
      <c r="B3" s="2910"/>
      <c r="C3" s="2910"/>
      <c r="D3" s="2910"/>
      <c r="E3" s="2910"/>
      <c r="F3" s="2910"/>
      <c r="G3" s="2910"/>
      <c r="H3" s="2910"/>
      <c r="I3" s="2910"/>
    </row>
    <row r="4" spans="1:12" ht="14.25">
      <c r="A4" s="2196" t="s">
        <v>1772</v>
      </c>
      <c r="B4" s="2197" t="s">
        <v>1773</v>
      </c>
      <c r="C4" s="2198" t="s">
        <v>2849</v>
      </c>
      <c r="D4" s="2198" t="s">
        <v>2850</v>
      </c>
      <c r="E4" s="2914" t="s">
        <v>1774</v>
      </c>
      <c r="F4" s="2915"/>
      <c r="G4" s="2915"/>
      <c r="H4" s="2915"/>
      <c r="I4" s="2916"/>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1775</v>
      </c>
      <c r="B5" s="2849">
        <v>25</v>
      </c>
      <c r="C5" s="2911">
        <v>8</v>
      </c>
      <c r="D5" s="2908">
        <v>2</v>
      </c>
      <c r="E5" s="56" t="s">
        <v>1776</v>
      </c>
      <c r="F5" s="2199"/>
      <c r="G5" s="2199"/>
      <c r="H5" s="2199"/>
      <c r="I5" s="2200"/>
    </row>
    <row r="6" spans="1:12" ht="12.75">
      <c r="A6" s="2904"/>
      <c r="B6" s="2849"/>
      <c r="C6" s="2912"/>
      <c r="D6" s="2908"/>
      <c r="E6" s="56" t="s">
        <v>1777</v>
      </c>
      <c r="F6" s="2199"/>
      <c r="G6" s="2199"/>
      <c r="H6" s="2199"/>
      <c r="I6" s="2200"/>
    </row>
    <row r="7" spans="1:12" ht="12.75">
      <c r="A7" s="2904"/>
      <c r="B7" s="2849"/>
      <c r="C7" s="2913"/>
      <c r="D7" s="2908"/>
      <c r="E7" s="56" t="s">
        <v>1778</v>
      </c>
      <c r="F7" s="2199"/>
      <c r="G7" s="2199"/>
      <c r="H7" s="2199"/>
      <c r="I7" s="2200"/>
    </row>
    <row r="8" spans="1:12" ht="12.75">
      <c r="A8" s="2904" t="s">
        <v>1779</v>
      </c>
      <c r="B8" s="2849">
        <v>15</v>
      </c>
      <c r="C8" s="2911"/>
      <c r="D8" s="2908"/>
      <c r="E8" s="56" t="s">
        <v>1780</v>
      </c>
      <c r="F8" s="2199"/>
      <c r="G8" s="2199"/>
      <c r="H8" s="2199"/>
      <c r="I8" s="2200"/>
    </row>
    <row r="9" spans="1:12" ht="12.75">
      <c r="A9" s="2904"/>
      <c r="B9" s="2849"/>
      <c r="C9" s="2913"/>
      <c r="D9" s="2908"/>
      <c r="E9" s="56" t="s">
        <v>1781</v>
      </c>
      <c r="F9" s="2199"/>
      <c r="G9" s="2199"/>
      <c r="H9" s="2199"/>
      <c r="I9" s="2200"/>
    </row>
    <row r="10" spans="1:12" ht="12.75">
      <c r="A10" s="2904" t="s">
        <v>1782</v>
      </c>
      <c r="B10" s="2849">
        <v>15</v>
      </c>
      <c r="C10" s="2911"/>
      <c r="D10" s="2908"/>
      <c r="E10" s="56" t="s">
        <v>1783</v>
      </c>
      <c r="F10" s="2199"/>
      <c r="G10" s="2199"/>
      <c r="H10" s="2199"/>
      <c r="I10" s="2200"/>
    </row>
    <row r="11" spans="1:12" ht="12.75">
      <c r="A11" s="2904"/>
      <c r="B11" s="2849"/>
      <c r="C11" s="2913"/>
      <c r="D11" s="2908"/>
      <c r="E11" s="56" t="s">
        <v>1784</v>
      </c>
      <c r="F11" s="2199"/>
      <c r="G11" s="2199"/>
      <c r="H11" s="2199"/>
      <c r="I11" s="2200"/>
    </row>
    <row r="12" spans="1:12" ht="12.75">
      <c r="A12" s="2904" t="s">
        <v>1785</v>
      </c>
      <c r="B12" s="2849">
        <v>15</v>
      </c>
      <c r="C12" s="2911"/>
      <c r="D12" s="2908"/>
      <c r="E12" s="56" t="s">
        <v>1786</v>
      </c>
      <c r="F12" s="2199"/>
      <c r="G12" s="2199"/>
      <c r="H12" s="2199"/>
      <c r="I12" s="2200"/>
    </row>
    <row r="13" spans="1:12" ht="12.75">
      <c r="A13" s="2904"/>
      <c r="B13" s="2849"/>
      <c r="C13" s="2913"/>
      <c r="D13" s="2908"/>
      <c r="E13" s="56" t="s">
        <v>1787</v>
      </c>
      <c r="F13" s="2199"/>
      <c r="G13" s="2199"/>
      <c r="H13" s="2199"/>
      <c r="I13" s="2200"/>
    </row>
    <row r="14" spans="1:12" ht="12.75">
      <c r="A14" s="2904" t="s">
        <v>1788</v>
      </c>
      <c r="B14" s="2849">
        <v>30</v>
      </c>
      <c r="C14" s="2911"/>
      <c r="D14" s="2908"/>
      <c r="E14" s="56" t="s">
        <v>1789</v>
      </c>
      <c r="F14" s="2199"/>
      <c r="G14" s="2199"/>
      <c r="H14" s="2199"/>
      <c r="I14" s="2200"/>
    </row>
    <row r="15" spans="1:12" ht="12.75">
      <c r="A15" s="2904"/>
      <c r="B15" s="2849"/>
      <c r="C15" s="2912"/>
      <c r="D15" s="2908"/>
      <c r="E15" s="56" t="s">
        <v>1790</v>
      </c>
      <c r="F15" s="2199"/>
      <c r="G15" s="2199"/>
      <c r="H15" s="2199"/>
      <c r="I15" s="2200"/>
    </row>
    <row r="16" spans="1:12" ht="12.75">
      <c r="A16" s="2904"/>
      <c r="B16" s="2849"/>
      <c r="C16" s="2913"/>
      <c r="D16" s="2908"/>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2085661</v>
      </c>
      <c r="D19" s="60">
        <f ca="1">SUMIF(INDIRECT("'"&amp;D4&amp;"'"&amp;"!A:A"),结果表!B19,INDIRECT("'"&amp;D4&amp;"'"&amp;"!B:B"))</f>
        <v>1087788</v>
      </c>
      <c r="E19" s="2205" t="s">
        <v>1796</v>
      </c>
      <c r="F19" s="2206" t="s">
        <v>1795</v>
      </c>
      <c r="G19" s="61">
        <f ca="1">ROUND(C19*$C$18+D19*$D$18,0)</f>
        <v>1886086</v>
      </c>
      <c r="H19" s="2207" t="str">
        <f>'数据-取费表'!B3</f>
        <v>元</v>
      </c>
      <c r="I19" s="2194"/>
    </row>
    <row r="20" spans="1:35" ht="15">
      <c r="A20" s="2208"/>
      <c r="B20" s="2209" t="s">
        <v>1797</v>
      </c>
      <c r="C20" s="62">
        <f ca="1">SUMIF(INDIRECT("'"&amp;C4&amp;"'"&amp;"!A:A"),结果表!B20,INDIRECT("'"&amp;C4&amp;"'"&amp;"!B:B"))</f>
        <v>87633</v>
      </c>
      <c r="D20" s="63">
        <f ca="1">SUMIF(INDIRECT("'"&amp;D4&amp;"'"&amp;"!A:A"),结果表!B20,INDIRECT("'"&amp;D4&amp;"'"&amp;"!B:B"))</f>
        <v>45705</v>
      </c>
      <c r="E20" s="2208"/>
      <c r="F20" s="2209" t="s">
        <v>1797</v>
      </c>
      <c r="G20" s="64">
        <f ca="1">ROUND(C20*$C$18+D20*$D$18,0)</f>
        <v>79247</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0.91734143049932526</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 ca="1">D30</f>
        <v>369828</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738" t="s">
        <v>2851</v>
      </c>
      <c r="B28" s="67">
        <f>项目基本情况!C12</f>
        <v>23.8</v>
      </c>
      <c r="C28" s="67">
        <f ca="1">基准地价修正!C30</f>
        <v>15539</v>
      </c>
      <c r="D28" s="68">
        <f t="shared" ref="D28:D29" ca="1" si="0">ROUND(C28*B28/10000,0)</f>
        <v>37</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f ca="1">ROUND(C28*B28,0)</f>
        <v>369828</v>
      </c>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79247</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77662</v>
      </c>
      <c r="D34" s="1091">
        <f ca="1">IF(D33="自定义",ROUND(C34/C32,3),1-D35)</f>
        <v>0.98</v>
      </c>
      <c r="E34" s="2232" t="s">
        <v>1810</v>
      </c>
      <c r="F34" s="1828">
        <v>2000</v>
      </c>
      <c r="G34" s="2194"/>
      <c r="H34" s="2194"/>
      <c r="I34" s="2194"/>
    </row>
    <row r="35" spans="1:16" ht="15.75" thickBot="1">
      <c r="A35" s="2233"/>
      <c r="B35" s="2234" t="s">
        <v>1811</v>
      </c>
      <c r="C35" s="73">
        <f ca="1">IF(D33="自定义",F35,ROUND(C32*D35,0))</f>
        <v>1585</v>
      </c>
      <c r="D35" s="1090">
        <f ca="1">IF(D33="自定义",ROUND(C35/C32,3),IF(D33="成本法成本比率",成本法!C56,IF(D33="收益法收益比率",收益法!J38,收益法!J41)))</f>
        <v>0.02</v>
      </c>
      <c r="E35" s="2235" t="s">
        <v>1812</v>
      </c>
      <c r="F35" s="79">
        <v>4460</v>
      </c>
      <c r="G35" s="2194"/>
      <c r="H35" s="2194"/>
      <c r="I35" s="2194"/>
    </row>
    <row r="36" spans="1:16" ht="15.75" thickBot="1">
      <c r="A36" s="2922" t="s">
        <v>1813</v>
      </c>
      <c r="B36" s="2236" t="s">
        <v>1814</v>
      </c>
      <c r="C36" s="69">
        <v>0</v>
      </c>
      <c r="D36" s="2237"/>
      <c r="E36" s="2238"/>
      <c r="F36" s="2238"/>
      <c r="G36" s="2194"/>
      <c r="H36" s="2194"/>
      <c r="I36" s="2194"/>
    </row>
    <row r="37" spans="1:16" ht="15.75" thickBot="1">
      <c r="A37" s="2923"/>
      <c r="B37" s="2239" t="s">
        <v>1815</v>
      </c>
      <c r="C37" s="71">
        <v>0</v>
      </c>
      <c r="D37" s="2204"/>
      <c r="E37" s="2204"/>
      <c r="F37" s="2238"/>
      <c r="G37" s="2204"/>
      <c r="H37" s="2204"/>
      <c r="I37" s="2204"/>
    </row>
    <row r="38" spans="1:16" ht="15.75" thickBot="1">
      <c r="A38" s="2924"/>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27" t="s">
        <v>1824</v>
      </c>
      <c r="B45" s="2928"/>
      <c r="C45" s="2929"/>
      <c r="D45" s="80">
        <f ca="1">ROUND(I102*F45,0)</f>
        <v>1886079</v>
      </c>
      <c r="E45" s="81" t="s">
        <v>1825</v>
      </c>
      <c r="F45" s="82">
        <v>1</v>
      </c>
      <c r="G45" s="83" t="s">
        <v>1826</v>
      </c>
      <c r="H45" s="2194"/>
      <c r="I45" s="2194"/>
      <c r="J45" s="2839" t="s">
        <v>1827</v>
      </c>
      <c r="K45" s="2839"/>
      <c r="L45" s="2839"/>
      <c r="M45" s="2839"/>
      <c r="N45" s="2839"/>
      <c r="O45" s="2839"/>
      <c r="P45" s="1845"/>
    </row>
    <row r="46" spans="1:16" ht="14.25" customHeight="1">
      <c r="A46" s="2919" t="s">
        <v>1828</v>
      </c>
      <c r="B46" s="2920"/>
      <c r="C46" s="2920"/>
      <c r="D46" s="2920"/>
      <c r="E46" s="2920"/>
      <c r="F46" s="2920"/>
      <c r="G46" s="2921"/>
      <c r="H46" s="2256"/>
      <c r="I46" s="1144"/>
      <c r="J46" s="1883">
        <v>1</v>
      </c>
      <c r="K46" s="2839" t="s">
        <v>1829</v>
      </c>
      <c r="L46" s="2839"/>
      <c r="M46" s="2840" t="str">
        <f>项目基本情况!B1</f>
        <v>北京市房地产市场价值预评估</v>
      </c>
      <c r="N46" s="2840"/>
      <c r="O46" s="2840"/>
      <c r="P46" s="1845"/>
    </row>
    <row r="47" spans="1:16" ht="12" customHeight="1">
      <c r="A47" s="85" t="s">
        <v>1830</v>
      </c>
      <c r="B47" s="86"/>
      <c r="C47" s="87"/>
      <c r="D47" s="88" t="s">
        <v>1831</v>
      </c>
      <c r="E47" s="14" t="s">
        <v>1832</v>
      </c>
      <c r="F47" s="89" t="s">
        <v>1833</v>
      </c>
      <c r="G47" s="90" t="s">
        <v>1834</v>
      </c>
      <c r="H47" s="2256"/>
      <c r="I47" s="1144"/>
      <c r="J47" s="1883">
        <v>2</v>
      </c>
      <c r="K47" s="2839" t="s">
        <v>1835</v>
      </c>
      <c r="L47" s="2839"/>
      <c r="M47" s="2841">
        <f>'数据-取费表'!B2</f>
        <v>43298</v>
      </c>
      <c r="N47" s="2841"/>
      <c r="O47" s="2841"/>
      <c r="P47" s="1845"/>
    </row>
    <row r="48" spans="1:16" ht="25.5">
      <c r="A48" s="2925" t="s">
        <v>1836</v>
      </c>
      <c r="B48" s="2926"/>
      <c r="C48" s="2926"/>
      <c r="D48" s="56">
        <f ca="1">IF(H48="情况1",0,IF(H48="情况2",D52,IF(H48="情况3",D53,IF(H48="情况4",D54))))</f>
        <v>100591</v>
      </c>
      <c r="E48" s="1893" t="str">
        <f>IF(H48="情况4","(销售额-原购置价)×税（费）率","销售额×税（费）率")</f>
        <v>销售额×税（费）率</v>
      </c>
      <c r="F48" s="91">
        <f>IF(H48="情况1","免征",'数据-取费表'!E29)</f>
        <v>5.6000000000000001E-2</v>
      </c>
      <c r="G48" s="2257" t="s">
        <v>1837</v>
      </c>
      <c r="H48" s="2258" t="s">
        <v>1838</v>
      </c>
      <c r="I48" s="2256"/>
      <c r="J48" s="1883">
        <v>3</v>
      </c>
      <c r="K48" s="2839" t="s">
        <v>1839</v>
      </c>
      <c r="L48" s="2839"/>
      <c r="M48" s="2840">
        <f ca="1">I102</f>
        <v>1886079</v>
      </c>
      <c r="N48" s="2840"/>
      <c r="O48" s="2840"/>
      <c r="P48" s="1845"/>
    </row>
    <row r="49" spans="1:16" ht="25.5" customHeight="1">
      <c r="A49" s="92" t="s">
        <v>1840</v>
      </c>
      <c r="B49" s="2906" t="s">
        <v>1841</v>
      </c>
      <c r="C49" s="2906"/>
      <c r="D49" s="93">
        <v>0</v>
      </c>
      <c r="E49" s="13" t="s">
        <v>1842</v>
      </c>
      <c r="F49" s="18" t="s">
        <v>48</v>
      </c>
      <c r="G49" s="2830"/>
      <c r="H49" s="2194"/>
      <c r="I49" s="2259"/>
      <c r="J49" s="1883">
        <v>4</v>
      </c>
      <c r="K49" s="2839" t="str">
        <f>IF(项目基本情况!F5="房地产抵押价值","房地产抵押价值","抵押担保权已注销时的房地产抵押价值")</f>
        <v>抵押担保权已注销时的房地产抵押价值</v>
      </c>
      <c r="L49" s="2839"/>
      <c r="M49" s="2840" t="str">
        <f>IF(项目基本情况!F5="房地产抵押价值",I110,I112)</f>
        <v>——</v>
      </c>
      <c r="N49" s="2840"/>
      <c r="O49" s="2840"/>
      <c r="P49" s="1845"/>
    </row>
    <row r="50" spans="1:16" ht="25.5" customHeight="1">
      <c r="A50" s="94"/>
      <c r="B50" s="2906" t="s">
        <v>1843</v>
      </c>
      <c r="C50" s="2906"/>
      <c r="D50" s="95"/>
      <c r="E50" s="21"/>
      <c r="F50" s="96"/>
      <c r="G50" s="2831"/>
      <c r="H50" s="2194"/>
      <c r="I50" s="2259"/>
      <c r="J50" s="2839" t="s">
        <v>1844</v>
      </c>
      <c r="K50" s="2839"/>
      <c r="L50" s="2839"/>
      <c r="M50" s="2839"/>
      <c r="N50" s="2839"/>
      <c r="O50" s="2839"/>
      <c r="P50" s="1845"/>
    </row>
    <row r="51" spans="1:16" ht="12" customHeight="1">
      <c r="A51" s="97"/>
      <c r="B51" s="2906" t="s">
        <v>1845</v>
      </c>
      <c r="C51" s="2906"/>
      <c r="D51" s="98"/>
      <c r="E51" s="20"/>
      <c r="F51" s="96"/>
      <c r="G51" s="2832"/>
      <c r="H51" s="2194"/>
      <c r="I51" s="2259"/>
      <c r="J51" s="2260" t="s">
        <v>1846</v>
      </c>
      <c r="K51" s="2839" t="s">
        <v>1847</v>
      </c>
      <c r="L51" s="2839"/>
      <c r="M51" s="2260" t="s">
        <v>1848</v>
      </c>
      <c r="N51" s="2260" t="s">
        <v>1849</v>
      </c>
      <c r="O51" s="2260" t="s">
        <v>1850</v>
      </c>
      <c r="P51" s="1845"/>
    </row>
    <row r="52" spans="1:16" ht="24" customHeight="1">
      <c r="A52" s="99" t="s">
        <v>1851</v>
      </c>
      <c r="B52" s="2906" t="s">
        <v>1852</v>
      </c>
      <c r="C52" s="2906"/>
      <c r="D52" s="98">
        <f ca="1">ROUND(D45*'数据-取费表'!E29/(1+'数据-取费表'!F30),0)</f>
        <v>100591</v>
      </c>
      <c r="E52" s="10" t="s">
        <v>1853</v>
      </c>
      <c r="F52" s="100">
        <f>'数据-取费表'!E29</f>
        <v>5.6000000000000001E-2</v>
      </c>
      <c r="G52" s="2261"/>
      <c r="H52" s="2194"/>
      <c r="I52" s="2259"/>
      <c r="J52" s="1883">
        <v>1</v>
      </c>
      <c r="K52" s="2829" t="s">
        <v>1854</v>
      </c>
      <c r="L52" s="2829"/>
      <c r="M52" s="778">
        <f ca="1">D48</f>
        <v>100591</v>
      </c>
      <c r="N52" s="1883" t="str">
        <f>E48</f>
        <v>销售额×税（费）率</v>
      </c>
      <c r="O52" s="779">
        <f>F48</f>
        <v>5.6000000000000001E-2</v>
      </c>
      <c r="P52" s="1845"/>
    </row>
    <row r="53" spans="1:16" ht="12" customHeight="1">
      <c r="A53" s="99" t="s">
        <v>1855</v>
      </c>
      <c r="B53" s="2905" t="s">
        <v>1856</v>
      </c>
      <c r="C53" s="2799"/>
      <c r="D53" s="98">
        <f ca="1">ROUND(D45*'数据-取费表'!E29/(1+'数据-取费表'!F30),0)</f>
        <v>100591</v>
      </c>
      <c r="E53" s="10" t="s">
        <v>1853</v>
      </c>
      <c r="F53" s="100">
        <f>'数据-取费表'!E29</f>
        <v>5.6000000000000001E-2</v>
      </c>
      <c r="G53" s="2261"/>
      <c r="H53" s="2194"/>
      <c r="I53" s="2259"/>
      <c r="J53" s="1883">
        <v>2</v>
      </c>
      <c r="K53" s="2829" t="s">
        <v>1857</v>
      </c>
      <c r="L53" s="2829"/>
      <c r="M53" s="778">
        <f t="shared" ref="M53:O54" ca="1" si="1">D55</f>
        <v>943</v>
      </c>
      <c r="N53" s="1883" t="str">
        <f t="shared" si="1"/>
        <v>销售额×税（费）率</v>
      </c>
      <c r="O53" s="779">
        <f t="shared" si="1"/>
        <v>5.0000000000000001E-4</v>
      </c>
      <c r="P53" s="1845"/>
    </row>
    <row r="54" spans="1:16" ht="12" customHeight="1">
      <c r="A54" s="99" t="s">
        <v>1858</v>
      </c>
      <c r="B54" s="2905" t="s">
        <v>1859</v>
      </c>
      <c r="C54" s="2799"/>
      <c r="D54" s="98">
        <f ca="1">C68</f>
        <v>100591</v>
      </c>
      <c r="E54" s="20" t="s">
        <v>1860</v>
      </c>
      <c r="F54" s="100">
        <f>'数据-取费表'!E29</f>
        <v>5.6000000000000001E-2</v>
      </c>
      <c r="G54" s="2261"/>
      <c r="H54" s="2262"/>
      <c r="I54" s="2259"/>
      <c r="J54" s="1883">
        <v>3</v>
      </c>
      <c r="K54" s="2829" t="s">
        <v>1861</v>
      </c>
      <c r="L54" s="2829"/>
      <c r="M54" s="778">
        <f t="shared" ca="1" si="1"/>
        <v>1067521</v>
      </c>
      <c r="N54" s="1883" t="str">
        <f t="shared" si="1"/>
        <v>增值额×税（费）率</v>
      </c>
      <c r="O54" s="780" t="str">
        <f t="shared" si="1"/>
        <v>——</v>
      </c>
      <c r="P54" s="1845"/>
    </row>
    <row r="55" spans="1:16" ht="24" customHeight="1">
      <c r="A55" s="2791" t="s">
        <v>1862</v>
      </c>
      <c r="B55" s="2926"/>
      <c r="C55" s="2926"/>
      <c r="D55" s="101">
        <f ca="1">IF(H55="个人住宅",0,ROUND(D45*I55,0))</f>
        <v>943</v>
      </c>
      <c r="E55" s="10" t="s">
        <v>1863</v>
      </c>
      <c r="F55" s="100">
        <f>IF(H55="正常",I55,"免征")</f>
        <v>5.0000000000000001E-4</v>
      </c>
      <c r="G55" s="2261"/>
      <c r="H55" s="2258" t="s">
        <v>1864</v>
      </c>
      <c r="I55" s="102">
        <f>'数据-取费表'!E37</f>
        <v>5.0000000000000001E-4</v>
      </c>
      <c r="J55" s="1883">
        <f>IF(H59="非个人房产","",4)</f>
        <v>4</v>
      </c>
      <c r="K55" s="2829" t="str">
        <f>IF(H59="非个人房产","——","个人所得税")</f>
        <v>个人所得税</v>
      </c>
      <c r="L55" s="2829"/>
      <c r="M55" s="781">
        <f ca="1">D59</f>
        <v>18861</v>
      </c>
      <c r="N55" s="1886" t="str">
        <f>E59</f>
        <v>销售额×税（费）率</v>
      </c>
      <c r="O55" s="782">
        <f>F59</f>
        <v>0.01</v>
      </c>
      <c r="P55" s="1845"/>
    </row>
    <row r="56" spans="1:16" ht="24.75">
      <c r="A56" s="2791" t="s">
        <v>1865</v>
      </c>
      <c r="B56" s="2926"/>
      <c r="C56" s="2926"/>
      <c r="D56" s="101">
        <f ca="1">IF(H56="个人住宅",D57,D58)</f>
        <v>1067521</v>
      </c>
      <c r="E56" s="10" t="s">
        <v>1866</v>
      </c>
      <c r="F56" s="100" t="str">
        <f>IF(H56="正常",F58,"免征")</f>
        <v>——</v>
      </c>
      <c r="G56" s="2263" t="s">
        <v>1867</v>
      </c>
      <c r="H56" s="2264" t="s">
        <v>1864</v>
      </c>
      <c r="I56" s="1022"/>
      <c r="J56" s="1883" t="str">
        <f>IF(项目基本情况!I6="上海银行",IF(J55="",4,J55+1),"")</f>
        <v/>
      </c>
      <c r="K56" s="2846" t="str">
        <f>IF(项目基本情况!I6="上海银行","其他处置费用","")</f>
        <v/>
      </c>
      <c r="L56" s="2847"/>
      <c r="M56" s="778" t="str">
        <f>IF(项目基本情况!I6="上海银行",M69,"")</f>
        <v/>
      </c>
      <c r="N56" s="2827" t="str">
        <f>IF(项目基本情况!I6="上海银行","包含处置中涉及的律师、诉讼、拍卖、评估等费用","")</f>
        <v/>
      </c>
      <c r="O56" s="2828"/>
      <c r="P56" s="1845"/>
    </row>
    <row r="57" spans="1:16" ht="12.75">
      <c r="A57" s="99" t="s">
        <v>1840</v>
      </c>
      <c r="B57" s="2914" t="s">
        <v>1868</v>
      </c>
      <c r="C57" s="2916"/>
      <c r="D57" s="103">
        <v>0</v>
      </c>
      <c r="E57" s="13" t="s">
        <v>1842</v>
      </c>
      <c r="F57" s="70"/>
      <c r="G57" s="2261"/>
      <c r="H57" s="1022"/>
      <c r="I57" s="1022"/>
      <c r="J57" s="2829">
        <f>IF(AND(J55="",J56=""),4,IF(项目基本情况!I6="上海银行",J56+1,J55+1))</f>
        <v>5</v>
      </c>
      <c r="K57" s="2829" t="s">
        <v>1869</v>
      </c>
      <c r="L57" s="2265" t="s">
        <v>1870</v>
      </c>
      <c r="M57" s="783"/>
      <c r="N57" s="784">
        <f ca="1">SUMIF(M52:M56,"&lt;9e307")</f>
        <v>1187916</v>
      </c>
      <c r="O57" s="2266"/>
      <c r="P57" s="1841" t="e">
        <f ca="1">N57/M49</f>
        <v>#VALUE!</v>
      </c>
    </row>
    <row r="58" spans="1:16" ht="24.75">
      <c r="A58" s="99" t="s">
        <v>1851</v>
      </c>
      <c r="B58" s="2914" t="s">
        <v>1871</v>
      </c>
      <c r="C58" s="2915"/>
      <c r="D58" s="101">
        <f ca="1">IF(H58="转让取得",C81,C97)</f>
        <v>1067521</v>
      </c>
      <c r="E58" s="10" t="s">
        <v>1866</v>
      </c>
      <c r="F58" s="14" t="s">
        <v>48</v>
      </c>
      <c r="G58" s="2261"/>
      <c r="H58" s="2264" t="s">
        <v>1872</v>
      </c>
      <c r="I58" s="1022"/>
      <c r="J58" s="2829"/>
      <c r="K58" s="2829"/>
      <c r="L58" s="2265" t="s">
        <v>1873</v>
      </c>
      <c r="M58" s="785"/>
      <c r="N58" s="2267" t="str">
        <f ca="1">IF(H19="元",NUMBERSTRING(INT(N57),2)&amp;"元整",NUMBERSTRING(INT(N57*10000),2)&amp;"元整")</f>
        <v>壹佰壹拾捌万柒仟玖佰壹拾陆元整</v>
      </c>
      <c r="O58" s="2268"/>
      <c r="P58" s="1845"/>
    </row>
    <row r="59" spans="1:16" ht="26.25" thickBot="1">
      <c r="A59" s="2792" t="s">
        <v>1874</v>
      </c>
      <c r="B59" s="2795"/>
      <c r="C59" s="2795"/>
      <c r="D59" s="104">
        <f ca="1">IF(H59="非个人房产","——",IF(H59="个人住宅",0,ROUND(D45*I59,0)))</f>
        <v>18861</v>
      </c>
      <c r="E59" s="105" t="str">
        <f>IF(H59="非个人房产","——","销售额×税（费）率")</f>
        <v>销售额×税（费）率</v>
      </c>
      <c r="F59" s="106">
        <f>IF(H59="非个人房产","——",IF(H59="个人住宅","免征",I59))</f>
        <v>0.01</v>
      </c>
      <c r="G59" s="2269" t="s">
        <v>1867</v>
      </c>
      <c r="H59" s="2264" t="s">
        <v>1875</v>
      </c>
      <c r="I59" s="107">
        <v>0.01</v>
      </c>
      <c r="J59" s="2883">
        <f>J57+1</f>
        <v>6</v>
      </c>
      <c r="K59" s="2829"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884"/>
      <c r="K60" s="2829"/>
      <c r="L60" s="2265" t="s">
        <v>1873</v>
      </c>
      <c r="M60" s="785"/>
      <c r="N60" s="2267" t="e">
        <f ca="1">IF(H19="元",NUMBERSTRING(INT(N59),2)&amp;"元整",NUMBERSTRING(INT(N59*10000),2)&amp;"元整")</f>
        <v>#VALUE!</v>
      </c>
      <c r="O60" s="2268"/>
      <c r="P60" s="1845"/>
    </row>
    <row r="61" spans="1:16" ht="13.5" thickBot="1">
      <c r="A61" s="2930" t="s">
        <v>1877</v>
      </c>
      <c r="B61" s="2930"/>
      <c r="C61" s="2930"/>
      <c r="D61" s="2930"/>
      <c r="E61" s="2930"/>
      <c r="F61" s="1022"/>
      <c r="G61" s="1022"/>
      <c r="H61" s="2247"/>
      <c r="I61" s="2194"/>
      <c r="J61" s="1883">
        <f>J59+1</f>
        <v>7</v>
      </c>
      <c r="K61" s="2829" t="s">
        <v>1878</v>
      </c>
      <c r="L61" s="2829"/>
      <c r="M61" s="788"/>
      <c r="N61" s="789" t="e">
        <f ca="1">IF(H19="元",ROUND(N59/项目基本情况!C12,0),ROUND(N59*10000/项目基本情况!C12,0))</f>
        <v>#VALUE!</v>
      </c>
      <c r="O61" s="2271"/>
      <c r="P61" s="1845"/>
    </row>
    <row r="62" spans="1:16" ht="12.75">
      <c r="A62" s="2867" t="s">
        <v>1879</v>
      </c>
      <c r="B62" s="2868"/>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1796266</v>
      </c>
      <c r="D63" s="112"/>
      <c r="E63" s="113"/>
      <c r="F63" s="1022"/>
      <c r="G63" s="1022"/>
      <c r="H63" s="2247"/>
      <c r="I63" s="2194"/>
      <c r="J63" s="2848"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1886079</v>
      </c>
      <c r="D64" s="117" t="s">
        <v>41</v>
      </c>
      <c r="E64" s="118"/>
      <c r="F64" s="1022"/>
      <c r="G64" s="1022"/>
      <c r="H64" s="2247"/>
      <c r="I64" s="2194"/>
      <c r="J64" s="2848"/>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48"/>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48"/>
      <c r="K66" s="2272" t="s">
        <v>1892</v>
      </c>
      <c r="L66" s="1844" t="e">
        <f>M49*0.5%</f>
        <v>#VALUE!</v>
      </c>
      <c r="M66" s="14" t="e">
        <f>IF(L66&gt;0.5,0.5,ROUND(L66,0))</f>
        <v>#VALUE!</v>
      </c>
      <c r="N66" s="1845" t="s">
        <v>1893</v>
      </c>
      <c r="O66" s="1845"/>
      <c r="P66" s="1845"/>
    </row>
    <row r="67" spans="1:35" ht="12.75">
      <c r="A67" s="120" t="s">
        <v>42</v>
      </c>
      <c r="B67" s="121" t="s">
        <v>1894</v>
      </c>
      <c r="C67" s="124">
        <f ca="1">C63-C66</f>
        <v>1796266</v>
      </c>
      <c r="D67" s="117" t="s">
        <v>41</v>
      </c>
      <c r="E67" s="118"/>
      <c r="F67" s="1022"/>
      <c r="G67" s="1022"/>
      <c r="H67" s="2247"/>
      <c r="I67" s="2194"/>
      <c r="J67" s="2848"/>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100591</v>
      </c>
      <c r="D68" s="128">
        <f>'数据-取费表'!E29</f>
        <v>5.6000000000000001E-2</v>
      </c>
      <c r="E68" s="129"/>
      <c r="F68" s="1022"/>
      <c r="G68" s="1022"/>
      <c r="H68" s="2247"/>
      <c r="I68" s="2194"/>
      <c r="J68" s="2848"/>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48"/>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69" t="s">
        <v>1899</v>
      </c>
      <c r="B70" s="2870"/>
      <c r="C70" s="2870"/>
      <c r="D70" s="2870"/>
      <c r="E70" s="2870"/>
      <c r="F70" s="2870"/>
      <c r="G70" s="2870"/>
      <c r="H70" s="287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67" t="s">
        <v>1879</v>
      </c>
      <c r="B71" s="2868"/>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1796266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10778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05" t="s">
        <v>1909</v>
      </c>
      <c r="F76" s="2906"/>
      <c r="G76" s="2906"/>
      <c r="H76" s="2907"/>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10778</v>
      </c>
      <c r="D78" s="145">
        <f>'数据-取费表'!E31</f>
        <v>6.000000000000001E-3</v>
      </c>
      <c r="E78" s="2836" t="s">
        <v>1914</v>
      </c>
      <c r="F78" s="2837"/>
      <c r="G78" s="2837"/>
      <c r="H78" s="285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1785488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165.66041937279644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1067521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69" t="s">
        <v>1918</v>
      </c>
      <c r="B83" s="2870"/>
      <c r="C83" s="2870"/>
      <c r="D83" s="2870"/>
      <c r="E83" s="2870"/>
      <c r="F83" s="2870"/>
      <c r="G83" s="2870"/>
      <c r="H83" s="287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67" t="s">
        <v>1879</v>
      </c>
      <c r="B84" s="2868"/>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1796266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10778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36" t="s">
        <v>1926</v>
      </c>
      <c r="F91" s="2837"/>
      <c r="G91" s="2837"/>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36" t="s">
        <v>1929</v>
      </c>
      <c r="F92" s="2837"/>
      <c r="G92" s="2837"/>
      <c r="H92" s="285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10778</v>
      </c>
      <c r="D93" s="145">
        <f>'数据-取费表'!E31</f>
        <v>6.000000000000001E-3</v>
      </c>
      <c r="E93" s="2836" t="s">
        <v>1914</v>
      </c>
      <c r="F93" s="2837"/>
      <c r="G93" s="2837"/>
      <c r="H93" s="285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36" t="s">
        <v>1931</v>
      </c>
      <c r="F94" s="2837"/>
      <c r="G94" s="2837"/>
      <c r="H94" s="285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1785488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165.66041937279644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1067521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54" t="s">
        <v>1933</v>
      </c>
      <c r="B99" s="2855"/>
      <c r="C99" s="2855"/>
      <c r="D99" s="2856"/>
      <c r="E99" s="2194"/>
      <c r="F99" s="2864" t="s">
        <v>1934</v>
      </c>
      <c r="G99" s="2865"/>
      <c r="H99" s="2865"/>
      <c r="I99" s="2866"/>
    </row>
    <row r="100" spans="1:35" ht="15.75">
      <c r="A100" s="2871" t="s">
        <v>1935</v>
      </c>
      <c r="B100" s="2872"/>
      <c r="C100" s="720" t="str">
        <f>C4</f>
        <v>成本法</v>
      </c>
      <c r="D100" s="721" t="str">
        <f>D4</f>
        <v>收益法</v>
      </c>
      <c r="E100" s="2194"/>
      <c r="F100" s="2873" t="s">
        <v>1936</v>
      </c>
      <c r="G100" s="2875"/>
      <c r="H100" s="2873" t="s">
        <v>1937</v>
      </c>
      <c r="I100" s="2874"/>
    </row>
    <row r="101" spans="1:35" ht="15.75">
      <c r="A101" s="2893" t="s">
        <v>1938</v>
      </c>
      <c r="B101" s="2289" t="str">
        <f>IF(H19="元","总价（元）","总价（万元）")</f>
        <v>总价（元）</v>
      </c>
      <c r="C101" s="720">
        <f ca="1">C19</f>
        <v>2085661</v>
      </c>
      <c r="D101" s="721">
        <f ca="1">D19</f>
        <v>1087788</v>
      </c>
      <c r="E101" s="2194"/>
      <c r="F101" s="2873" t="str">
        <f>项目基本情况!I1</f>
        <v>北京市房地产</v>
      </c>
      <c r="G101" s="2875"/>
      <c r="H101" s="2934">
        <f>项目基本情况!C12</f>
        <v>23.8</v>
      </c>
      <c r="I101" s="2874"/>
    </row>
    <row r="102" spans="1:35" ht="15.75">
      <c r="A102" s="2893"/>
      <c r="B102" s="2289" t="s">
        <v>1939</v>
      </c>
      <c r="C102" s="722">
        <f ca="1">C20</f>
        <v>87633</v>
      </c>
      <c r="D102" s="723">
        <f ca="1">D20</f>
        <v>45705</v>
      </c>
      <c r="E102" s="2194"/>
      <c r="F102" s="2948" t="s">
        <v>1940</v>
      </c>
      <c r="G102" s="2949"/>
      <c r="H102" s="2290" t="str">
        <f>C106</f>
        <v>总价（元）</v>
      </c>
      <c r="I102" s="1862">
        <f ca="1">H121</f>
        <v>1886079</v>
      </c>
    </row>
    <row r="103" spans="1:35" ht="15">
      <c r="A103" s="2893" t="s">
        <v>1941</v>
      </c>
      <c r="B103" s="2291" t="str">
        <f>B101</f>
        <v>总价（元）</v>
      </c>
      <c r="C103" s="724">
        <f ca="1">H121</f>
        <v>1886079</v>
      </c>
      <c r="D103" s="725"/>
      <c r="E103" s="2194"/>
      <c r="F103" s="2948"/>
      <c r="G103" s="2949"/>
      <c r="H103" s="2290" t="s">
        <v>1939</v>
      </c>
      <c r="I103" s="1050">
        <f ca="1">I121</f>
        <v>79247</v>
      </c>
    </row>
    <row r="104" spans="1:35" ht="16.5" thickBot="1">
      <c r="A104" s="2894"/>
      <c r="B104" s="2292" t="s">
        <v>1939</v>
      </c>
      <c r="C104" s="726">
        <f ca="1">I121</f>
        <v>79247</v>
      </c>
      <c r="D104" s="727"/>
      <c r="E104" s="2194"/>
      <c r="F104" s="2860"/>
      <c r="G104" s="2861"/>
      <c r="H104" s="2895"/>
      <c r="I104" s="2896"/>
    </row>
    <row r="105" spans="1:35" ht="15.75">
      <c r="A105" s="2854" t="s">
        <v>1942</v>
      </c>
      <c r="B105" s="2855"/>
      <c r="C105" s="2855"/>
      <c r="D105" s="2856"/>
      <c r="E105" s="2194"/>
      <c r="F105" s="2899" t="s">
        <v>1943</v>
      </c>
      <c r="G105" s="2900"/>
      <c r="H105" s="2293" t="str">
        <f>C108</f>
        <v>总额（元）</v>
      </c>
      <c r="I105" s="1862">
        <f>SUMIF(I106:I108,"&lt;9E307")</f>
        <v>0</v>
      </c>
    </row>
    <row r="106" spans="1:35" ht="15">
      <c r="A106" s="2901" t="s">
        <v>1944</v>
      </c>
      <c r="B106" s="2902"/>
      <c r="C106" s="2290" t="str">
        <f>B101</f>
        <v>总价（元）</v>
      </c>
      <c r="D106" s="1051">
        <f ca="1">H121</f>
        <v>1886079</v>
      </c>
      <c r="E106" s="2194"/>
      <c r="F106" s="2862" t="s">
        <v>1945</v>
      </c>
      <c r="G106" s="2863"/>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01"/>
      <c r="B107" s="2902"/>
      <c r="C107" s="2290" t="s">
        <v>1939</v>
      </c>
      <c r="D107" s="1052">
        <f ca="1">I121</f>
        <v>79247</v>
      </c>
      <c r="E107" s="2194"/>
      <c r="F107" s="2862" t="s">
        <v>1946</v>
      </c>
      <c r="G107" s="2863"/>
      <c r="H107" s="2293" t="str">
        <f>C110</f>
        <v>总额（元）</v>
      </c>
      <c r="I107" s="1050">
        <f>C37</f>
        <v>0</v>
      </c>
      <c r="K107" s="2294"/>
    </row>
    <row r="108" spans="1:35" ht="15">
      <c r="A108" s="2944" t="s">
        <v>1947</v>
      </c>
      <c r="B108" s="2945"/>
      <c r="C108" s="2293" t="str">
        <f>IF(H19="元","总额（元）","总额（万元）")</f>
        <v>总额（元）</v>
      </c>
      <c r="D108" s="1051">
        <f>IF(D36="正常操作",I106+I107+I108,I107+I108)</f>
        <v>0</v>
      </c>
      <c r="E108" s="2194"/>
      <c r="F108" s="2862" t="s">
        <v>1948</v>
      </c>
      <c r="G108" s="2863"/>
      <c r="H108" s="2293" t="str">
        <f>C111</f>
        <v>总额（元）</v>
      </c>
      <c r="I108" s="1050">
        <f>C38</f>
        <v>0</v>
      </c>
    </row>
    <row r="109" spans="1:35" ht="15.75">
      <c r="A109" s="2862" t="s">
        <v>1945</v>
      </c>
      <c r="B109" s="2863"/>
      <c r="C109" s="2293" t="str">
        <f>C108</f>
        <v>总额（元）</v>
      </c>
      <c r="D109" s="637">
        <f>IF(D36="同一抵押权人同一抵押物续贷",C36&amp;"（未扣减，详见特别提示）",C36)</f>
        <v>0</v>
      </c>
      <c r="E109" s="2194"/>
      <c r="F109" s="2860"/>
      <c r="G109" s="2861"/>
      <c r="H109" s="2897"/>
      <c r="I109" s="2898"/>
    </row>
    <row r="110" spans="1:35" ht="28.5" customHeight="1">
      <c r="A110" s="2862" t="s">
        <v>1946</v>
      </c>
      <c r="B110" s="2863"/>
      <c r="C110" s="2293" t="str">
        <f>C108</f>
        <v>总额（元）</v>
      </c>
      <c r="D110" s="637">
        <f>C37</f>
        <v>0</v>
      </c>
      <c r="E110" s="2194"/>
      <c r="F110" s="2842" t="str">
        <f>IF(项目基本情况!F5="已注销","——","3.房地产抵押价值")</f>
        <v>3.房地产抵押价值</v>
      </c>
      <c r="G110" s="2843"/>
      <c r="H110" s="2295" t="str">
        <f>C112</f>
        <v>总价（元）</v>
      </c>
      <c r="I110" s="1863">
        <f ca="1">IF(F110="——","——",I102-I105)</f>
        <v>1886079</v>
      </c>
    </row>
    <row r="111" spans="1:35" ht="15">
      <c r="A111" s="2862" t="s">
        <v>1948</v>
      </c>
      <c r="B111" s="2863"/>
      <c r="C111" s="2293" t="str">
        <f>C108</f>
        <v>总额（元）</v>
      </c>
      <c r="D111" s="637">
        <f>C38</f>
        <v>0</v>
      </c>
      <c r="E111" s="2194"/>
      <c r="F111" s="2844"/>
      <c r="G111" s="2845"/>
      <c r="H111" s="2290" t="s">
        <v>1939</v>
      </c>
      <c r="I111" s="2296">
        <f ca="1">D113</f>
        <v>79247</v>
      </c>
    </row>
    <row r="112" spans="1:35" ht="26.25" customHeight="1">
      <c r="A112" s="2901" t="str">
        <f>IF(项目基本情况!F5="已注销","——","3.房地产抵押价值")</f>
        <v>3.房地产抵押价值</v>
      </c>
      <c r="B112" s="2902"/>
      <c r="C112" s="2290" t="str">
        <f>B101</f>
        <v>总价（元）</v>
      </c>
      <c r="D112" s="1051">
        <f ca="1">IF(A112="——","——",D106-D108)</f>
        <v>1886079</v>
      </c>
      <c r="E112" s="2194"/>
      <c r="F112" s="2842" t="str">
        <f>IF(项目基本情况!F5="已注销及未注销","4.抵押担保权已注销时的房地产抵押价值",IF(项目基本情况!F5="已注销","3.抵押担保权已注销时的房地产抵押价值","——"))</f>
        <v>——</v>
      </c>
      <c r="G112" s="2843"/>
      <c r="H112" s="2295" t="str">
        <f>C114</f>
        <v>总价（元）</v>
      </c>
      <c r="I112" s="1863" t="str">
        <f>IF(F112="——","——",I102-I107-I108)</f>
        <v>——</v>
      </c>
    </row>
    <row r="113" spans="1:15" ht="15">
      <c r="A113" s="2901"/>
      <c r="B113" s="2902"/>
      <c r="C113" s="2290" t="s">
        <v>1939</v>
      </c>
      <c r="D113" s="1052">
        <f ca="1">ROUND(IF(D112=D106,D107,IF(H19="元",D112/项目基本情况!C12,D112*10000/项目基本情况!C12)),0)</f>
        <v>79247</v>
      </c>
      <c r="E113" s="2194"/>
      <c r="F113" s="2844"/>
      <c r="G113" s="2845"/>
      <c r="H113" s="2290" t="s">
        <v>1939</v>
      </c>
      <c r="I113" s="2297" t="str">
        <f>D115</f>
        <v>——</v>
      </c>
    </row>
    <row r="114" spans="1:15" ht="15.75">
      <c r="A114" s="2901" t="str">
        <f>IF(项目基本情况!F5="已注销及未注销","4.抵押担保权已注销时的房地产抵押价值",IF(项目基本情况!F5="已注销","3.抵押担保权已注销时的房地产抵押价值","——"))</f>
        <v>——</v>
      </c>
      <c r="B114" s="2902"/>
      <c r="C114" s="2290" t="str">
        <f>B101</f>
        <v>总价（元）</v>
      </c>
      <c r="D114" s="1051" t="str">
        <f>IF(A114="——","——",D106-D110-D111)</f>
        <v>——</v>
      </c>
      <c r="E114" s="2194"/>
      <c r="F114" s="2842" t="str">
        <f>IF(项目基本情况!G5="抵押净值",IF(OR(项目基本情况!F5="已注销",项目基本情况!F5="房地产抵押价值"),"4.抵押净值","5.抵押净值"),"——")</f>
        <v>——</v>
      </c>
      <c r="G114" s="2843"/>
      <c r="H114" s="2290" t="str">
        <f>C116</f>
        <v>总价（元）</v>
      </c>
      <c r="I114" s="1862" t="str">
        <f>IF(F114="——","——",N59)</f>
        <v>——</v>
      </c>
    </row>
    <row r="115" spans="1:15" ht="15.75" thickBot="1">
      <c r="A115" s="2901"/>
      <c r="B115" s="2902"/>
      <c r="C115" s="2290" t="s">
        <v>1939</v>
      </c>
      <c r="D115" s="1052" t="str">
        <f>IF(A114="——","——",ROUND(IF(D114=D106,D107,IF(H19="元",D114/项目基本情况!C12,D114*10000/项目基本情况!C12)),0))</f>
        <v>——</v>
      </c>
      <c r="E115" s="2194"/>
      <c r="F115" s="2935"/>
      <c r="G115" s="2936"/>
      <c r="H115" s="2298" t="s">
        <v>1939</v>
      </c>
      <c r="I115" s="1864" t="str">
        <f ca="1">D117</f>
        <v>——</v>
      </c>
    </row>
    <row r="116" spans="1:15" ht="15.75">
      <c r="A116" s="2901" t="str">
        <f>IF(项目基本情况!G5="抵押净值",IF(OR(项目基本情况!F5="已注销",项目基本情况!F5="房地产抵押价值"),"4.抵押净值","5.抵押净值"),"——")</f>
        <v>——</v>
      </c>
      <c r="B116" s="2902"/>
      <c r="C116" s="2290" t="str">
        <f>B101</f>
        <v>总价（元）</v>
      </c>
      <c r="D116" s="1051" t="str">
        <f>IF(A116="——","——",N59)</f>
        <v>——</v>
      </c>
      <c r="E116" s="2194"/>
      <c r="F116" s="2838"/>
      <c r="G116" s="2838"/>
      <c r="H116" s="2880"/>
      <c r="I116" s="2880"/>
      <c r="N116" s="55"/>
      <c r="O116" s="55"/>
    </row>
    <row r="117" spans="1:15" ht="15.75" thickBot="1">
      <c r="A117" s="2942"/>
      <c r="B117" s="2943"/>
      <c r="C117" s="2298" t="s">
        <v>1939</v>
      </c>
      <c r="D117" s="1053" t="str">
        <f ca="1">IF(D116=D112,D113,IF(A116="——","——",N61))</f>
        <v>——</v>
      </c>
      <c r="E117" s="2194"/>
      <c r="F117" s="2932" t="str">
        <f>IF(B32="总价","（以上估价结果中单价为总价除以建筑面积得出）","（以上估价结果中总价为楼面单价乘以建筑面积得出）")</f>
        <v>（以上估价结果中总价为楼面单价乘以建筑面积得出）</v>
      </c>
      <c r="G117" s="2932"/>
      <c r="H117" s="2932"/>
      <c r="I117" s="2932"/>
      <c r="N117" s="55"/>
      <c r="O117" s="55"/>
    </row>
    <row r="118" spans="1:15" ht="15">
      <c r="A118" s="2881" t="s">
        <v>1949</v>
      </c>
      <c r="B118" s="2882"/>
      <c r="C118" s="2882"/>
      <c r="D118" s="2882"/>
      <c r="E118" s="2882"/>
      <c r="F118" s="2882"/>
      <c r="G118" s="2882"/>
      <c r="H118" s="2882"/>
      <c r="I118" s="2882"/>
    </row>
    <row r="119" spans="1:15" ht="14.25">
      <c r="A119" s="2853" t="s">
        <v>1950</v>
      </c>
      <c r="B119" s="2851" t="s">
        <v>1951</v>
      </c>
      <c r="C119" s="2851" t="s">
        <v>1952</v>
      </c>
      <c r="D119" s="2858" t="s">
        <v>1953</v>
      </c>
      <c r="E119" s="2859"/>
      <c r="F119" s="2849" t="s">
        <v>1811</v>
      </c>
      <c r="G119" s="2849"/>
      <c r="H119" s="2849" t="s">
        <v>1954</v>
      </c>
      <c r="I119" s="2850"/>
    </row>
    <row r="120" spans="1:15" ht="14.25">
      <c r="A120" s="2853"/>
      <c r="B120" s="2852"/>
      <c r="C120" s="2852"/>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23.8</v>
      </c>
      <c r="C121" s="1887">
        <f>项目基本情况!C13</f>
        <v>0</v>
      </c>
      <c r="D121" s="1887">
        <f ca="1">ROUND(IF(B32="总价",C34,IF('数据-取费表'!B3="万元",E121*B121/10000,E121*B121)),0)</f>
        <v>1848356</v>
      </c>
      <c r="E121" s="1887">
        <f ca="1">ROUND(IF(B32="楼面单价",C34,IF(H19="元",D121/B121,D121*10000/B121)),0)</f>
        <v>77662</v>
      </c>
      <c r="F121" s="1887">
        <f ca="1">ROUND(IF(B32="总价",C35,IF('数据-取费表'!B3="万元",G121*B121/10000,G121*B121)),0)</f>
        <v>37723</v>
      </c>
      <c r="G121" s="1887">
        <f ca="1">ROUND(IF(B32="楼面单价",C35,IF(H19="元",F121/B121,F121*10000/B121)),0)</f>
        <v>1585</v>
      </c>
      <c r="H121" s="1887">
        <f ca="1">ROUND(IF(B32="总价",C32,IF('数据-取费表'!B3="万元",I121*B121/10000,I121*B121)),0)</f>
        <v>1886079</v>
      </c>
      <c r="I121" s="637">
        <f ca="1">ROUND(IF(B32="楼面单价",C32,IF(H19="元",H121/B121,H121*10000/B121)),0)</f>
        <v>79247</v>
      </c>
    </row>
    <row r="122" spans="1:15" ht="14.25">
      <c r="A122" s="2853" t="s">
        <v>1958</v>
      </c>
      <c r="B122" s="2849"/>
      <c r="C122" s="2849"/>
      <c r="D122" s="2885" t="str">
        <f ca="1">IF(H19="元",NUMBERSTRING(INT(D121),2)&amp;"元整",NUMBERSTRING(INT(D121*10000),2)&amp;"元整")</f>
        <v>壹佰捌拾肆万捌仟叁佰伍拾陆元整</v>
      </c>
      <c r="E122" s="2886"/>
      <c r="F122" s="2885" t="str">
        <f ca="1">IF(H19="元",NUMBERSTRING(INT(F121),2)&amp;"元整",NUMBERSTRING(INT(F121*10000),2)&amp;"元整")</f>
        <v>叁万柒仟柒佰贰拾叁元整</v>
      </c>
      <c r="G122" s="2886"/>
      <c r="H122" s="2885" t="str">
        <f ca="1">IF(H19="元",NUMBERSTRING(INT(H121),2)&amp;"元整",NUMBERSTRING(INT(H121*10000),2)&amp;"元整")</f>
        <v>壹佰捌拾捌万陆仟零柒拾玖元整</v>
      </c>
      <c r="I122" s="2950"/>
    </row>
    <row r="123" spans="1:15" ht="15">
      <c r="A123" s="2887" t="str">
        <f>IF(项目基本情况!D5="房地产市场价值","——",MID(A108,3,LEN(A108)-2))</f>
        <v>——</v>
      </c>
      <c r="B123" s="2888"/>
      <c r="C123" s="2889"/>
      <c r="D123" s="2878">
        <f>I105</f>
        <v>0</v>
      </c>
      <c r="E123" s="2888"/>
      <c r="F123" s="2888"/>
      <c r="G123" s="2888"/>
      <c r="H123" s="2888"/>
      <c r="I123" s="2937"/>
    </row>
    <row r="124" spans="1:15" ht="14.25">
      <c r="A124" s="2890" t="s">
        <v>1958</v>
      </c>
      <c r="B124" s="2891"/>
      <c r="C124" s="2892"/>
      <c r="D124" s="2938">
        <f>H109</f>
        <v>0</v>
      </c>
      <c r="E124" s="2939"/>
      <c r="F124" s="2939"/>
      <c r="G124" s="2939"/>
      <c r="H124" s="2939"/>
      <c r="I124" s="2940"/>
    </row>
    <row r="125" spans="1:15" ht="15">
      <c r="A125" s="2876" t="str">
        <f>IF(项目基本情况!D5="房地产市场价值","——",MID(A112,3,LEN(A112)-2))</f>
        <v>——</v>
      </c>
      <c r="B125" s="2877"/>
      <c r="C125" s="2877"/>
      <c r="D125" s="2878">
        <f ca="1">I110</f>
        <v>1886079</v>
      </c>
      <c r="E125" s="2888"/>
      <c r="F125" s="2888"/>
      <c r="G125" s="2888"/>
      <c r="H125" s="2888"/>
      <c r="I125" s="2937"/>
    </row>
    <row r="126" spans="1:15" ht="14.25">
      <c r="A126" s="2853" t="s">
        <v>1958</v>
      </c>
      <c r="B126" s="2849"/>
      <c r="C126" s="2849"/>
      <c r="D126" s="2938">
        <f ca="1">I111</f>
        <v>79247</v>
      </c>
      <c r="E126" s="2939"/>
      <c r="F126" s="2939"/>
      <c r="G126" s="2939"/>
      <c r="H126" s="2939"/>
      <c r="I126" s="2940"/>
    </row>
    <row r="127" spans="1:15" ht="15.75" thickBot="1">
      <c r="A127" s="2876" t="str">
        <f>IF(项目基本情况!D5="房地产市场价值","——",MID(A114,3,LEN(A114)-2))</f>
        <v>——</v>
      </c>
      <c r="B127" s="2877"/>
      <c r="C127" s="2877"/>
      <c r="D127" s="2833" t="str">
        <f>I112</f>
        <v>——</v>
      </c>
      <c r="E127" s="2834"/>
      <c r="F127" s="2834"/>
      <c r="G127" s="2834"/>
      <c r="H127" s="2834"/>
      <c r="I127" s="2835"/>
    </row>
    <row r="128" spans="1:15" ht="15.75" thickTop="1" thickBot="1">
      <c r="A128" s="2853" t="s">
        <v>1958</v>
      </c>
      <c r="B128" s="2849"/>
      <c r="C128" s="2933"/>
      <c r="D128" s="2879" t="str">
        <f>I113</f>
        <v>——</v>
      </c>
      <c r="E128" s="2879"/>
      <c r="F128" s="2879"/>
      <c r="G128" s="2879"/>
      <c r="H128" s="2879"/>
      <c r="I128" s="2879"/>
    </row>
    <row r="129" spans="1:9" ht="16.5" thickTop="1" thickBot="1">
      <c r="A129" s="2876" t="str">
        <f>IF(项目基本情况!D5="房地产市场价值","——",MID(F114,3,LEN(F114)-2))</f>
        <v>——</v>
      </c>
      <c r="B129" s="2877"/>
      <c r="C129" s="2878"/>
      <c r="D129" s="2941" t="str">
        <f>I114</f>
        <v>——</v>
      </c>
      <c r="E129" s="2941"/>
      <c r="F129" s="2941"/>
      <c r="G129" s="2941"/>
      <c r="H129" s="2941"/>
      <c r="I129" s="2941"/>
    </row>
    <row r="130" spans="1:9" ht="15.75" thickTop="1" thickBot="1">
      <c r="A130" s="2946" t="s">
        <v>1958</v>
      </c>
      <c r="B130" s="2947"/>
      <c r="C130" s="2947"/>
      <c r="D130" s="2951">
        <f>H116</f>
        <v>0</v>
      </c>
      <c r="E130" s="2952"/>
      <c r="F130" s="2952"/>
      <c r="G130" s="2952"/>
      <c r="H130" s="2952"/>
      <c r="I130" s="295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31" t="str">
        <f>IF(B32="总价","（以上估价结果中楼面单价为总价除以建筑面积得出）","（以上估价结果中总价为楼面单价乘以建筑面积得出）")</f>
        <v>（以上估价结果中总价为楼面单价乘以建筑面积得出）</v>
      </c>
      <c r="B132" s="2931"/>
      <c r="C132" s="2931"/>
      <c r="D132" s="2931"/>
      <c r="E132" s="2931"/>
      <c r="F132" s="2931"/>
      <c r="G132" s="2931"/>
      <c r="H132" s="2931"/>
      <c r="I132" s="2931"/>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55" t="s">
        <v>1967</v>
      </c>
      <c r="B2" s="2955"/>
      <c r="C2" s="2955"/>
      <c r="D2" s="2955"/>
      <c r="E2" s="2955"/>
      <c r="F2" s="2955"/>
      <c r="G2" s="2955"/>
      <c r="H2" s="2955"/>
      <c r="I2" s="2955"/>
    </row>
    <row r="3" spans="1:12" ht="12.75">
      <c r="A3" s="2909" t="s">
        <v>1771</v>
      </c>
      <c r="B3" s="2910"/>
      <c r="C3" s="2910"/>
      <c r="D3" s="2910"/>
      <c r="E3" s="2910"/>
      <c r="F3" s="2910"/>
      <c r="G3" s="2910"/>
      <c r="H3" s="2910"/>
      <c r="I3" s="2910"/>
    </row>
    <row r="4" spans="1:12" ht="14.25">
      <c r="A4" s="2196" t="s">
        <v>1772</v>
      </c>
      <c r="B4" s="2197" t="s">
        <v>1773</v>
      </c>
      <c r="C4" s="2198"/>
      <c r="D4" s="2198"/>
      <c r="E4" s="2914" t="s">
        <v>1968</v>
      </c>
      <c r="F4" s="2915"/>
      <c r="G4" s="2915"/>
      <c r="H4" s="2915"/>
      <c r="I4" s="291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1775</v>
      </c>
      <c r="B5" s="2849">
        <v>25</v>
      </c>
      <c r="C5" s="2911"/>
      <c r="D5" s="2908"/>
      <c r="E5" s="56" t="s">
        <v>1776</v>
      </c>
      <c r="F5" s="2199"/>
      <c r="G5" s="2199"/>
      <c r="H5" s="2199"/>
      <c r="I5" s="2200"/>
    </row>
    <row r="6" spans="1:12" ht="12.75">
      <c r="A6" s="2904"/>
      <c r="B6" s="2849"/>
      <c r="C6" s="2912"/>
      <c r="D6" s="2908"/>
      <c r="E6" s="56" t="s">
        <v>1777</v>
      </c>
      <c r="F6" s="2199"/>
      <c r="G6" s="2199"/>
      <c r="H6" s="2199"/>
      <c r="I6" s="2200"/>
    </row>
    <row r="7" spans="1:12" ht="12.75">
      <c r="A7" s="2904"/>
      <c r="B7" s="2849"/>
      <c r="C7" s="2913"/>
      <c r="D7" s="2908"/>
      <c r="E7" s="56" t="s">
        <v>1778</v>
      </c>
      <c r="F7" s="2199"/>
      <c r="G7" s="2199"/>
      <c r="H7" s="2199"/>
      <c r="I7" s="2200"/>
    </row>
    <row r="8" spans="1:12" ht="12.75">
      <c r="A8" s="2904" t="s">
        <v>1779</v>
      </c>
      <c r="B8" s="2849">
        <v>15</v>
      </c>
      <c r="C8" s="2911"/>
      <c r="D8" s="2908"/>
      <c r="E8" s="56" t="s">
        <v>1780</v>
      </c>
      <c r="F8" s="2199"/>
      <c r="G8" s="2199"/>
      <c r="H8" s="2199"/>
      <c r="I8" s="2200"/>
    </row>
    <row r="9" spans="1:12" ht="12.75">
      <c r="A9" s="2904"/>
      <c r="B9" s="2849"/>
      <c r="C9" s="2913"/>
      <c r="D9" s="2908"/>
      <c r="E9" s="56" t="s">
        <v>1781</v>
      </c>
      <c r="F9" s="2199"/>
      <c r="G9" s="2199"/>
      <c r="H9" s="2199"/>
      <c r="I9" s="2200"/>
    </row>
    <row r="10" spans="1:12" ht="12.75">
      <c r="A10" s="2904" t="s">
        <v>1782</v>
      </c>
      <c r="B10" s="2849">
        <v>15</v>
      </c>
      <c r="C10" s="2911"/>
      <c r="D10" s="2908"/>
      <c r="E10" s="56" t="s">
        <v>1783</v>
      </c>
      <c r="F10" s="2199"/>
      <c r="G10" s="2199"/>
      <c r="H10" s="2199"/>
      <c r="I10" s="2200"/>
    </row>
    <row r="11" spans="1:12" ht="12.75">
      <c r="A11" s="2904"/>
      <c r="B11" s="2849"/>
      <c r="C11" s="2913"/>
      <c r="D11" s="2908"/>
      <c r="E11" s="56" t="s">
        <v>1784</v>
      </c>
      <c r="F11" s="2199"/>
      <c r="G11" s="2199"/>
      <c r="H11" s="2199"/>
      <c r="I11" s="2200"/>
    </row>
    <row r="12" spans="1:12" ht="12.75">
      <c r="A12" s="2904" t="s">
        <v>1785</v>
      </c>
      <c r="B12" s="2849">
        <v>15</v>
      </c>
      <c r="C12" s="2911"/>
      <c r="D12" s="2908"/>
      <c r="E12" s="56" t="s">
        <v>1786</v>
      </c>
      <c r="F12" s="2199"/>
      <c r="G12" s="2199"/>
      <c r="H12" s="2199"/>
      <c r="I12" s="2200"/>
    </row>
    <row r="13" spans="1:12" ht="12.75">
      <c r="A13" s="2904"/>
      <c r="B13" s="2849"/>
      <c r="C13" s="2913"/>
      <c r="D13" s="2908"/>
      <c r="E13" s="56" t="s">
        <v>1787</v>
      </c>
      <c r="F13" s="2199"/>
      <c r="G13" s="2199"/>
      <c r="H13" s="2199"/>
      <c r="I13" s="2200"/>
    </row>
    <row r="14" spans="1:12" ht="12.75">
      <c r="A14" s="2904" t="s">
        <v>1788</v>
      </c>
      <c r="B14" s="2849">
        <v>30</v>
      </c>
      <c r="C14" s="2911"/>
      <c r="D14" s="2908"/>
      <c r="E14" s="56" t="s">
        <v>1789</v>
      </c>
      <c r="F14" s="2199"/>
      <c r="G14" s="2199"/>
      <c r="H14" s="2199"/>
      <c r="I14" s="2200"/>
    </row>
    <row r="15" spans="1:12" ht="12.75">
      <c r="A15" s="2904"/>
      <c r="B15" s="2849"/>
      <c r="C15" s="2912"/>
      <c r="D15" s="2908"/>
      <c r="E15" s="56" t="s">
        <v>1790</v>
      </c>
      <c r="F15" s="2199"/>
      <c r="G15" s="2199"/>
      <c r="H15" s="2199"/>
      <c r="I15" s="2200"/>
    </row>
    <row r="16" spans="1:12" ht="12.75">
      <c r="A16" s="2904"/>
      <c r="B16" s="2849"/>
      <c r="C16" s="2913"/>
      <c r="D16" s="2908"/>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2806</v>
      </c>
      <c r="F30" s="2194"/>
      <c r="G30" s="2194"/>
      <c r="H30" s="2194"/>
      <c r="I30" s="2194"/>
    </row>
    <row r="31" spans="1:35" s="2221" customFormat="1" ht="15.75" thickBot="1">
      <c r="A31" s="2965" t="s">
        <v>1971</v>
      </c>
      <c r="B31" s="2965"/>
      <c r="C31" s="2965"/>
      <c r="D31" s="2965"/>
      <c r="E31" s="2965"/>
      <c r="F31" s="2965"/>
      <c r="G31" s="2965"/>
      <c r="H31" s="2965"/>
      <c r="I31" s="296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22" t="s">
        <v>1980</v>
      </c>
      <c r="B37" s="2236" t="s">
        <v>1981</v>
      </c>
      <c r="C37" s="69"/>
      <c r="D37" s="2237"/>
      <c r="E37" s="2238"/>
      <c r="F37" s="2238"/>
      <c r="G37" s="2194"/>
      <c r="H37" s="2194"/>
      <c r="I37" s="2194"/>
    </row>
    <row r="38" spans="1:16" ht="15.75" thickBot="1">
      <c r="A38" s="2923"/>
      <c r="B38" s="2239" t="s">
        <v>1982</v>
      </c>
      <c r="C38" s="71"/>
      <c r="D38" s="2204"/>
      <c r="E38" s="2204"/>
      <c r="F38" s="2238"/>
      <c r="G38" s="2204"/>
      <c r="H38" s="2204"/>
      <c r="I38" s="2204"/>
    </row>
    <row r="39" spans="1:16" ht="15.75" thickBot="1">
      <c r="A39" s="2924"/>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27" t="s">
        <v>1993</v>
      </c>
      <c r="B46" s="2928"/>
      <c r="C46" s="2929"/>
      <c r="D46" s="80">
        <f>ROUND(I103*F46,0)</f>
        <v>0</v>
      </c>
      <c r="E46" s="81" t="s">
        <v>1994</v>
      </c>
      <c r="F46" s="82">
        <v>1</v>
      </c>
      <c r="G46" s="83" t="s">
        <v>1995</v>
      </c>
      <c r="H46" s="2194"/>
      <c r="I46" s="2194"/>
      <c r="J46" s="2839" t="s">
        <v>1827</v>
      </c>
      <c r="K46" s="2839"/>
      <c r="L46" s="2839"/>
      <c r="M46" s="2839"/>
      <c r="N46" s="2839"/>
      <c r="O46" s="2839"/>
      <c r="P46" s="1845"/>
    </row>
    <row r="47" spans="1:16" ht="14.25" customHeight="1">
      <c r="A47" s="2919" t="s">
        <v>1828</v>
      </c>
      <c r="B47" s="2920"/>
      <c r="C47" s="2920"/>
      <c r="D47" s="2920"/>
      <c r="E47" s="2920"/>
      <c r="F47" s="2920"/>
      <c r="G47" s="2921"/>
      <c r="H47" s="2256"/>
      <c r="I47" s="1144"/>
      <c r="J47" s="1883">
        <v>1</v>
      </c>
      <c r="K47" s="2839" t="s">
        <v>1829</v>
      </c>
      <c r="L47" s="2839"/>
      <c r="M47" s="2954"/>
      <c r="N47" s="2954"/>
      <c r="O47" s="2954"/>
      <c r="P47" s="1845"/>
    </row>
    <row r="48" spans="1:16" ht="12" customHeight="1">
      <c r="A48" s="85" t="s">
        <v>1830</v>
      </c>
      <c r="B48" s="86"/>
      <c r="C48" s="87"/>
      <c r="D48" s="88" t="s">
        <v>1831</v>
      </c>
      <c r="E48" s="14" t="s">
        <v>1832</v>
      </c>
      <c r="F48" s="89" t="s">
        <v>1833</v>
      </c>
      <c r="G48" s="90" t="s">
        <v>1834</v>
      </c>
      <c r="H48" s="2256"/>
      <c r="I48" s="1144"/>
      <c r="J48" s="1883">
        <v>2</v>
      </c>
      <c r="K48" s="2839" t="s">
        <v>1835</v>
      </c>
      <c r="L48" s="2839"/>
      <c r="M48" s="2841">
        <f>'数据-取费表'!B2</f>
        <v>43298</v>
      </c>
      <c r="N48" s="2841"/>
      <c r="O48" s="2841"/>
      <c r="P48" s="1845"/>
    </row>
    <row r="49" spans="1:16" ht="25.5">
      <c r="A49" s="2925" t="s">
        <v>1836</v>
      </c>
      <c r="B49" s="2926"/>
      <c r="C49" s="2926"/>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839" t="s">
        <v>1839</v>
      </c>
      <c r="L49" s="2839"/>
      <c r="M49" s="2840">
        <f>I103</f>
        <v>0</v>
      </c>
      <c r="N49" s="2840"/>
      <c r="O49" s="2840"/>
      <c r="P49" s="1845"/>
    </row>
    <row r="50" spans="1:16" ht="25.5" customHeight="1">
      <c r="A50" s="92" t="s">
        <v>1840</v>
      </c>
      <c r="B50" s="2906" t="s">
        <v>1841</v>
      </c>
      <c r="C50" s="2906"/>
      <c r="D50" s="93">
        <v>0</v>
      </c>
      <c r="E50" s="13" t="s">
        <v>1842</v>
      </c>
      <c r="F50" s="18" t="s">
        <v>48</v>
      </c>
      <c r="G50" s="2830"/>
      <c r="H50" s="2194"/>
      <c r="I50" s="2259"/>
      <c r="J50" s="1883">
        <v>4</v>
      </c>
      <c r="K50" s="2839" t="str">
        <f>IF(项目基本情况!F5="房地产抵押价值","房地产抵押价值","抵押担保权已注销时的房地产抵押价值")</f>
        <v>抵押担保权已注销时的房地产抵押价值</v>
      </c>
      <c r="L50" s="2839"/>
      <c r="M50" s="2840" t="str">
        <f>IF(项目基本情况!F5="房地产抵押价值",I111,I113)</f>
        <v>——</v>
      </c>
      <c r="N50" s="2840"/>
      <c r="O50" s="2840"/>
      <c r="P50" s="1845"/>
    </row>
    <row r="51" spans="1:16" ht="25.5" customHeight="1">
      <c r="A51" s="94"/>
      <c r="B51" s="2906" t="s">
        <v>1843</v>
      </c>
      <c r="C51" s="2906"/>
      <c r="D51" s="95"/>
      <c r="E51" s="21"/>
      <c r="F51" s="96"/>
      <c r="G51" s="2831"/>
      <c r="H51" s="2194"/>
      <c r="I51" s="2259"/>
      <c r="J51" s="2839" t="s">
        <v>1844</v>
      </c>
      <c r="K51" s="2839"/>
      <c r="L51" s="2839"/>
      <c r="M51" s="2839"/>
      <c r="N51" s="2839"/>
      <c r="O51" s="2839"/>
      <c r="P51" s="1845"/>
    </row>
    <row r="52" spans="1:16" ht="12" customHeight="1">
      <c r="A52" s="97"/>
      <c r="B52" s="2906" t="s">
        <v>1845</v>
      </c>
      <c r="C52" s="2906"/>
      <c r="D52" s="98"/>
      <c r="E52" s="20"/>
      <c r="F52" s="96"/>
      <c r="G52" s="2832"/>
      <c r="H52" s="2194"/>
      <c r="I52" s="2259"/>
      <c r="J52" s="2260" t="s">
        <v>1846</v>
      </c>
      <c r="K52" s="2839" t="s">
        <v>1847</v>
      </c>
      <c r="L52" s="2839"/>
      <c r="M52" s="2260" t="s">
        <v>1848</v>
      </c>
      <c r="N52" s="2260" t="s">
        <v>1849</v>
      </c>
      <c r="O52" s="2260" t="s">
        <v>1850</v>
      </c>
      <c r="P52" s="1845"/>
    </row>
    <row r="53" spans="1:16" ht="24" customHeight="1">
      <c r="A53" s="99" t="s">
        <v>1851</v>
      </c>
      <c r="B53" s="2906" t="s">
        <v>1852</v>
      </c>
      <c r="C53" s="2906"/>
      <c r="D53" s="98">
        <f>ROUND(D46*'数据-取费表'!E29/(1+'数据-取费表'!F30),0)</f>
        <v>0</v>
      </c>
      <c r="E53" s="10" t="s">
        <v>1853</v>
      </c>
      <c r="F53" s="100">
        <f>'数据-取费表'!E29</f>
        <v>5.6000000000000001E-2</v>
      </c>
      <c r="G53" s="2261"/>
      <c r="H53" s="2194"/>
      <c r="I53" s="2259"/>
      <c r="J53" s="1883">
        <v>1</v>
      </c>
      <c r="K53" s="2829" t="s">
        <v>1854</v>
      </c>
      <c r="L53" s="2829"/>
      <c r="M53" s="778">
        <f>D49</f>
        <v>0</v>
      </c>
      <c r="N53" s="1883" t="str">
        <f>E49</f>
        <v>销售额×税（费）率</v>
      </c>
      <c r="O53" s="779">
        <f>F49</f>
        <v>5.6000000000000001E-2</v>
      </c>
      <c r="P53" s="1845"/>
    </row>
    <row r="54" spans="1:16" ht="12" customHeight="1">
      <c r="A54" s="99" t="s">
        <v>1855</v>
      </c>
      <c r="B54" s="2905" t="s">
        <v>1856</v>
      </c>
      <c r="C54" s="2799"/>
      <c r="D54" s="98">
        <f>ROUND(D46*'数据-取费表'!E29/(1+'数据-取费表'!F30),0)</f>
        <v>0</v>
      </c>
      <c r="E54" s="10" t="s">
        <v>1853</v>
      </c>
      <c r="F54" s="100">
        <f>'数据-取费表'!E29</f>
        <v>5.6000000000000001E-2</v>
      </c>
      <c r="G54" s="2261"/>
      <c r="H54" s="2194"/>
      <c r="I54" s="2259"/>
      <c r="J54" s="1883">
        <v>2</v>
      </c>
      <c r="K54" s="2829" t="s">
        <v>1857</v>
      </c>
      <c r="L54" s="2829"/>
      <c r="M54" s="778">
        <f t="shared" ref="M54:O55" si="1">D56</f>
        <v>0</v>
      </c>
      <c r="N54" s="1883" t="str">
        <f t="shared" si="1"/>
        <v>销售额×税（费）率</v>
      </c>
      <c r="O54" s="779">
        <f t="shared" si="1"/>
        <v>5.0000000000000001E-4</v>
      </c>
      <c r="P54" s="1845"/>
    </row>
    <row r="55" spans="1:16" ht="12" customHeight="1">
      <c r="A55" s="99" t="s">
        <v>1858</v>
      </c>
      <c r="B55" s="2905" t="s">
        <v>1859</v>
      </c>
      <c r="C55" s="2799"/>
      <c r="D55" s="98">
        <f>C69</f>
        <v>0</v>
      </c>
      <c r="E55" s="20" t="s">
        <v>1860</v>
      </c>
      <c r="F55" s="100">
        <f>'数据-取费表'!E29</f>
        <v>5.6000000000000001E-2</v>
      </c>
      <c r="G55" s="2261"/>
      <c r="H55" s="2262"/>
      <c r="I55" s="2259"/>
      <c r="J55" s="1883">
        <v>3</v>
      </c>
      <c r="K55" s="2829" t="s">
        <v>1861</v>
      </c>
      <c r="L55" s="2829"/>
      <c r="M55" s="778">
        <f t="shared" si="1"/>
        <v>0</v>
      </c>
      <c r="N55" s="1883" t="str">
        <f t="shared" si="1"/>
        <v>增值额×税（费）率</v>
      </c>
      <c r="O55" s="780" t="str">
        <f t="shared" si="1"/>
        <v>——</v>
      </c>
      <c r="P55" s="1845"/>
    </row>
    <row r="56" spans="1:16" ht="24" customHeight="1">
      <c r="A56" s="2791" t="s">
        <v>1862</v>
      </c>
      <c r="B56" s="2926"/>
      <c r="C56" s="2926"/>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29" t="str">
        <f>IF(H60="非个人房产","——","个人所得税")</f>
        <v>——</v>
      </c>
      <c r="L56" s="2829"/>
      <c r="M56" s="781" t="str">
        <f>D60</f>
        <v>——</v>
      </c>
      <c r="N56" s="1886" t="str">
        <f>E60</f>
        <v>——</v>
      </c>
      <c r="O56" s="782" t="str">
        <f>F60</f>
        <v>——</v>
      </c>
      <c r="P56" s="1845"/>
    </row>
    <row r="57" spans="1:16" ht="24.75">
      <c r="A57" s="2791" t="s">
        <v>1865</v>
      </c>
      <c r="B57" s="2926"/>
      <c r="C57" s="2926"/>
      <c r="D57" s="101">
        <f>IF(H57="个人住宅",D58,D59)</f>
        <v>0</v>
      </c>
      <c r="E57" s="10" t="s">
        <v>1866</v>
      </c>
      <c r="F57" s="100" t="str">
        <f>IF(H57="正常",F59,"免征")</f>
        <v>——</v>
      </c>
      <c r="G57" s="2263" t="s">
        <v>1867</v>
      </c>
      <c r="H57" s="2264" t="s">
        <v>1864</v>
      </c>
      <c r="I57" s="1022"/>
      <c r="J57" s="1883" t="str">
        <f>IF(项目基本情况!I6="上海银行",IF(J56="",4,J56+1),"")</f>
        <v/>
      </c>
      <c r="K57" s="2846" t="str">
        <f>IF(项目基本情况!I6="上海银行","其他处置费用","")</f>
        <v/>
      </c>
      <c r="L57" s="2847"/>
      <c r="M57" s="778" t="str">
        <f>IF(项目基本情况!I6="上海银行",M70,"")</f>
        <v/>
      </c>
      <c r="N57" s="2827" t="str">
        <f>IF(项目基本情况!I6="上海银行","包含处置中涉及的律师、诉讼、拍卖、评估等费用","")</f>
        <v/>
      </c>
      <c r="O57" s="2828"/>
      <c r="P57" s="1845"/>
    </row>
    <row r="58" spans="1:16" ht="12.75">
      <c r="A58" s="99" t="s">
        <v>1840</v>
      </c>
      <c r="B58" s="2914" t="s">
        <v>1868</v>
      </c>
      <c r="C58" s="2916"/>
      <c r="D58" s="103">
        <v>0</v>
      </c>
      <c r="E58" s="13" t="s">
        <v>1842</v>
      </c>
      <c r="F58" s="70"/>
      <c r="G58" s="2261"/>
      <c r="H58" s="1022"/>
      <c r="I58" s="1022"/>
      <c r="J58" s="2829">
        <f>IF(AND(J56="",J57=""),4,IF(项目基本情况!I6="上海银行",J57+1,J56+1))</f>
        <v>4</v>
      </c>
      <c r="K58" s="2829" t="s">
        <v>1869</v>
      </c>
      <c r="L58" s="2265" t="s">
        <v>1870</v>
      </c>
      <c r="M58" s="783"/>
      <c r="N58" s="784">
        <f>SUMIF(M53:M57,"&lt;9e307")</f>
        <v>0</v>
      </c>
      <c r="O58" s="2266"/>
      <c r="P58" s="1841" t="e">
        <f>N58/M50</f>
        <v>#VALUE!</v>
      </c>
    </row>
    <row r="59" spans="1:16" ht="24.75">
      <c r="A59" s="99" t="s">
        <v>1851</v>
      </c>
      <c r="B59" s="2914" t="s">
        <v>1871</v>
      </c>
      <c r="C59" s="2915"/>
      <c r="D59" s="101">
        <f>IF(H59="转让取得",C82,C98)</f>
        <v>0</v>
      </c>
      <c r="E59" s="10" t="s">
        <v>1866</v>
      </c>
      <c r="F59" s="14" t="s">
        <v>48</v>
      </c>
      <c r="G59" s="2261"/>
      <c r="H59" s="2264" t="s">
        <v>1872</v>
      </c>
      <c r="I59" s="1022"/>
      <c r="J59" s="2829"/>
      <c r="K59" s="2829"/>
      <c r="L59" s="2265" t="s">
        <v>1873</v>
      </c>
      <c r="M59" s="785"/>
      <c r="N59" s="2267" t="str">
        <f>IF(H19="元",NUMBERSTRING(INT(N58),2)&amp;"元整",NUMBERSTRING(INT(N58*10000),2)&amp;"元整")</f>
        <v>零元整</v>
      </c>
      <c r="O59" s="2268"/>
      <c r="P59" s="1845"/>
    </row>
    <row r="60" spans="1:16" ht="24.75" thickBot="1">
      <c r="A60" s="2792" t="s">
        <v>1874</v>
      </c>
      <c r="B60" s="2795"/>
      <c r="C60" s="2795"/>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883">
        <f>J58+1</f>
        <v>5</v>
      </c>
      <c r="K60" s="2829" t="s">
        <v>1876</v>
      </c>
      <c r="L60" s="1883" t="s">
        <v>1870</v>
      </c>
      <c r="M60" s="786"/>
      <c r="N60" s="787" t="e">
        <f>M50-N58</f>
        <v>#VALUE!</v>
      </c>
      <c r="O60" s="2270"/>
      <c r="P60" s="1845"/>
    </row>
    <row r="61" spans="1:16" ht="12" customHeight="1">
      <c r="A61" s="2067"/>
      <c r="B61" s="2194"/>
      <c r="C61" s="2194"/>
      <c r="D61" s="2194"/>
      <c r="E61" s="1022"/>
      <c r="F61" s="1022"/>
      <c r="G61" s="1022"/>
      <c r="H61" s="2247"/>
      <c r="I61" s="2194"/>
      <c r="J61" s="2884"/>
      <c r="K61" s="2829"/>
      <c r="L61" s="2265" t="s">
        <v>1873</v>
      </c>
      <c r="M61" s="785"/>
      <c r="N61" s="2267" t="e">
        <f>IF(H19="元",NUMBERSTRING(INT(N60),2)&amp;"元整",NUMBERSTRING(INT(N60*10000),2)&amp;"元整")</f>
        <v>#VALUE!</v>
      </c>
      <c r="O61" s="2268"/>
      <c r="P61" s="1845"/>
    </row>
    <row r="62" spans="1:16" ht="13.5" thickBot="1">
      <c r="A62" s="2930" t="s">
        <v>1877</v>
      </c>
      <c r="B62" s="2930"/>
      <c r="C62" s="2930"/>
      <c r="D62" s="2930"/>
      <c r="E62" s="2930"/>
      <c r="F62" s="1022"/>
      <c r="G62" s="1022"/>
      <c r="H62" s="2247"/>
      <c r="I62" s="2194"/>
      <c r="J62" s="1883">
        <f>J60+1</f>
        <v>6</v>
      </c>
      <c r="K62" s="2829" t="s">
        <v>1878</v>
      </c>
      <c r="L62" s="2829"/>
      <c r="M62" s="788"/>
      <c r="N62" s="789" t="e">
        <f>IF(H19="元",ROUND(N60/项目基本情况!C12,0),ROUND(N60*10000/项目基本情况!C12,0))</f>
        <v>#VALUE!</v>
      </c>
      <c r="O62" s="2271"/>
      <c r="P62" s="1845"/>
    </row>
    <row r="63" spans="1:16" ht="12.75">
      <c r="A63" s="2867" t="s">
        <v>1879</v>
      </c>
      <c r="B63" s="2868"/>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48"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48"/>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48"/>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48"/>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48"/>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848"/>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48"/>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69" t="s">
        <v>1899</v>
      </c>
      <c r="B71" s="2870"/>
      <c r="C71" s="2870"/>
      <c r="D71" s="2870"/>
      <c r="E71" s="2870"/>
      <c r="F71" s="2870"/>
      <c r="G71" s="2870"/>
      <c r="H71" s="287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67" t="s">
        <v>1879</v>
      </c>
      <c r="B72" s="2868"/>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05" t="s">
        <v>1909</v>
      </c>
      <c r="F77" s="2906"/>
      <c r="G77" s="2906"/>
      <c r="H77" s="2907"/>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36" t="s">
        <v>1914</v>
      </c>
      <c r="F79" s="2837"/>
      <c r="G79" s="2837"/>
      <c r="H79" s="285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69" t="s">
        <v>1918</v>
      </c>
      <c r="B84" s="2870"/>
      <c r="C84" s="2870"/>
      <c r="D84" s="2870"/>
      <c r="E84" s="2870"/>
      <c r="F84" s="2870"/>
      <c r="G84" s="2870"/>
      <c r="H84" s="287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67" t="s">
        <v>1879</v>
      </c>
      <c r="B85" s="2868"/>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36" t="s">
        <v>1926</v>
      </c>
      <c r="F92" s="2837"/>
      <c r="G92" s="2837"/>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36" t="s">
        <v>1929</v>
      </c>
      <c r="F93" s="2837"/>
      <c r="G93" s="2837"/>
      <c r="H93" s="285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36" t="s">
        <v>1914</v>
      </c>
      <c r="F94" s="2837"/>
      <c r="G94" s="2837"/>
      <c r="H94" s="285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36" t="s">
        <v>1931</v>
      </c>
      <c r="F95" s="2837"/>
      <c r="G95" s="2837"/>
      <c r="H95" s="285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54" t="s">
        <v>1933</v>
      </c>
      <c r="B100" s="2855"/>
      <c r="C100" s="2855"/>
      <c r="D100" s="2856"/>
      <c r="E100" s="2194"/>
      <c r="F100" s="2864" t="s">
        <v>1934</v>
      </c>
      <c r="G100" s="2865"/>
      <c r="H100" s="2865"/>
      <c r="I100" s="2866"/>
    </row>
    <row r="101" spans="1:35" ht="15.75">
      <c r="A101" s="2871" t="s">
        <v>1935</v>
      </c>
      <c r="B101" s="2872"/>
      <c r="C101" s="720">
        <f>C4</f>
        <v>0</v>
      </c>
      <c r="D101" s="721">
        <f>D4</f>
        <v>0</v>
      </c>
      <c r="E101" s="2194"/>
      <c r="F101" s="2873" t="s">
        <v>1936</v>
      </c>
      <c r="G101" s="2875"/>
      <c r="H101" s="2956" t="s">
        <v>1937</v>
      </c>
      <c r="I101" s="2874"/>
    </row>
    <row r="102" spans="1:35" ht="15.75">
      <c r="A102" s="2957" t="s">
        <v>1997</v>
      </c>
      <c r="B102" s="2289" t="str">
        <f>IF(H19="元","总价（元）","总价（万元）")</f>
        <v>总价（元）</v>
      </c>
      <c r="C102" s="720" t="e">
        <f ca="1">C19</f>
        <v>#REF!</v>
      </c>
      <c r="D102" s="721" t="e">
        <f ca="1">D19</f>
        <v>#REF!</v>
      </c>
      <c r="E102" s="2194"/>
      <c r="F102" s="2958"/>
      <c r="G102" s="2959"/>
      <c r="H102" s="2934">
        <f>典型户型修正!B25</f>
        <v>0</v>
      </c>
      <c r="I102" s="2874"/>
    </row>
    <row r="103" spans="1:35" ht="15.75">
      <c r="A103" s="2957"/>
      <c r="B103" s="2289" t="s">
        <v>1939</v>
      </c>
      <c r="C103" s="722" t="e">
        <f ca="1">C20</f>
        <v>#REF!</v>
      </c>
      <c r="D103" s="723" t="e">
        <f ca="1">D20</f>
        <v>#REF!</v>
      </c>
      <c r="E103" s="2194"/>
      <c r="F103" s="2948" t="s">
        <v>1940</v>
      </c>
      <c r="G103" s="2949"/>
      <c r="H103" s="2290" t="str">
        <f>C109</f>
        <v>总价（元）</v>
      </c>
      <c r="I103" s="1862">
        <f>H124</f>
        <v>0</v>
      </c>
    </row>
    <row r="104" spans="1:35" ht="15">
      <c r="A104" s="2957" t="s">
        <v>1998</v>
      </c>
      <c r="B104" s="2291" t="str">
        <f>B102</f>
        <v>总价（元）</v>
      </c>
      <c r="C104" s="1190" t="e">
        <f ca="1">ROUND(IF('数据-取费表'!B4="总价",G19,IF(H19="元",G20*'数据-取费表'!E5,G20*'数据-取费表'!E5/10000)),0)</f>
        <v>#REF!</v>
      </c>
      <c r="D104" s="725"/>
      <c r="E104" s="2194"/>
      <c r="F104" s="2948"/>
      <c r="G104" s="2949"/>
      <c r="H104" s="2290" t="s">
        <v>1939</v>
      </c>
      <c r="I104" s="1050" t="e">
        <f>I124</f>
        <v>#DIV/0!</v>
      </c>
    </row>
    <row r="105" spans="1:35" ht="15.75">
      <c r="A105" s="2957"/>
      <c r="B105" s="2289" t="s">
        <v>1939</v>
      </c>
      <c r="C105" s="1191" t="e">
        <f ca="1">ROUND(IF('数据-取费表'!B4="楼面单价",G20,IF(H19="元",G19/'数据-取费表'!E5,G19*10000/'数据-取费表'!E5)),0)</f>
        <v>#REF!</v>
      </c>
      <c r="D105" s="725"/>
      <c r="E105" s="2194"/>
      <c r="F105" s="2860"/>
      <c r="G105" s="2861"/>
      <c r="H105" s="2895"/>
      <c r="I105" s="2896"/>
    </row>
    <row r="106" spans="1:35" ht="15.75">
      <c r="A106" s="2964" t="s">
        <v>1999</v>
      </c>
      <c r="B106" s="2329" t="str">
        <f>B102</f>
        <v>总价（元）</v>
      </c>
      <c r="C106" s="724">
        <f>H124</f>
        <v>0</v>
      </c>
      <c r="D106" s="1189"/>
      <c r="E106" s="2194"/>
      <c r="F106" s="2899" t="s">
        <v>1943</v>
      </c>
      <c r="G106" s="2900"/>
      <c r="H106" s="2293" t="str">
        <f>C111</f>
        <v>总额（元）</v>
      </c>
      <c r="I106" s="1862">
        <f>SUMIF(I107:I109,"&lt;9E307")</f>
        <v>0</v>
      </c>
    </row>
    <row r="107" spans="1:35" ht="15.75" thickBot="1">
      <c r="A107" s="2894"/>
      <c r="B107" s="2292" t="s">
        <v>1939</v>
      </c>
      <c r="C107" s="726" t="e">
        <f>I124</f>
        <v>#DIV/0!</v>
      </c>
      <c r="D107" s="727"/>
      <c r="E107" s="2194"/>
      <c r="F107" s="2862" t="s">
        <v>1945</v>
      </c>
      <c r="G107" s="2863"/>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60" t="s">
        <v>1942</v>
      </c>
      <c r="B108" s="2961"/>
      <c r="C108" s="2961"/>
      <c r="D108" s="2962"/>
      <c r="E108" s="2194"/>
      <c r="F108" s="2862" t="s">
        <v>1946</v>
      </c>
      <c r="G108" s="2863"/>
      <c r="H108" s="2293" t="str">
        <f>C113</f>
        <v>总额（元）</v>
      </c>
      <c r="I108" s="1050">
        <f>C38</f>
        <v>0</v>
      </c>
      <c r="K108" s="2294"/>
    </row>
    <row r="109" spans="1:35" ht="15">
      <c r="A109" s="2901" t="s">
        <v>2000</v>
      </c>
      <c r="B109" s="2902"/>
      <c r="C109" s="2290" t="str">
        <f>B102</f>
        <v>总价（元）</v>
      </c>
      <c r="D109" s="1051">
        <f>H124</f>
        <v>0</v>
      </c>
      <c r="E109" s="2194"/>
      <c r="F109" s="2862" t="s">
        <v>1948</v>
      </c>
      <c r="G109" s="2863"/>
      <c r="H109" s="2293" t="str">
        <f>C114</f>
        <v>总额（元）</v>
      </c>
      <c r="I109" s="1050">
        <f>C39</f>
        <v>0</v>
      </c>
    </row>
    <row r="110" spans="1:35" ht="15.75">
      <c r="A110" s="2901"/>
      <c r="B110" s="2902"/>
      <c r="C110" s="2290" t="s">
        <v>1939</v>
      </c>
      <c r="D110" s="1052" t="e">
        <f>I124</f>
        <v>#DIV/0!</v>
      </c>
      <c r="E110" s="2194"/>
      <c r="F110" s="2860"/>
      <c r="G110" s="2861"/>
      <c r="H110" s="2897"/>
      <c r="I110" s="2898"/>
    </row>
    <row r="111" spans="1:35" ht="28.5" customHeight="1">
      <c r="A111" s="2944" t="s">
        <v>1947</v>
      </c>
      <c r="B111" s="2945"/>
      <c r="C111" s="2293" t="str">
        <f>IF(H19="元","总额（元）","总额（万元）")</f>
        <v>总额（元）</v>
      </c>
      <c r="D111" s="1051">
        <f>IF(D37="正常操作",I107+I108+I109,I108+I109)</f>
        <v>0</v>
      </c>
      <c r="E111" s="2194"/>
      <c r="F111" s="2842" t="str">
        <f>IF(项目基本情况!F5="已注销","——","3.房地产抵押价值")</f>
        <v>3.房地产抵押价值</v>
      </c>
      <c r="G111" s="2843"/>
      <c r="H111" s="2330" t="str">
        <f>C115</f>
        <v>总价（元）</v>
      </c>
      <c r="I111" s="1862">
        <f>IF(F111="——","——",I103-I106)</f>
        <v>0</v>
      </c>
    </row>
    <row r="112" spans="1:35" ht="15">
      <c r="A112" s="2862" t="s">
        <v>1945</v>
      </c>
      <c r="B112" s="2863"/>
      <c r="C112" s="2293" t="str">
        <f>C111</f>
        <v>总额（元）</v>
      </c>
      <c r="D112" s="637">
        <f>IF(D37="同一抵押权人同一抵押物续贷",C37&amp;"（未扣减，详见特别提示）",C37)</f>
        <v>0</v>
      </c>
      <c r="E112" s="2194"/>
      <c r="F112" s="2844"/>
      <c r="G112" s="2845"/>
      <c r="H112" s="2290" t="s">
        <v>1939</v>
      </c>
      <c r="I112" s="2296" t="e">
        <f>D116</f>
        <v>#DIV/0!</v>
      </c>
    </row>
    <row r="113" spans="1:26" ht="15.75">
      <c r="A113" s="2862" t="s">
        <v>1946</v>
      </c>
      <c r="B113" s="2863"/>
      <c r="C113" s="2293" t="str">
        <f>C111</f>
        <v>总额（元）</v>
      </c>
      <c r="D113" s="637">
        <f>C38</f>
        <v>0</v>
      </c>
      <c r="E113" s="2194"/>
      <c r="F113" s="2842" t="str">
        <f>IF(项目基本情况!F5="已注销及未注销","4.抵押担保权已注销时的房地产抵押价值",IF(项目基本情况!F5="已注销","3.抵押担保权已注销时的房地产抵押价值","——"))</f>
        <v>——</v>
      </c>
      <c r="G113" s="2843"/>
      <c r="H113" s="2330" t="str">
        <f>C117</f>
        <v>总价（元）</v>
      </c>
      <c r="I113" s="1862" t="str">
        <f>IF(F113="——","——",I103-I108-I109)</f>
        <v>——</v>
      </c>
    </row>
    <row r="114" spans="1:26" ht="15">
      <c r="A114" s="2862" t="s">
        <v>1948</v>
      </c>
      <c r="B114" s="2863"/>
      <c r="C114" s="2293" t="str">
        <f>C111</f>
        <v>总额（元）</v>
      </c>
      <c r="D114" s="637">
        <f>C39</f>
        <v>0</v>
      </c>
      <c r="E114" s="2194"/>
      <c r="F114" s="2844"/>
      <c r="G114" s="2845"/>
      <c r="H114" s="2290" t="s">
        <v>1939</v>
      </c>
      <c r="I114" s="1050" t="str">
        <f>D118</f>
        <v>——</v>
      </c>
    </row>
    <row r="115" spans="1:26" ht="15.75">
      <c r="A115" s="2901" t="str">
        <f>IF(项目基本情况!F5="已注销","——","3.房地产抵押价值")</f>
        <v>3.房地产抵押价值</v>
      </c>
      <c r="B115" s="2902"/>
      <c r="C115" s="2290" t="str">
        <f>B102</f>
        <v>总价（元）</v>
      </c>
      <c r="D115" s="1051">
        <f>IF(A115="——","——",D109-D111)</f>
        <v>0</v>
      </c>
      <c r="E115" s="2194"/>
      <c r="F115" s="2842" t="str">
        <f>IF(项目基本情况!G5="抵押净值",IF(OR(项目基本情况!F5="已注销",项目基本情况!F5="房地产抵押价值"),"4.抵押净值","5.抵押净值"),"——")</f>
        <v>——</v>
      </c>
      <c r="G115" s="2843"/>
      <c r="H115" s="2290" t="str">
        <f>C119</f>
        <v>总价（元）</v>
      </c>
      <c r="I115" s="1862" t="str">
        <f>IF(F115="——","——",N60)</f>
        <v>——</v>
      </c>
    </row>
    <row r="116" spans="1:26" ht="15.75" thickBot="1">
      <c r="A116" s="2901"/>
      <c r="B116" s="2902"/>
      <c r="C116" s="2290" t="s">
        <v>2001</v>
      </c>
      <c r="D116" s="1052" t="e">
        <f>ROUND(IF(D115=D109,D110,IF(H19="元",D115/B124,D115*10000/B124)),0)</f>
        <v>#DIV/0!</v>
      </c>
      <c r="E116" s="2194"/>
      <c r="F116" s="2935"/>
      <c r="G116" s="2936"/>
      <c r="H116" s="2298" t="s">
        <v>2001</v>
      </c>
      <c r="I116" s="1864" t="str">
        <f>D120</f>
        <v>——</v>
      </c>
    </row>
    <row r="117" spans="1:26" ht="15.75">
      <c r="A117" s="2901" t="str">
        <f>IF(项目基本情况!F5="已注销及未注销","4.抵押担保权已注销时的房地产抵押价值",IF(项目基本情况!F5="已注销","3.抵押担保权已注销时的房地产抵押价值","——"))</f>
        <v>——</v>
      </c>
      <c r="B117" s="2902"/>
      <c r="C117" s="2290" t="str">
        <f>B102</f>
        <v>总价（元）</v>
      </c>
      <c r="D117" s="1051" t="str">
        <f>IF(A117="——","——",D109-D113-D114)</f>
        <v>——</v>
      </c>
      <c r="E117" s="2194"/>
      <c r="F117" s="2838"/>
      <c r="G117" s="2838"/>
      <c r="H117" s="2880"/>
      <c r="I117" s="2880"/>
      <c r="N117" s="55"/>
      <c r="O117" s="55"/>
    </row>
    <row r="118" spans="1:26" s="1845" customFormat="1" ht="15">
      <c r="A118" s="2901"/>
      <c r="B118" s="2902"/>
      <c r="C118" s="2290" t="s">
        <v>2001</v>
      </c>
      <c r="D118" s="1052" t="str">
        <f>IF(A117="——","——",IF(H19="元",ROUND(D117/B124,0),ROUND(D117*10000/B124,0)))</f>
        <v>——</v>
      </c>
      <c r="E118" s="2194"/>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8"/>
      <c r="K118" s="798"/>
      <c r="L118" s="798"/>
      <c r="M118" s="798"/>
      <c r="N118" s="55"/>
      <c r="O118" s="55"/>
      <c r="P118" s="798"/>
      <c r="Q118" s="798"/>
      <c r="R118" s="798"/>
      <c r="S118" s="798"/>
      <c r="T118" s="798"/>
      <c r="U118" s="798"/>
      <c r="V118" s="798"/>
      <c r="W118" s="798"/>
      <c r="X118" s="798"/>
      <c r="Y118" s="798"/>
      <c r="Z118" s="798"/>
    </row>
    <row r="119" spans="1:26" s="1845" customFormat="1" ht="15">
      <c r="A119" s="2901" t="str">
        <f>IF(项目基本情况!G5="抵押净值",IF(OR(项目基本情况!F5="已注销",项目基本情况!F5="房地产抵押价值"),"4.抵押净值","5.抵押净值"),"——")</f>
        <v>——</v>
      </c>
      <c r="B119" s="2902"/>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2"/>
      <c r="B120" s="2943"/>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81" t="s">
        <v>2002</v>
      </c>
      <c r="B121" s="2882"/>
      <c r="C121" s="2882"/>
      <c r="D121" s="2882"/>
      <c r="E121" s="2882"/>
      <c r="F121" s="2882"/>
      <c r="G121" s="2882"/>
      <c r="H121" s="2882"/>
      <c r="I121" s="288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3" t="s">
        <v>1950</v>
      </c>
      <c r="B122" s="2851" t="s">
        <v>2003</v>
      </c>
      <c r="C122" s="2851" t="s">
        <v>2004</v>
      </c>
      <c r="D122" s="2858" t="s">
        <v>1953</v>
      </c>
      <c r="E122" s="2859"/>
      <c r="F122" s="2849" t="s">
        <v>2005</v>
      </c>
      <c r="G122" s="2849"/>
      <c r="H122" s="2849" t="s">
        <v>1954</v>
      </c>
      <c r="I122" s="285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3"/>
      <c r="B123" s="2852"/>
      <c r="C123" s="2852"/>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3" t="s">
        <v>1958</v>
      </c>
      <c r="B125" s="2849"/>
      <c r="C125" s="2849"/>
      <c r="D125" s="2885" t="str">
        <f>IF(H19="元",NUMBERSTRING(INT(D124),2)&amp;"元整",NUMBERSTRING(INT(D124*10000),2)&amp;"元整")</f>
        <v>零元整</v>
      </c>
      <c r="E125" s="2886"/>
      <c r="F125" s="2885" t="str">
        <f>IF(H19="元",NUMBERSTRING(INT(F124),2)&amp;"元整",NUMBERSTRING(INT(F124*10000),2)&amp;"元整")</f>
        <v>零元整</v>
      </c>
      <c r="G125" s="2886"/>
      <c r="H125" s="2885" t="str">
        <f>IF(H19="元",NUMBERSTRING(INT(H124),2)&amp;"元整",NUMBERSTRING(INT(H124*10000),2)&amp;"元整")</f>
        <v>零元整</v>
      </c>
      <c r="I125" s="295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7" t="str">
        <f>IF(项目基本情况!D5="房地产市场价值","——",MID(A111,3,LEN(A111)-2))</f>
        <v>——</v>
      </c>
      <c r="B126" s="2888"/>
      <c r="C126" s="2889"/>
      <c r="D126" s="2878">
        <f>I106</f>
        <v>0</v>
      </c>
      <c r="E126" s="2888"/>
      <c r="F126" s="2888"/>
      <c r="G126" s="2888"/>
      <c r="H126" s="2888"/>
      <c r="I126" s="293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0" t="s">
        <v>1958</v>
      </c>
      <c r="B127" s="2891"/>
      <c r="C127" s="2892"/>
      <c r="D127" s="2938">
        <f>H110</f>
        <v>0</v>
      </c>
      <c r="E127" s="2939"/>
      <c r="F127" s="2939"/>
      <c r="G127" s="2939"/>
      <c r="H127" s="2939"/>
      <c r="I127" s="294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6" t="str">
        <f>IF(项目基本情况!D5="房地产市场价值","——",MID(A115,3,LEN(A115)-2))</f>
        <v>——</v>
      </c>
      <c r="B128" s="2877"/>
      <c r="C128" s="2877"/>
      <c r="D128" s="2878">
        <f>I111</f>
        <v>0</v>
      </c>
      <c r="E128" s="2888"/>
      <c r="F128" s="2888"/>
      <c r="G128" s="2888"/>
      <c r="H128" s="2888"/>
      <c r="I128" s="293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3" t="s">
        <v>1958</v>
      </c>
      <c r="B129" s="2849"/>
      <c r="C129" s="2849"/>
      <c r="D129" s="2938" t="e">
        <f>I112</f>
        <v>#DIV/0!</v>
      </c>
      <c r="E129" s="2939"/>
      <c r="F129" s="2939"/>
      <c r="G129" s="2939"/>
      <c r="H129" s="2939"/>
      <c r="I129" s="294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6" t="str">
        <f>IF(项目基本情况!D5="房地产市场价值","——",MID(A117,3,LEN(A117)-2))</f>
        <v>——</v>
      </c>
      <c r="B130" s="2877"/>
      <c r="C130" s="2877"/>
      <c r="D130" s="2833" t="str">
        <f>I113</f>
        <v>——</v>
      </c>
      <c r="E130" s="2834"/>
      <c r="F130" s="2834"/>
      <c r="G130" s="2834"/>
      <c r="H130" s="2834"/>
      <c r="I130" s="283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3" t="s">
        <v>1958</v>
      </c>
      <c r="B131" s="2849"/>
      <c r="C131" s="2933"/>
      <c r="D131" s="2879" t="str">
        <f>I114</f>
        <v>——</v>
      </c>
      <c r="E131" s="2879"/>
      <c r="F131" s="2879"/>
      <c r="G131" s="2879"/>
      <c r="H131" s="2879"/>
      <c r="I131" s="287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6" t="str">
        <f>IF(项目基本情况!D5="房地产市场价值","——",MID(F115,3,LEN(F115)-2))</f>
        <v>——</v>
      </c>
      <c r="B132" s="2877"/>
      <c r="C132" s="2878"/>
      <c r="D132" s="2941" t="str">
        <f>I115</f>
        <v>——</v>
      </c>
      <c r="E132" s="2941"/>
      <c r="F132" s="2941"/>
      <c r="G132" s="2941"/>
      <c r="H132" s="2941"/>
      <c r="I132" s="294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51">
        <f>H117</f>
        <v>0</v>
      </c>
      <c r="E133" s="2952"/>
      <c r="F133" s="2952"/>
      <c r="G133" s="2952"/>
      <c r="H133" s="2952"/>
      <c r="I133" s="295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1" t="str">
        <f>IF(B32="总价","（以上估价结果中楼面单价为总价除以建筑面积得出）","（以上估价结果中总价为楼面单价乘以建筑面积得出）")</f>
        <v>（以上估价结果中总价为楼面单价乘以建筑面积得出）</v>
      </c>
      <c r="B135" s="2931"/>
      <c r="C135" s="2931"/>
      <c r="D135" s="2931"/>
      <c r="E135" s="2931"/>
      <c r="F135" s="2931"/>
      <c r="G135" s="2931"/>
      <c r="H135" s="2931"/>
      <c r="I135" s="293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2840</v>
      </c>
      <c r="C1" s="162"/>
      <c r="D1" s="162"/>
      <c r="E1" s="162"/>
      <c r="F1" s="162"/>
      <c r="G1" s="163"/>
    </row>
    <row r="2" spans="1:7" s="164" customFormat="1" ht="18" customHeight="1">
      <c r="A2" s="165" t="s">
        <v>2007</v>
      </c>
      <c r="B2" s="166">
        <f ca="1">IF(D2="——",IF(C2="元",C52,ROUND(C52/10000,0)),IF(C2="元",C52,ROUND(C52/10000,0))-E2)</f>
        <v>2085661</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87633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1528215</v>
      </c>
      <c r="D5" s="195" t="s">
        <v>2013</v>
      </c>
      <c r="E5" s="1532" t="s">
        <v>2014</v>
      </c>
      <c r="F5" s="1532" t="s">
        <v>2015</v>
      </c>
      <c r="G5" s="174"/>
    </row>
    <row r="6" spans="1:7" s="175" customFormat="1" ht="13.5" customHeight="1">
      <c r="A6" s="176" t="s">
        <v>2016</v>
      </c>
      <c r="B6" s="177" t="s">
        <v>2017</v>
      </c>
      <c r="C6" s="1531">
        <f ca="1">基准地价修正!E29</f>
        <v>1479289</v>
      </c>
      <c r="D6" s="1533"/>
      <c r="E6" s="1534"/>
      <c r="F6" s="1534"/>
      <c r="G6" s="179"/>
    </row>
    <row r="7" spans="1:7" s="175" customFormat="1" ht="13.5" customHeight="1">
      <c r="A7" s="176" t="s">
        <v>2018</v>
      </c>
      <c r="B7" s="177" t="s">
        <v>2019</v>
      </c>
      <c r="C7" s="199">
        <f ca="1">ROUND(C6*F7,0)</f>
        <v>45118</v>
      </c>
      <c r="D7" s="199"/>
      <c r="E7" s="1534"/>
      <c r="F7" s="1535">
        <f>'数据-取费表'!E36+'数据-取费表'!E37</f>
        <v>3.0499999999999999E-2</v>
      </c>
      <c r="G7" s="179"/>
    </row>
    <row r="8" spans="1:7" s="180" customFormat="1">
      <c r="A8" s="176" t="s">
        <v>2020</v>
      </c>
      <c r="B8" s="177" t="s">
        <v>2021</v>
      </c>
      <c r="C8" s="199">
        <f>IF(G8="已包含在土地购买价格中","0",'数据-取费表'!E13)</f>
        <v>3808</v>
      </c>
      <c r="D8" s="1536"/>
      <c r="E8" s="199"/>
      <c r="F8" s="1535"/>
      <c r="G8" s="2334" t="s">
        <v>2841</v>
      </c>
    </row>
    <row r="9" spans="1:7" s="175" customFormat="1" ht="13.5" customHeight="1">
      <c r="A9" s="1304" t="s">
        <v>953</v>
      </c>
      <c r="B9" s="181" t="s">
        <v>2022</v>
      </c>
      <c r="C9" s="1537">
        <f>ROUND(D9*E9,0)</f>
        <v>3808</v>
      </c>
      <c r="D9" s="1538">
        <f>IF('数据-取费表'!B10="住宅",IF(B1="仅计算典型户型",'数据-取费表'!E5,'数据-取费表'!B5),0)</f>
        <v>23.8</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23.8</v>
      </c>
      <c r="E19" s="195">
        <f>'数据-取费表'!E15</f>
        <v>200</v>
      </c>
      <c r="F19" s="196"/>
      <c r="G19" s="2334" t="s">
        <v>2842</v>
      </c>
    </row>
    <row r="20" spans="1:7" s="175" customFormat="1" ht="13.5" customHeight="1">
      <c r="A20" s="204" t="s">
        <v>2035</v>
      </c>
      <c r="B20" s="173" t="s">
        <v>2036</v>
      </c>
      <c r="C20" s="183">
        <f ca="1">ROUND((C5+C19)*F20,0)</f>
        <v>30564</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33571</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33239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332</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311756</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311756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2064072</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32249</v>
      </c>
      <c r="D33" s="183"/>
      <c r="E33" s="1532"/>
      <c r="F33" s="191"/>
      <c r="G33" s="184"/>
    </row>
    <row r="34" spans="1:7" s="206" customFormat="1" ht="13.5" customHeight="1">
      <c r="A34" s="176" t="s">
        <v>2044</v>
      </c>
      <c r="B34" s="177" t="s">
        <v>2066</v>
      </c>
      <c r="C34" s="199">
        <f>IF(B1="仅计算典型户型",'数据-取费表'!F18,'数据-取费表'!E18)</f>
        <v>23800</v>
      </c>
      <c r="D34" s="1533"/>
      <c r="E34" s="199"/>
      <c r="F34" s="1544" t="str">
        <f>IF('数据-取费表'!B25=0,"",'数据-取费表'!E20)</f>
        <v/>
      </c>
      <c r="G34" s="179"/>
    </row>
    <row r="35" spans="1:7" ht="13.5" customHeight="1">
      <c r="A35" s="176" t="s">
        <v>2018</v>
      </c>
      <c r="B35" s="177" t="s">
        <v>2067</v>
      </c>
      <c r="C35" s="199">
        <f>ROUND(C34*F35,0)</f>
        <v>952</v>
      </c>
      <c r="D35" s="199"/>
      <c r="E35" s="199"/>
      <c r="F35" s="1545">
        <f>'数据-取费表'!E21</f>
        <v>0.04</v>
      </c>
      <c r="G35" s="179" t="s">
        <v>2068</v>
      </c>
    </row>
    <row r="36" spans="1:7" ht="24">
      <c r="A36" s="176" t="s">
        <v>2020</v>
      </c>
      <c r="B36" s="177" t="s">
        <v>2069</v>
      </c>
      <c r="C36" s="199">
        <f>ROUND(IF('数据-取费表'!B10="住宅",C34*F36,0),0)</f>
        <v>2380</v>
      </c>
      <c r="D36" s="199"/>
      <c r="E36" s="199"/>
      <c r="F36" s="1545">
        <f>'数据-取费表'!E22</f>
        <v>0.1</v>
      </c>
      <c r="G36" s="207" t="s">
        <v>2070</v>
      </c>
    </row>
    <row r="37" spans="1:7" s="206" customFormat="1" ht="13.5" customHeight="1">
      <c r="A37" s="176" t="s">
        <v>2051</v>
      </c>
      <c r="B37" s="177" t="s">
        <v>2071</v>
      </c>
      <c r="C37" s="199">
        <f>ROUND(E37*D37,0)</f>
        <v>4760</v>
      </c>
      <c r="D37" s="1533">
        <f>IF(B1="仅计算典型户型",'数据-取费表'!E5,'数据-取费表'!B5)</f>
        <v>23.8</v>
      </c>
      <c r="E37" s="199">
        <f>'数据-取费表'!E23</f>
        <v>200</v>
      </c>
      <c r="F37" s="1545"/>
      <c r="G37" s="208" t="s">
        <v>2072</v>
      </c>
    </row>
    <row r="38" spans="1:7" ht="13.5" customHeight="1">
      <c r="A38" s="176" t="s">
        <v>2073</v>
      </c>
      <c r="B38" s="177" t="s">
        <v>2074</v>
      </c>
      <c r="C38" s="199">
        <f>ROUND(C34*F38,0)</f>
        <v>357</v>
      </c>
      <c r="D38" s="199"/>
      <c r="E38" s="199"/>
      <c r="F38" s="1545">
        <f>'数据-取费表'!E24</f>
        <v>1.4999999999999999E-2</v>
      </c>
      <c r="G38" s="179" t="s">
        <v>2068</v>
      </c>
    </row>
    <row r="39" spans="1:7" s="175" customFormat="1" ht="13.5" customHeight="1">
      <c r="A39" s="204" t="s">
        <v>2033</v>
      </c>
      <c r="B39" s="173" t="s">
        <v>2036</v>
      </c>
      <c r="C39" s="183">
        <f>ROUND(C33*F20,0)</f>
        <v>645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358</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351</v>
      </c>
      <c r="D42" s="188"/>
      <c r="E42" s="188"/>
      <c r="F42" s="189"/>
      <c r="G42" s="2966" t="s">
        <v>2078</v>
      </c>
    </row>
    <row r="43" spans="1:7" ht="13.5" customHeight="1">
      <c r="A43" s="176" t="s">
        <v>2018</v>
      </c>
      <c r="B43" s="177" t="s">
        <v>2047</v>
      </c>
      <c r="C43" s="188">
        <f ca="1">ROUND(IF('数据-取费表'!B23&lt;=1,C39*F22*'数据-取费表'!B22/2,C39*(POWER((1+F22),'数据-取费表'!B22/2)-1)),0)</f>
        <v>7</v>
      </c>
      <c r="D43" s="188"/>
      <c r="E43" s="188"/>
      <c r="F43" s="189"/>
      <c r="G43" s="2967"/>
    </row>
    <row r="44" spans="1:7" ht="13.5" customHeight="1">
      <c r="A44" s="176" t="s">
        <v>2020</v>
      </c>
      <c r="B44" s="177" t="s">
        <v>2049</v>
      </c>
      <c r="C44" s="188">
        <f ca="1">ROUND(IF('数据-取费表'!B23&lt;=1,C40*F22*'数据-取费表'!B22/2,C40*(POWER((1+F22),'数据-取费表'!B22/2)-1)),4)</f>
        <v>2.0000000000000001E-4</v>
      </c>
      <c r="D44" s="188"/>
      <c r="E44" s="188"/>
      <c r="F44" s="189"/>
      <c r="G44" s="2968"/>
    </row>
    <row r="45" spans="1:7" s="175" customFormat="1" ht="13.5" customHeight="1">
      <c r="A45" s="204" t="s">
        <v>2042</v>
      </c>
      <c r="B45" s="194" t="s">
        <v>2054</v>
      </c>
      <c r="C45" s="195">
        <f>C46</f>
        <v>6579</v>
      </c>
      <c r="D45" s="185">
        <f>C47</f>
        <v>4.0000000000000001E-3</v>
      </c>
      <c r="E45" s="186" t="s">
        <v>2076</v>
      </c>
      <c r="F45" s="196"/>
      <c r="G45" s="197" t="s">
        <v>2079</v>
      </c>
    </row>
    <row r="46" spans="1:7" s="175" customFormat="1" ht="13.5" customHeight="1">
      <c r="A46" s="176" t="s">
        <v>2044</v>
      </c>
      <c r="B46" s="198" t="s">
        <v>2080</v>
      </c>
      <c r="C46" s="199">
        <f>ROUND((C33+C39)*F27,0)</f>
        <v>6579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43177</v>
      </c>
      <c r="D49" s="183"/>
      <c r="E49" s="183"/>
      <c r="F49" s="210"/>
      <c r="G49" s="184" t="s">
        <v>2086</v>
      </c>
    </row>
    <row r="50" spans="1:7" s="206" customFormat="1" ht="24">
      <c r="A50" s="1305" t="s">
        <v>2087</v>
      </c>
      <c r="B50" s="173" t="s">
        <v>2088</v>
      </c>
      <c r="C50" s="183"/>
      <c r="D50" s="183"/>
      <c r="E50" s="183"/>
      <c r="F50" s="210">
        <f>IF('数据-取费表'!B25=0,'数据-取费表'!E20,1)</f>
        <v>0.5</v>
      </c>
      <c r="G50" s="197" t="s">
        <v>2089</v>
      </c>
    </row>
    <row r="51" spans="1:7" ht="16.5" customHeight="1">
      <c r="A51" s="1305" t="s">
        <v>2090</v>
      </c>
      <c r="B51" s="173" t="s">
        <v>2091</v>
      </c>
      <c r="C51" s="183">
        <f ca="1">ROUND(C49*F50,0)</f>
        <v>21589</v>
      </c>
      <c r="D51" s="183"/>
      <c r="E51" s="183"/>
      <c r="F51" s="210"/>
      <c r="G51" s="184" t="s">
        <v>2092</v>
      </c>
    </row>
    <row r="52" spans="1:7" s="172" customFormat="1" ht="16.5" thickBot="1">
      <c r="A52" s="211" t="s">
        <v>2093</v>
      </c>
      <c r="B52" s="212"/>
      <c r="C52" s="213">
        <f ca="1">C31+C51</f>
        <v>2085661</v>
      </c>
      <c r="D52" s="212"/>
      <c r="E52" s="212"/>
      <c r="F52" s="212"/>
      <c r="G52" s="214"/>
    </row>
    <row r="55" spans="1:7" ht="15">
      <c r="B55" s="216" t="s">
        <v>2094</v>
      </c>
      <c r="C55" s="217"/>
    </row>
    <row r="56" spans="1:7">
      <c r="B56" s="219" t="s">
        <v>2095</v>
      </c>
      <c r="C56" s="220">
        <f ca="1">ROUND(C51/C52,3)</f>
        <v>0.01</v>
      </c>
    </row>
    <row r="57" spans="1:7">
      <c r="B57" s="219" t="s">
        <v>2096</v>
      </c>
      <c r="C57" s="221">
        <f ca="1">1-C56</f>
        <v>0.99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3775</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0.1</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-3808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-3808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-76</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-777</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-777</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3775</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5" sqref="C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2840</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1087788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45705</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24267</v>
      </c>
      <c r="D5" s="2336" t="s">
        <v>2106</v>
      </c>
      <c r="E5" s="1214"/>
      <c r="F5" s="1383"/>
      <c r="G5" s="1238"/>
      <c r="H5" s="316">
        <v>1</v>
      </c>
      <c r="I5" s="317" t="s">
        <v>2105</v>
      </c>
      <c r="J5" s="318">
        <f ca="1">J6+J10+J12</f>
        <v>0</v>
      </c>
      <c r="K5" s="2336" t="s">
        <v>2106</v>
      </c>
      <c r="L5" s="1214"/>
      <c r="M5" s="1383"/>
    </row>
    <row r="6" spans="1:37" ht="18" customHeight="1">
      <c r="A6" s="1384" t="s">
        <v>2107</v>
      </c>
      <c r="B6" s="2025" t="s">
        <v>2108</v>
      </c>
      <c r="C6" s="318">
        <f>ROUND(F6*F8*F7*(1-F9),0)</f>
        <v>24237</v>
      </c>
      <c r="D6" s="80" t="s">
        <v>2802</v>
      </c>
      <c r="E6" s="319" t="s">
        <v>2109</v>
      </c>
      <c r="F6" s="320">
        <f>'数据-取费表'!B29</f>
        <v>3.1</v>
      </c>
      <c r="G6" s="1238"/>
      <c r="H6" s="1384" t="s">
        <v>2107</v>
      </c>
      <c r="I6" s="2025"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23.8</v>
      </c>
      <c r="G7" s="1238"/>
      <c r="H7" s="321"/>
      <c r="I7" s="322"/>
      <c r="J7" s="323"/>
      <c r="K7" s="324"/>
      <c r="L7" s="319" t="s">
        <v>2110</v>
      </c>
      <c r="M7" s="320">
        <f>IF('数据-取费表'!B41="",IF(D1="仅计算典型户型",'数据-取费表'!E5,'数据-取费表'!B5),'数据-取费表'!B41)</f>
        <v>23.8</v>
      </c>
    </row>
    <row r="8" spans="1:37" ht="18" customHeight="1">
      <c r="A8" s="1447"/>
      <c r="B8" s="322"/>
      <c r="C8" s="323"/>
      <c r="D8" s="324"/>
      <c r="E8" s="319" t="s">
        <v>2111</v>
      </c>
      <c r="F8" s="320">
        <f>'数据-取费表'!B42</f>
        <v>365</v>
      </c>
      <c r="G8" s="1238"/>
      <c r="H8" s="321"/>
      <c r="I8" s="322"/>
      <c r="J8" s="323"/>
      <c r="K8" s="324"/>
      <c r="L8" s="319" t="s">
        <v>2112</v>
      </c>
      <c r="M8" s="320">
        <f>'数据-取费表'!B42</f>
        <v>365</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30</v>
      </c>
      <c r="D10" s="2338" t="s">
        <v>2810</v>
      </c>
      <c r="E10" s="330" t="s">
        <v>2116</v>
      </c>
      <c r="F10" s="2339" t="s">
        <v>2117</v>
      </c>
      <c r="G10" s="1238"/>
      <c r="H10" s="1384" t="s">
        <v>2114</v>
      </c>
      <c r="I10" s="2337" t="s">
        <v>2115</v>
      </c>
      <c r="J10" s="1385">
        <f ca="1">ROUND(IF(M10="押一",J6/12*M11,IF(M10="押二",J6/12*2*M11,IF(M10="押三",J6/12*3*M11,J11*M11))),0)</f>
        <v>0</v>
      </c>
      <c r="K10" s="80" t="s">
        <v>2810</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21589</v>
      </c>
      <c r="D13" s="1422" t="s">
        <v>2124</v>
      </c>
      <c r="E13" s="1422" t="s">
        <v>2125</v>
      </c>
      <c r="F13" s="1423">
        <f>'数据-取费表'!E20</f>
        <v>0.5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23800</v>
      </c>
      <c r="D14" s="1888" t="s">
        <v>2128</v>
      </c>
      <c r="E14" s="1889"/>
      <c r="F14" s="979"/>
      <c r="G14" s="1239"/>
      <c r="H14" s="337" t="s">
        <v>2107</v>
      </c>
      <c r="I14" s="319" t="s">
        <v>2129</v>
      </c>
      <c r="J14" s="14">
        <f ca="1">C29</f>
        <v>43177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952</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2380</v>
      </c>
      <c r="D16" s="319" t="s">
        <v>2132</v>
      </c>
      <c r="E16" s="319" t="s">
        <v>2133</v>
      </c>
      <c r="F16" s="342">
        <f>IF('数据-取费表'!B10="住宅",'数据-取费表'!E22,0)</f>
        <v>0.1</v>
      </c>
      <c r="G16" s="1239"/>
      <c r="H16" s="1420" t="s">
        <v>14</v>
      </c>
      <c r="I16" s="1421" t="s">
        <v>2138</v>
      </c>
      <c r="J16" s="327">
        <f ca="1">ROUND(J17+J22+J23+J24,0)</f>
        <v>648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4760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357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32249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648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358</v>
      </c>
      <c r="D23" s="2008" t="str">
        <f>IF(F23&lt;=1,"(建造成本+管理费用)×利率×(建设周期÷2)","(建造成本+管理费用)×((1+利率)^(建设周期÷2)-1)")</f>
        <v>(建造成本+管理费用)×利率×(建设周期÷2)</v>
      </c>
      <c r="E23" s="319" t="s">
        <v>2173</v>
      </c>
      <c r="F23" s="347">
        <f>'数据-取费表'!B21</f>
        <v>0.5</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2.0000000000000001E-4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-648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6579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43177</v>
      </c>
      <c r="D29" s="1433"/>
      <c r="E29" s="1431"/>
      <c r="F29" s="1434"/>
      <c r="G29" s="791"/>
      <c r="H29" s="356" t="s">
        <v>24</v>
      </c>
      <c r="I29" s="357" t="s">
        <v>2203</v>
      </c>
      <c r="J29" s="358">
        <f ca="1">ROUND(J26/(1+F40)^F41,0)</f>
        <v>0</v>
      </c>
      <c r="K29" s="359" t="s">
        <v>2204</v>
      </c>
      <c r="L29" s="360"/>
      <c r="M29" s="361">
        <f>IF(D1="仅计算典型户型",'数据-取费表'!E5,'数据-取费表'!B5)</f>
        <v>23.8</v>
      </c>
    </row>
    <row r="30" spans="1:37" ht="18" customHeight="1" thickTop="1">
      <c r="A30" s="1420" t="s">
        <v>14</v>
      </c>
      <c r="B30" s="1421" t="s">
        <v>2205</v>
      </c>
      <c r="C30" s="327">
        <f ca="1">ROUND(C31+C36+C37+C38,0)</f>
        <v>2136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1213.4000000000001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1295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648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32</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243</v>
      </c>
      <c r="D38" s="1433" t="s">
        <v>2180</v>
      </c>
      <c r="E38" s="1431" t="s">
        <v>2176</v>
      </c>
      <c r="F38" s="1426">
        <f>'数据-取费表'!B46</f>
        <v>0.01</v>
      </c>
      <c r="G38" s="791"/>
      <c r="H38" s="1230"/>
      <c r="I38" s="365" t="s">
        <v>2218</v>
      </c>
      <c r="J38" s="220">
        <f ca="1">ROUND(J34/C39,3)</f>
        <v>5.8999999999999997E-2</v>
      </c>
      <c r="K38" s="1235"/>
      <c r="L38" s="1230"/>
      <c r="M38" s="1230"/>
    </row>
    <row r="39" spans="1:18" ht="18" customHeight="1" thickTop="1">
      <c r="A39" s="1420" t="s">
        <v>22</v>
      </c>
      <c r="B39" s="1435" t="s">
        <v>2219</v>
      </c>
      <c r="C39" s="327">
        <f ca="1">C5-C30</f>
        <v>22131</v>
      </c>
      <c r="D39" s="1436" t="s">
        <v>2220</v>
      </c>
      <c r="E39" s="1437"/>
      <c r="F39" s="1438"/>
      <c r="G39" s="791"/>
      <c r="H39" s="1230"/>
      <c r="I39" s="365" t="s">
        <v>2221</v>
      </c>
      <c r="J39" s="220">
        <f ca="1">1-J38</f>
        <v>0.94100000000000006</v>
      </c>
      <c r="K39" s="1235"/>
      <c r="L39" s="1230"/>
      <c r="M39" s="1230"/>
    </row>
    <row r="40" spans="1:18" s="791" customFormat="1" ht="18" customHeight="1">
      <c r="A40" s="316" t="s">
        <v>23</v>
      </c>
      <c r="B40" s="317" t="s">
        <v>2222</v>
      </c>
      <c r="C40" s="318">
        <f ca="1">ROUND(C39*(1-((1+F42)/(1+F40))^F41)/(F40-F42),0)</f>
        <v>1087788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2814</v>
      </c>
      <c r="F41" s="355">
        <f>IF('数据-取费表'!B28="租赁期内按合同租金",'数据-取费表'!B34,IF(E41="收益年期(n)",'数据-取费表'!B33,'数据-取费表'!B13))</f>
        <v>70</v>
      </c>
      <c r="H41" s="1237"/>
      <c r="I41" s="219" t="s">
        <v>2095</v>
      </c>
      <c r="J41" s="220">
        <f ca="1">ROUND(C13/C40,3)</f>
        <v>0.02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0.98</v>
      </c>
      <c r="K42" s="1234"/>
      <c r="L42" s="1237"/>
      <c r="M42" s="1237"/>
      <c r="Q42" s="795"/>
    </row>
    <row r="43" spans="1:18" s="791" customFormat="1" ht="18" customHeight="1" thickBot="1">
      <c r="A43" s="356" t="s">
        <v>24</v>
      </c>
      <c r="B43" s="357" t="s">
        <v>2225</v>
      </c>
      <c r="C43" s="358">
        <f ca="1">ROUND(C40/F43,0)</f>
        <v>45705</v>
      </c>
      <c r="D43" s="359" t="s">
        <v>2226</v>
      </c>
      <c r="E43" s="360" t="s">
        <v>2227</v>
      </c>
      <c r="F43" s="361">
        <f>IF(D1="仅计算典型户型",'数据-取费表'!E5,'数据-取费表'!B5)</f>
        <v>23.8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1087788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-1103696</v>
      </c>
      <c r="D47" s="2344" t="str">
        <f>C2</f>
        <v>元</v>
      </c>
      <c r="E47" s="776"/>
      <c r="F47" s="776"/>
      <c r="I47" s="2345" t="s">
        <v>2238</v>
      </c>
      <c r="J47" s="1343"/>
      <c r="K47" s="1344"/>
      <c r="L47" s="1357">
        <f>IF(M48="住宅",0,IF(L49&gt;J52,L61,J61))</f>
        <v>0</v>
      </c>
      <c r="O47" s="1371" t="s">
        <v>959</v>
      </c>
      <c r="P47" s="1368" t="s">
        <v>2239</v>
      </c>
      <c r="Q47" s="1369">
        <f ca="1">C29</f>
        <v>43177</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70</v>
      </c>
      <c r="O49" s="1371" t="s">
        <v>961</v>
      </c>
      <c r="P49" s="1368" t="s">
        <v>2251</v>
      </c>
      <c r="Q49" s="1372">
        <f>J53</f>
        <v>0</v>
      </c>
      <c r="R49" s="1370"/>
    </row>
    <row r="50" spans="1:18" s="791" customFormat="1" ht="15.75" thickBot="1">
      <c r="A50" s="345" t="s">
        <v>2107</v>
      </c>
      <c r="B50" s="2025" t="s">
        <v>2252</v>
      </c>
      <c r="C50" s="318">
        <f>ROUND(F50*F52*F51*(1-F53),0)</f>
        <v>0</v>
      </c>
      <c r="D50" s="93" t="s">
        <v>2803</v>
      </c>
      <c r="E50" s="2352" t="s">
        <v>2253</v>
      </c>
      <c r="F50" s="1299"/>
      <c r="I50" s="2349" t="s">
        <v>2254</v>
      </c>
      <c r="J50" s="1128">
        <f>'数据-取费表'!B26</f>
        <v>0</v>
      </c>
      <c r="K50" s="2353" t="s">
        <v>2255</v>
      </c>
      <c r="L50" s="1346"/>
      <c r="O50" s="1371" t="s">
        <v>962</v>
      </c>
      <c r="P50" s="1368" t="s">
        <v>2256</v>
      </c>
      <c r="Q50" s="1369">
        <f>J54</f>
        <v>70</v>
      </c>
      <c r="R50" s="1370" t="s">
        <v>2257</v>
      </c>
    </row>
    <row r="51" spans="1:18" s="791" customFormat="1" ht="15.75" thickBot="1">
      <c r="A51" s="321"/>
      <c r="B51" s="322"/>
      <c r="C51" s="323"/>
      <c r="D51" s="324"/>
      <c r="E51" s="339" t="s">
        <v>2110</v>
      </c>
      <c r="F51" s="1296">
        <f>F7</f>
        <v>23.8</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1087788</v>
      </c>
      <c r="R51" s="1370" t="s">
        <v>964</v>
      </c>
    </row>
    <row r="52" spans="1:18" s="791" customFormat="1" ht="16.5" thickBot="1">
      <c r="A52" s="321"/>
      <c r="B52" s="322"/>
      <c r="C52" s="323"/>
      <c r="D52" s="324"/>
      <c r="E52" s="319" t="s">
        <v>2112</v>
      </c>
      <c r="F52" s="320">
        <f>F8</f>
        <v>365</v>
      </c>
      <c r="I52" s="2354" t="s">
        <v>2260</v>
      </c>
      <c r="J52" s="1348">
        <f>IF(J50="",J51,J50+J51-YEAR('数据-取费表'!B2))</f>
        <v>-2018</v>
      </c>
      <c r="K52" s="2355" t="s">
        <v>2261</v>
      </c>
      <c r="L52" s="1349">
        <f ca="1">ROUND(-PV('数据-取费表'!B15,L49,(C40-C13*J35)),0)</f>
        <v>31642384</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2811</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70</v>
      </c>
      <c r="K54" s="2969" t="s">
        <v>2801</v>
      </c>
      <c r="L54" s="2970"/>
      <c r="O54" s="1367" t="s">
        <v>957</v>
      </c>
      <c r="P54" s="1368" t="s">
        <v>2233</v>
      </c>
      <c r="Q54" s="1369">
        <f ca="1">C40+J29</f>
        <v>1087788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21589</v>
      </c>
      <c r="D57" s="1294"/>
      <c r="E57" s="1295"/>
      <c r="F57" s="1302"/>
      <c r="I57" s="2363" t="s">
        <v>2270</v>
      </c>
      <c r="J57" s="1355"/>
      <c r="K57" s="2349" t="s">
        <v>2271</v>
      </c>
      <c r="L57" s="1128">
        <f>IF(L49&lt;J52,"——",L49-J52)</f>
        <v>2088</v>
      </c>
      <c r="O57" s="1371" t="s">
        <v>960</v>
      </c>
      <c r="P57" s="1368" t="s">
        <v>2272</v>
      </c>
      <c r="Q57" s="1372">
        <f>L53</f>
        <v>0</v>
      </c>
      <c r="R57" s="1370"/>
    </row>
    <row r="58" spans="1:18" s="791" customFormat="1" ht="29.25" thickBot="1">
      <c r="A58" s="1301"/>
      <c r="B58" s="319" t="s">
        <v>2202</v>
      </c>
      <c r="C58" s="188">
        <f ca="1">C29</f>
        <v>43177</v>
      </c>
      <c r="D58" s="1294"/>
      <c r="E58" s="1295"/>
      <c r="F58" s="1302"/>
      <c r="I58" s="2364" t="s">
        <v>2273</v>
      </c>
      <c r="J58" s="1354" t="str">
        <f>IF(OR(M48="住宅",J52&lt;L49,J57="是"),"——",J52-L49)</f>
        <v>——</v>
      </c>
      <c r="K58" s="2349" t="s">
        <v>2274</v>
      </c>
      <c r="L58" s="1128">
        <f ca="1">IF(L49&lt;J52,"——",IF(L56="比较法",L50,IF(L56="基准地价",L51,L52)))</f>
        <v>31642384</v>
      </c>
      <c r="O58" s="1371" t="s">
        <v>961</v>
      </c>
      <c r="P58" s="1368" t="s">
        <v>2275</v>
      </c>
      <c r="Q58" s="1369" t="e">
        <f>L59</f>
        <v>#DIV/0!</v>
      </c>
      <c r="R58" s="1370" t="s">
        <v>2276</v>
      </c>
    </row>
    <row r="59" spans="1:18" s="791" customFormat="1" ht="29.25" thickBot="1">
      <c r="A59" s="332" t="s">
        <v>14</v>
      </c>
      <c r="B59" s="333" t="s">
        <v>2205</v>
      </c>
      <c r="C59" s="334">
        <f ca="1">ROUND(C60+C65+C66+C67,0)</f>
        <v>680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1087788</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1087788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648</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31642384</v>
      </c>
      <c r="R65" s="1374" t="s">
        <v>2296</v>
      </c>
    </row>
    <row r="66" spans="1:18" s="791" customFormat="1" ht="20.25" thickBot="1">
      <c r="A66" s="337" t="s">
        <v>20</v>
      </c>
      <c r="B66" s="319" t="s">
        <v>2174</v>
      </c>
      <c r="C66" s="14">
        <f ca="1">ROUND(C57*F66,0)</f>
        <v>32</v>
      </c>
      <c r="D66" s="1893" t="s">
        <v>2175</v>
      </c>
      <c r="E66" s="319" t="s">
        <v>2176</v>
      </c>
      <c r="F66" s="351">
        <f t="shared" si="0"/>
        <v>1.5E-3</v>
      </c>
      <c r="I66" s="2367" t="s">
        <v>2297</v>
      </c>
      <c r="J66" s="1874">
        <v>40</v>
      </c>
      <c r="K66" s="1874">
        <v>30</v>
      </c>
      <c r="L66" s="1874">
        <v>50</v>
      </c>
      <c r="M66" s="1872">
        <v>0.02</v>
      </c>
      <c r="O66" s="1371" t="s">
        <v>960</v>
      </c>
      <c r="P66" s="1375" t="s">
        <v>2298</v>
      </c>
      <c r="Q66" s="1369">
        <f ca="1">ROUND(Q67-Q68*Q69,0)</f>
        <v>20836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22131</v>
      </c>
      <c r="R67" s="1370" t="s">
        <v>2234</v>
      </c>
    </row>
    <row r="68" spans="1:18" ht="15.75" thickBot="1">
      <c r="A68" s="332" t="s">
        <v>22</v>
      </c>
      <c r="B68" s="89" t="s">
        <v>2184</v>
      </c>
      <c r="C68" s="334">
        <f ca="1">C49-C59</f>
        <v>-680</v>
      </c>
      <c r="D68" s="1888" t="s">
        <v>2185</v>
      </c>
      <c r="E68" s="1892"/>
      <c r="F68" s="353"/>
      <c r="H68" s="791"/>
      <c r="I68" s="791"/>
      <c r="J68" s="791"/>
      <c r="K68" s="791"/>
      <c r="L68" s="791"/>
      <c r="M68" s="791"/>
      <c r="O68" s="1371" t="s">
        <v>966</v>
      </c>
      <c r="P68" s="1375" t="s">
        <v>2300</v>
      </c>
      <c r="Q68" s="1369">
        <f ca="1">C13</f>
        <v>21589</v>
      </c>
      <c r="R68" s="1370" t="s">
        <v>2234</v>
      </c>
    </row>
    <row r="69" spans="1:18" ht="15.75" thickBot="1">
      <c r="A69" s="316" t="s">
        <v>23</v>
      </c>
      <c r="B69" s="317" t="s">
        <v>2222</v>
      </c>
      <c r="C69" s="318">
        <f ca="1">ROUND(C68*(1-((1+F71)/(1+F69))^F70)/(F69-F71),0)</f>
        <v>-15908</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70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-668</v>
      </c>
      <c r="D72" s="359" t="s">
        <v>2226</v>
      </c>
      <c r="E72" s="360" t="s">
        <v>2227</v>
      </c>
      <c r="F72" s="361">
        <f>F43</f>
        <v>23.8</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1087788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1" t="s">
        <v>1024</v>
      </c>
      <c r="B1" s="2972"/>
      <c r="C1" s="2973"/>
      <c r="D1" s="2974">
        <f>SUM(I10,I15,I20,I21,I23)</f>
        <v>0</v>
      </c>
      <c r="E1" s="2974"/>
      <c r="F1" s="2974"/>
      <c r="G1" s="2974"/>
      <c r="H1" s="2974"/>
      <c r="I1" s="2975"/>
    </row>
    <row r="2" spans="1:9">
      <c r="A2" s="2976" t="s">
        <v>1025</v>
      </c>
      <c r="B2" s="2977" t="s">
        <v>974</v>
      </c>
      <c r="C2" s="2977"/>
      <c r="D2" s="1389" t="s">
        <v>975</v>
      </c>
      <c r="E2" s="1389" t="s">
        <v>976</v>
      </c>
      <c r="F2" s="1389" t="s">
        <v>977</v>
      </c>
      <c r="G2" s="1389" t="s">
        <v>978</v>
      </c>
      <c r="H2" s="1389" t="s">
        <v>979</v>
      </c>
      <c r="I2" s="1390" t="s">
        <v>980</v>
      </c>
    </row>
    <row r="3" spans="1:9">
      <c r="A3" s="2976"/>
      <c r="B3" s="2977" t="s">
        <v>981</v>
      </c>
      <c r="C3" s="2977"/>
      <c r="D3" s="1391"/>
      <c r="E3" s="1389"/>
      <c r="F3" s="1392"/>
      <c r="G3" s="1392"/>
      <c r="H3" s="1393"/>
      <c r="I3" s="1394">
        <f>ROUND(D3*E3*F3*G3*H3/10000,0)</f>
        <v>0</v>
      </c>
    </row>
    <row r="4" spans="1:9">
      <c r="A4" s="2976"/>
      <c r="B4" s="2977" t="s">
        <v>982</v>
      </c>
      <c r="C4" s="2977"/>
      <c r="D4" s="1391"/>
      <c r="E4" s="1389"/>
      <c r="F4" s="1392"/>
      <c r="G4" s="1392"/>
      <c r="H4" s="1393"/>
      <c r="I4" s="1394">
        <f t="shared" ref="I4:I9" si="0">ROUND(D4*E4*F4*G4*H4/10000,0)</f>
        <v>0</v>
      </c>
    </row>
    <row r="5" spans="1:9">
      <c r="A5" s="2976"/>
      <c r="B5" s="2977" t="s">
        <v>983</v>
      </c>
      <c r="C5" s="2977"/>
      <c r="D5" s="1391"/>
      <c r="E5" s="1389"/>
      <c r="F5" s="1392"/>
      <c r="G5" s="1392"/>
      <c r="H5" s="1393"/>
      <c r="I5" s="1394">
        <f t="shared" si="0"/>
        <v>0</v>
      </c>
    </row>
    <row r="6" spans="1:9">
      <c r="A6" s="2976"/>
      <c r="B6" s="2977" t="s">
        <v>984</v>
      </c>
      <c r="C6" s="2977"/>
      <c r="D6" s="1391"/>
      <c r="E6" s="1389"/>
      <c r="F6" s="1392"/>
      <c r="G6" s="1392"/>
      <c r="H6" s="1393"/>
      <c r="I6" s="1394">
        <f t="shared" si="0"/>
        <v>0</v>
      </c>
    </row>
    <row r="7" spans="1:9">
      <c r="A7" s="2976"/>
      <c r="B7" s="2977" t="s">
        <v>985</v>
      </c>
      <c r="C7" s="2977"/>
      <c r="D7" s="1391"/>
      <c r="E7" s="1389"/>
      <c r="F7" s="1392"/>
      <c r="G7" s="1392"/>
      <c r="H7" s="1393"/>
      <c r="I7" s="1394">
        <f t="shared" si="0"/>
        <v>0</v>
      </c>
    </row>
    <row r="8" spans="1:9">
      <c r="A8" s="2976"/>
      <c r="B8" s="2977" t="s">
        <v>986</v>
      </c>
      <c r="C8" s="2977"/>
      <c r="D8" s="1391"/>
      <c r="E8" s="1389"/>
      <c r="F8" s="1392"/>
      <c r="G8" s="1392"/>
      <c r="H8" s="1393"/>
      <c r="I8" s="1394">
        <f t="shared" si="0"/>
        <v>0</v>
      </c>
    </row>
    <row r="9" spans="1:9">
      <c r="A9" s="2976"/>
      <c r="B9" s="2977" t="s">
        <v>987</v>
      </c>
      <c r="C9" s="2977"/>
      <c r="D9" s="1391"/>
      <c r="E9" s="1389"/>
      <c r="F9" s="1392"/>
      <c r="G9" s="1392"/>
      <c r="H9" s="1393"/>
      <c r="I9" s="1394">
        <f t="shared" si="0"/>
        <v>0</v>
      </c>
    </row>
    <row r="10" spans="1:9">
      <c r="A10" s="2976"/>
      <c r="B10" s="2978" t="s">
        <v>988</v>
      </c>
      <c r="C10" s="2978"/>
      <c r="D10" s="1395">
        <v>527</v>
      </c>
      <c r="E10" s="1395" t="e">
        <f>ROUND(D1*10000/D10/H9,0)</f>
        <v>#DIV/0!</v>
      </c>
      <c r="F10" s="1396"/>
      <c r="G10" s="1396"/>
      <c r="H10" s="1397"/>
      <c r="I10" s="1398">
        <f>SUM(I3:I9)</f>
        <v>0</v>
      </c>
    </row>
    <row r="11" spans="1:9" ht="14.25">
      <c r="A11" s="2976" t="s">
        <v>1026</v>
      </c>
      <c r="B11" s="2977" t="s">
        <v>989</v>
      </c>
      <c r="C11" s="2977"/>
      <c r="D11" s="1391" t="s">
        <v>990</v>
      </c>
      <c r="E11" s="1391" t="s">
        <v>991</v>
      </c>
      <c r="F11" s="1392" t="s">
        <v>992</v>
      </c>
      <c r="G11" s="1392" t="s">
        <v>979</v>
      </c>
      <c r="H11" s="1399" t="s">
        <v>993</v>
      </c>
      <c r="I11" s="1390" t="s">
        <v>980</v>
      </c>
    </row>
    <row r="12" spans="1:9">
      <c r="A12" s="2976"/>
      <c r="B12" s="2977" t="s">
        <v>994</v>
      </c>
      <c r="C12" s="2977"/>
      <c r="D12" s="1391"/>
      <c r="E12" s="1391"/>
      <c r="F12" s="1392"/>
      <c r="G12" s="1393"/>
      <c r="H12" s="1400"/>
      <c r="I12" s="1390">
        <f>ROUND(D12*E12*F12*G12/10000,0)</f>
        <v>0</v>
      </c>
    </row>
    <row r="13" spans="1:9">
      <c r="A13" s="2976"/>
      <c r="B13" s="2977" t="s">
        <v>995</v>
      </c>
      <c r="C13" s="2977"/>
      <c r="D13" s="1391"/>
      <c r="E13" s="1391"/>
      <c r="F13" s="1392"/>
      <c r="G13" s="1393"/>
      <c r="H13" s="1400"/>
      <c r="I13" s="1390">
        <f>ROUND(D13*E13*F13*G13/10000,0)</f>
        <v>0</v>
      </c>
    </row>
    <row r="14" spans="1:9">
      <c r="A14" s="2976"/>
      <c r="B14" s="2977" t="s">
        <v>996</v>
      </c>
      <c r="C14" s="2977"/>
      <c r="D14" s="1391"/>
      <c r="E14" s="1391"/>
      <c r="F14" s="1392"/>
      <c r="G14" s="1393"/>
      <c r="H14" s="1400"/>
      <c r="I14" s="1390">
        <f>ROUND(D14*E14*F14*G14/10000,0)</f>
        <v>0</v>
      </c>
    </row>
    <row r="15" spans="1:9">
      <c r="A15" s="2976"/>
      <c r="B15" s="2978" t="s">
        <v>988</v>
      </c>
      <c r="C15" s="2978"/>
      <c r="D15" s="1395"/>
      <c r="E15" s="1395">
        <f>SUM(E12:E14)</f>
        <v>0</v>
      </c>
      <c r="F15" s="1396"/>
      <c r="G15" s="1393"/>
      <c r="H15" s="1400"/>
      <c r="I15" s="1401">
        <f>SUM(I12:I14)</f>
        <v>0</v>
      </c>
    </row>
    <row r="16" spans="1:9" ht="24">
      <c r="A16" s="2976" t="s">
        <v>1027</v>
      </c>
      <c r="B16" s="2977" t="s">
        <v>997</v>
      </c>
      <c r="C16" s="2977"/>
      <c r="D16" s="1391" t="s">
        <v>975</v>
      </c>
      <c r="E16" s="1402" t="s">
        <v>998</v>
      </c>
      <c r="F16" s="1392" t="s">
        <v>999</v>
      </c>
      <c r="G16" s="1393" t="s">
        <v>979</v>
      </c>
      <c r="H16" s="1399" t="s">
        <v>993</v>
      </c>
      <c r="I16" s="1390" t="s">
        <v>980</v>
      </c>
    </row>
    <row r="17" spans="1:9" ht="14.25">
      <c r="A17" s="2976"/>
      <c r="B17" s="2977" t="s">
        <v>1000</v>
      </c>
      <c r="C17" s="2977"/>
      <c r="D17" s="1391"/>
      <c r="E17" s="1391"/>
      <c r="F17" s="1392"/>
      <c r="G17" s="1393"/>
      <c r="H17" s="1403"/>
      <c r="I17" s="1404">
        <f>ROUND(D17*E17*F17*G17/10000,0)</f>
        <v>0</v>
      </c>
    </row>
    <row r="18" spans="1:9" ht="14.25">
      <c r="A18" s="2976"/>
      <c r="B18" s="2977" t="s">
        <v>1001</v>
      </c>
      <c r="C18" s="2977"/>
      <c r="D18" s="1391"/>
      <c r="E18" s="1391"/>
      <c r="F18" s="1392"/>
      <c r="G18" s="1393"/>
      <c r="H18" s="1403"/>
      <c r="I18" s="1404">
        <f>ROUND(D18*E18*F18*G18/10000,0)</f>
        <v>0</v>
      </c>
    </row>
    <row r="19" spans="1:9" ht="14.25">
      <c r="A19" s="2976"/>
      <c r="B19" s="2977" t="s">
        <v>1002</v>
      </c>
      <c r="C19" s="2977"/>
      <c r="D19" s="1391"/>
      <c r="E19" s="1391"/>
      <c r="F19" s="1392"/>
      <c r="G19" s="1393"/>
      <c r="H19" s="1403"/>
      <c r="I19" s="1404">
        <f>ROUND(D19*E19*F19*G19/10000,0)</f>
        <v>0</v>
      </c>
    </row>
    <row r="20" spans="1:9">
      <c r="A20" s="2976"/>
      <c r="B20" s="2978" t="s">
        <v>988</v>
      </c>
      <c r="C20" s="2978"/>
      <c r="D20" s="1395">
        <f>SUM(D17:D19)</f>
        <v>0</v>
      </c>
      <c r="E20" s="1395"/>
      <c r="F20" s="1396"/>
      <c r="G20" s="1393"/>
      <c r="H20" s="1400"/>
      <c r="I20" s="1401">
        <f>SUM(I17:I19)</f>
        <v>0</v>
      </c>
    </row>
    <row r="21" spans="1:9">
      <c r="A21" s="2976" t="s">
        <v>1028</v>
      </c>
      <c r="B21" s="2980"/>
      <c r="C21" s="2980"/>
      <c r="D21" s="2980"/>
      <c r="E21" s="2980"/>
      <c r="F21" s="2980"/>
      <c r="G21" s="2980"/>
      <c r="H21" s="1405">
        <v>0.1</v>
      </c>
      <c r="I21" s="1398">
        <f>ROUND(I10*H21,0)</f>
        <v>0</v>
      </c>
    </row>
    <row r="22" spans="1:9" ht="14.25">
      <c r="A22" s="2981" t="s">
        <v>1029</v>
      </c>
      <c r="B22" s="2982"/>
      <c r="C22" s="2983"/>
      <c r="D22" s="1406" t="s">
        <v>1003</v>
      </c>
      <c r="E22" s="1406" t="s">
        <v>1004</v>
      </c>
      <c r="F22" s="1407" t="s">
        <v>979</v>
      </c>
      <c r="G22" s="1407" t="s">
        <v>1005</v>
      </c>
      <c r="H22" s="1399" t="s">
        <v>993</v>
      </c>
      <c r="I22" s="1390" t="s">
        <v>980</v>
      </c>
    </row>
    <row r="23" spans="1:9" ht="14.25" thickBot="1">
      <c r="A23" s="2984"/>
      <c r="B23" s="2985"/>
      <c r="C23" s="2986"/>
      <c r="D23" s="1408"/>
      <c r="E23" s="1408"/>
      <c r="F23" s="1408"/>
      <c r="G23" s="1409"/>
      <c r="H23" s="1410"/>
      <c r="I23" s="1411">
        <f>ROUND(E23*D23*F23*(1-G23)/10000,0)</f>
        <v>0</v>
      </c>
    </row>
    <row r="26" spans="1:9">
      <c r="A26" s="1412" t="s">
        <v>1006</v>
      </c>
      <c r="B26" s="1412"/>
      <c r="C26" s="1412"/>
      <c r="D26" s="1412"/>
      <c r="E26" s="2987">
        <f>C27-C30-C31-C32</f>
        <v>0</v>
      </c>
      <c r="F26" s="2987"/>
      <c r="G26" s="2987"/>
      <c r="H26" s="1829" t="s">
        <v>1219</v>
      </c>
    </row>
    <row r="27" spans="1:9">
      <c r="A27" s="1413">
        <v>1</v>
      </c>
      <c r="B27" s="1414" t="s">
        <v>1007</v>
      </c>
      <c r="C27" s="1414">
        <f>C28+C29</f>
        <v>0</v>
      </c>
      <c r="D27" s="1414"/>
      <c r="E27" s="2988"/>
      <c r="F27" s="2988"/>
      <c r="G27" s="2988"/>
    </row>
    <row r="28" spans="1:9">
      <c r="A28" s="1415" t="s">
        <v>1008</v>
      </c>
      <c r="B28" s="1414" t="s">
        <v>1009</v>
      </c>
      <c r="C28" s="1414"/>
      <c r="D28" s="1414"/>
      <c r="E28" s="2988"/>
      <c r="F28" s="2988"/>
      <c r="G28" s="298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9"/>
      <c r="F32" s="2979"/>
      <c r="G32" s="2979"/>
    </row>
    <row r="33" spans="1:7" hidden="1">
      <c r="A33" s="2989" t="s">
        <v>1018</v>
      </c>
      <c r="B33" s="2990"/>
      <c r="C33" s="2990"/>
      <c r="D33" s="2991"/>
      <c r="E33" s="2987"/>
      <c r="F33" s="2987"/>
      <c r="G33" s="2987"/>
    </row>
    <row r="34" spans="1:7" hidden="1">
      <c r="A34" s="1417">
        <v>1</v>
      </c>
      <c r="B34" s="1414" t="s">
        <v>1019</v>
      </c>
      <c r="C34" s="1414"/>
      <c r="D34" s="1414"/>
      <c r="E34" s="2988"/>
      <c r="F34" s="2988"/>
      <c r="G34" s="2988"/>
    </row>
    <row r="35" spans="1:7" hidden="1">
      <c r="A35" s="1417">
        <v>2</v>
      </c>
      <c r="B35" s="1414" t="s">
        <v>1020</v>
      </c>
      <c r="C35" s="1414"/>
      <c r="D35" s="1414"/>
      <c r="E35" s="2988"/>
      <c r="F35" s="2988"/>
      <c r="G35" s="2988"/>
    </row>
    <row r="36" spans="1:7" hidden="1">
      <c r="A36" s="1417">
        <v>3</v>
      </c>
      <c r="B36" s="1414" t="s">
        <v>1021</v>
      </c>
      <c r="C36" s="1414"/>
      <c r="D36" s="1414"/>
      <c r="E36" s="2988"/>
      <c r="F36" s="2988"/>
      <c r="G36" s="2988"/>
    </row>
    <row r="37" spans="1:7" hidden="1">
      <c r="A37" s="1417">
        <v>4</v>
      </c>
      <c r="B37" s="1414" t="s">
        <v>1022</v>
      </c>
      <c r="C37" s="1414"/>
      <c r="D37" s="1414"/>
      <c r="E37" s="2988"/>
      <c r="F37" s="2988"/>
      <c r="G37" s="2988"/>
    </row>
    <row r="38" spans="1:7" hidden="1">
      <c r="A38" s="2989" t="s">
        <v>1023</v>
      </c>
      <c r="B38" s="2990"/>
      <c r="C38" s="2990"/>
      <c r="D38" s="2991"/>
      <c r="E38" s="2987"/>
      <c r="F38" s="2987"/>
      <c r="G38" s="298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2995" t="s">
        <v>2307</v>
      </c>
      <c r="D4" s="2996"/>
      <c r="E4" s="2996"/>
      <c r="F4" s="2996"/>
      <c r="G4" s="2996"/>
      <c r="H4" s="2996"/>
      <c r="I4" s="2996"/>
      <c r="J4" s="2996"/>
      <c r="K4" s="2996"/>
      <c r="L4" s="2996"/>
      <c r="M4" s="2996"/>
      <c r="N4" s="2996"/>
      <c r="O4" s="2996"/>
      <c r="P4" s="2996"/>
      <c r="Q4" s="2996"/>
      <c r="R4" s="2996"/>
      <c r="S4" s="2997"/>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2992" t="s">
        <v>45</v>
      </c>
      <c r="D25" s="2993"/>
      <c r="E25" s="2993"/>
      <c r="F25" s="2993"/>
      <c r="G25" s="2993"/>
      <c r="H25" s="2993"/>
      <c r="I25" s="2993"/>
      <c r="J25" s="2993"/>
      <c r="K25" s="2993"/>
      <c r="L25" s="2993"/>
      <c r="M25" s="2993"/>
      <c r="N25" s="2993"/>
      <c r="O25" s="2993"/>
      <c r="P25" s="2993"/>
      <c r="Q25" s="299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23.8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01" t="s">
        <v>2341</v>
      </c>
      <c r="D4" s="3002"/>
      <c r="E4" s="3003" t="s">
        <v>2342</v>
      </c>
      <c r="F4" s="3004"/>
      <c r="G4" s="3001" t="s">
        <v>2343</v>
      </c>
      <c r="H4" s="3002"/>
      <c r="I4" s="3001" t="s">
        <v>2344</v>
      </c>
      <c r="J4" s="3002"/>
      <c r="K4" s="23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2998" t="s">
        <v>2343</v>
      </c>
      <c r="AC4" s="2998" t="s">
        <v>2344</v>
      </c>
    </row>
    <row r="5" spans="1:29" ht="15">
      <c r="A5" s="383"/>
      <c r="B5" s="384"/>
      <c r="C5" s="3020" t="s">
        <v>2347</v>
      </c>
      <c r="D5" s="3021"/>
      <c r="E5" s="3018" t="s">
        <v>2348</v>
      </c>
      <c r="F5" s="3019"/>
      <c r="G5" s="3020" t="s">
        <v>2349</v>
      </c>
      <c r="H5" s="3021"/>
      <c r="I5" s="3020" t="s">
        <v>2350</v>
      </c>
      <c r="J5" s="3021"/>
      <c r="K5" s="2395"/>
      <c r="L5" s="1243"/>
      <c r="M5" s="1244"/>
      <c r="N5" s="1244"/>
      <c r="O5" s="1244"/>
      <c r="P5" s="300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2395" t="s">
        <v>2352</v>
      </c>
      <c r="L6" s="1243"/>
      <c r="M6" s="1244"/>
      <c r="N6" s="1244"/>
      <c r="O6" s="1244"/>
      <c r="P6" s="3009"/>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35"/>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3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6"/>
      <c r="Q11" s="1887" t="str">
        <f t="shared" si="6"/>
        <v>容积率</v>
      </c>
      <c r="R11" s="749" t="s">
        <v>28</v>
      </c>
      <c r="S11" s="750" t="e">
        <f t="shared" si="0"/>
        <v>#N/A</v>
      </c>
      <c r="T11" s="749" t="s">
        <v>28</v>
      </c>
      <c r="U11" s="750" t="e">
        <f t="shared" si="1"/>
        <v>#N/A</v>
      </c>
      <c r="V11" s="749" t="s">
        <v>28</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85.5">
      <c r="A15" s="419" t="s">
        <v>2364</v>
      </c>
      <c r="B15" s="26" t="s">
        <v>1739</v>
      </c>
      <c r="C15" s="2402" t="str">
        <f>估价对象房地状况!C3</f>
        <v>估价对象周边有培智胡同、小椿树胡同、博兴胡同等，综合评价居住社区成熟度较好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9"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40"/>
      <c r="Q16" s="1899"/>
      <c r="R16" s="753"/>
      <c r="S16" s="754"/>
      <c r="T16" s="753"/>
      <c r="U16" s="754"/>
      <c r="V16" s="753"/>
      <c r="W16" s="754"/>
      <c r="X16" s="1900"/>
      <c r="Y16" s="3027"/>
      <c r="Z16" s="1902"/>
      <c r="AA16" s="1903">
        <v>1</v>
      </c>
      <c r="AB16" s="1903">
        <v>1</v>
      </c>
      <c r="AC16" s="1903">
        <v>1</v>
      </c>
    </row>
    <row r="17" spans="1:29" ht="142.5">
      <c r="A17" s="408"/>
      <c r="B17" s="431" t="s">
        <v>1750</v>
      </c>
      <c r="C17" s="2405" t="str">
        <f>估价对象房地状况!C6</f>
        <v>估价对象周边有5路、23路、48路、57路、66路等多条公交线路，距地铁7号线（珠市口站）约300米，停车便捷程度较差，综合评价交通便捷度较好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0"/>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40"/>
      <c r="Q18" s="1899"/>
      <c r="R18" s="753"/>
      <c r="S18" s="754"/>
      <c r="T18" s="753"/>
      <c r="U18" s="754"/>
      <c r="V18" s="753"/>
      <c r="W18" s="754"/>
      <c r="X18" s="1900"/>
      <c r="Y18" s="3027"/>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0"/>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40"/>
      <c r="Q20" s="1899"/>
      <c r="R20" s="753"/>
      <c r="S20" s="754"/>
      <c r="T20" s="753"/>
      <c r="U20" s="754"/>
      <c r="V20" s="753"/>
      <c r="W20" s="754"/>
      <c r="X20" s="1900"/>
      <c r="Y20" s="3027"/>
      <c r="Z20" s="1902"/>
      <c r="AA20" s="1903">
        <v>1</v>
      </c>
      <c r="AB20" s="1903">
        <v>1</v>
      </c>
      <c r="AC20" s="1903">
        <v>1</v>
      </c>
    </row>
    <row r="21" spans="1:29" ht="15">
      <c r="A21" s="408"/>
      <c r="B21" s="2407" t="s">
        <v>1751</v>
      </c>
      <c r="C21" s="2405" t="str">
        <f>估价对象房地状况!C8</f>
        <v>三通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0"/>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40"/>
      <c r="Q22" s="1899"/>
      <c r="R22" s="753"/>
      <c r="S22" s="754"/>
      <c r="T22" s="753"/>
      <c r="U22" s="754"/>
      <c r="V22" s="753"/>
      <c r="W22" s="754"/>
      <c r="X22" s="1900"/>
      <c r="Y22" s="3027"/>
      <c r="Z22" s="1902"/>
      <c r="AA22" s="1903">
        <v>1</v>
      </c>
      <c r="AB22" s="1903">
        <v>1</v>
      </c>
      <c r="AC22" s="1903">
        <v>1</v>
      </c>
    </row>
    <row r="23" spans="1:29" ht="99.75">
      <c r="A23" s="408"/>
      <c r="B23" s="431" t="s">
        <v>1755</v>
      </c>
      <c r="C23" s="2405" t="str">
        <f>估价对象房地状况!C9</f>
        <v>区域自然环境：天坛公园；人文环境：琉璃厂古文化街、北京天桥艺术中心；综合评价环境状况较好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0"/>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40"/>
      <c r="Q24" s="1899"/>
      <c r="R24" s="753"/>
      <c r="S24" s="754"/>
      <c r="T24" s="753"/>
      <c r="U24" s="754"/>
      <c r="V24" s="753"/>
      <c r="W24" s="754"/>
      <c r="X24" s="1900"/>
      <c r="Y24" s="3027"/>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0"/>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40"/>
      <c r="Q26" s="1899" t="str">
        <f t="shared" si="11"/>
        <v>朝向</v>
      </c>
      <c r="R26" s="753" t="s">
        <v>28</v>
      </c>
      <c r="S26" s="754">
        <f>F26</f>
        <v>100</v>
      </c>
      <c r="T26" s="753" t="s">
        <v>28</v>
      </c>
      <c r="U26" s="754">
        <f>H26</f>
        <v>100</v>
      </c>
      <c r="V26" s="753" t="s">
        <v>28</v>
      </c>
      <c r="W26" s="754">
        <f>J26</f>
        <v>100</v>
      </c>
      <c r="X26" s="1900"/>
      <c r="Y26" s="3027"/>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40"/>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40"/>
      <c r="Q28" s="1899">
        <f t="shared" si="11"/>
        <v>111</v>
      </c>
      <c r="R28" s="753" t="s">
        <v>28</v>
      </c>
      <c r="S28" s="754">
        <f t="shared" ref="S28:S46" si="12">F28</f>
        <v>100</v>
      </c>
      <c r="T28" s="753" t="s">
        <v>28</v>
      </c>
      <c r="U28" s="754">
        <f t="shared" ref="U28:U46" si="13">H28</f>
        <v>100</v>
      </c>
      <c r="V28" s="753" t="s">
        <v>28</v>
      </c>
      <c r="W28" s="754">
        <f t="shared" ref="W28:W46" si="14">J28</f>
        <v>100</v>
      </c>
      <c r="X28" s="1900"/>
      <c r="Y28" s="3027"/>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0"/>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0"/>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0"/>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9"/>
      <c r="Q33" s="755" t="str">
        <f t="shared" si="11"/>
        <v>项目建筑规模</v>
      </c>
      <c r="R33" s="756" t="s">
        <v>28</v>
      </c>
      <c r="S33" s="757" t="e">
        <f t="shared" si="12"/>
        <v>#N/A</v>
      </c>
      <c r="T33" s="756" t="s">
        <v>28</v>
      </c>
      <c r="U33" s="757" t="e">
        <f t="shared" si="13"/>
        <v>#N/A</v>
      </c>
      <c r="V33" s="756" t="s">
        <v>28</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9"/>
      <c r="Q37" s="1887" t="str">
        <f t="shared" si="11"/>
        <v>成新度</v>
      </c>
      <c r="R37" s="749" t="s">
        <v>28</v>
      </c>
      <c r="S37" s="750" t="e">
        <f t="shared" si="12"/>
        <v>#N/A</v>
      </c>
      <c r="T37" s="749" t="s">
        <v>28</v>
      </c>
      <c r="U37" s="750" t="e">
        <f t="shared" si="13"/>
        <v>#N/A</v>
      </c>
      <c r="V37" s="749" t="s">
        <v>28</v>
      </c>
      <c r="W37" s="750" t="e">
        <f t="shared" si="14"/>
        <v>#N/A</v>
      </c>
      <c r="X37" s="751"/>
      <c r="Y37" s="3031"/>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9"/>
      <c r="Q40" s="1899" t="str">
        <f t="shared" si="11"/>
        <v>房型</v>
      </c>
      <c r="R40" s="753" t="s">
        <v>28</v>
      </c>
      <c r="S40" s="754">
        <f t="shared" si="12"/>
        <v>100</v>
      </c>
      <c r="T40" s="753" t="s">
        <v>28</v>
      </c>
      <c r="U40" s="754">
        <f t="shared" si="13"/>
        <v>100</v>
      </c>
      <c r="V40" s="753" t="s">
        <v>28</v>
      </c>
      <c r="W40" s="754">
        <f t="shared" si="14"/>
        <v>100</v>
      </c>
      <c r="X40" s="1900"/>
      <c r="Y40" s="3031"/>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9"/>
      <c r="Q42" s="1899" t="str">
        <f t="shared" si="11"/>
        <v>内部装修</v>
      </c>
      <c r="R42" s="753" t="s">
        <v>28</v>
      </c>
      <c r="S42" s="754">
        <f t="shared" si="12"/>
        <v>100</v>
      </c>
      <c r="T42" s="753" t="s">
        <v>28</v>
      </c>
      <c r="U42" s="754">
        <f t="shared" si="13"/>
        <v>100</v>
      </c>
      <c r="V42" s="753" t="s">
        <v>28</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9"/>
      <c r="Q44" s="1887">
        <f t="shared" si="11"/>
        <v>111</v>
      </c>
      <c r="R44" s="749" t="s">
        <v>28</v>
      </c>
      <c r="S44" s="750">
        <f t="shared" si="12"/>
        <v>100</v>
      </c>
      <c r="T44" s="749" t="s">
        <v>28</v>
      </c>
      <c r="U44" s="750">
        <f t="shared" si="13"/>
        <v>100</v>
      </c>
      <c r="V44" s="749" t="s">
        <v>28</v>
      </c>
      <c r="W44" s="750">
        <f t="shared" si="14"/>
        <v>100</v>
      </c>
      <c r="X44" s="751"/>
      <c r="Y44" s="303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9"/>
      <c r="Q45" s="1899">
        <f t="shared" si="11"/>
        <v>111</v>
      </c>
      <c r="R45" s="753" t="s">
        <v>28</v>
      </c>
      <c r="S45" s="754">
        <f t="shared" si="12"/>
        <v>100</v>
      </c>
      <c r="T45" s="753" t="s">
        <v>28</v>
      </c>
      <c r="U45" s="754">
        <f t="shared" si="13"/>
        <v>100</v>
      </c>
      <c r="V45" s="753" t="s">
        <v>28</v>
      </c>
      <c r="W45" s="754">
        <f t="shared" si="14"/>
        <v>100</v>
      </c>
      <c r="X45" s="1900"/>
      <c r="Y45" s="3031"/>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0"/>
      <c r="Q46" s="1899">
        <f t="shared" si="11"/>
        <v>111</v>
      </c>
      <c r="R46" s="753" t="s">
        <v>27</v>
      </c>
      <c r="S46" s="754">
        <f t="shared" si="12"/>
        <v>100</v>
      </c>
      <c r="T46" s="753" t="s">
        <v>27</v>
      </c>
      <c r="U46" s="754">
        <f t="shared" si="13"/>
        <v>100</v>
      </c>
      <c r="V46" s="753" t="s">
        <v>27</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37" t="str">
        <f>A47</f>
        <v>成交单价（元/平方米）</v>
      </c>
      <c r="Q47" s="3037"/>
      <c r="R47" s="3038">
        <f>E47</f>
        <v>0</v>
      </c>
      <c r="S47" s="3038"/>
      <c r="T47" s="3038">
        <f>G47</f>
        <v>0</v>
      </c>
      <c r="U47" s="3038"/>
      <c r="V47" s="3038">
        <f>I47</f>
        <v>0</v>
      </c>
      <c r="W47" s="3038"/>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37" t="str">
        <f>A48</f>
        <v>比较价值（元/平方米）</v>
      </c>
      <c r="Q48" s="3037"/>
      <c r="R48" s="3038" t="e">
        <f>IF(E1="售价",ROUND(PRODUCT(R47,AA7:AA46),0),ROUND(PRODUCT(R47,AA7:AA46),1))</f>
        <v>#DIV/0!</v>
      </c>
      <c r="S48" s="3038"/>
      <c r="T48" s="3041" t="e">
        <f>IF(E1="售价",ROUND(PRODUCT(T47,AB7:AB46),0),ROUND(PRODUCT(T47,AB7:AB46),1))</f>
        <v>#DIV/0!</v>
      </c>
      <c r="U48" s="3042"/>
      <c r="V48" s="3038" t="e">
        <f>IF(E1="售价",ROUND(PRODUCT(V47,AC7:AC46),0),ROUND(PRODUCT(V47,AC7:AC46),1))</f>
        <v>#DIV/0!</v>
      </c>
      <c r="W48" s="3038"/>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43" t="str">
        <f>A49</f>
        <v>估价对象XX用房的比较价值（楼面单价，元/平方米）</v>
      </c>
      <c r="Q49" s="3044"/>
      <c r="R49" s="3045" t="e">
        <f>IF(E1="售价",ROUND(AVERAGE(R48:V48),0),ROUND(AVERAGE(R48:V48),1))</f>
        <v>#DIV/0!</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23.8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01" t="s">
        <v>2341</v>
      </c>
      <c r="D4" s="3002"/>
      <c r="E4" s="3003" t="s">
        <v>2342</v>
      </c>
      <c r="F4" s="3004"/>
      <c r="G4" s="3001" t="s">
        <v>2343</v>
      </c>
      <c r="H4" s="3002"/>
      <c r="I4" s="3001" t="s">
        <v>2344</v>
      </c>
      <c r="J4" s="3002"/>
      <c r="K4" s="5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3017" t="s">
        <v>2343</v>
      </c>
      <c r="AC4" s="2998" t="s">
        <v>2344</v>
      </c>
    </row>
    <row r="5" spans="1:29" ht="15">
      <c r="A5" s="383"/>
      <c r="B5" s="384"/>
      <c r="C5" s="3020" t="s">
        <v>2347</v>
      </c>
      <c r="D5" s="3021"/>
      <c r="E5" s="3018" t="s">
        <v>2348</v>
      </c>
      <c r="F5" s="3019"/>
      <c r="G5" s="3020" t="s">
        <v>2349</v>
      </c>
      <c r="H5" s="3021"/>
      <c r="I5" s="3020" t="s">
        <v>2350</v>
      </c>
      <c r="J5" s="3021"/>
      <c r="K5" s="594"/>
      <c r="L5" s="1243"/>
      <c r="M5" s="1244"/>
      <c r="N5" s="1244"/>
      <c r="O5" s="1244"/>
      <c r="P5" s="3007"/>
      <c r="Q5" s="3008"/>
      <c r="R5" s="3013"/>
      <c r="S5" s="3014"/>
      <c r="T5" s="3013"/>
      <c r="U5" s="3014"/>
      <c r="V5" s="3017"/>
      <c r="W5" s="3017"/>
      <c r="X5" s="1900"/>
      <c r="Y5" s="3013"/>
      <c r="Z5" s="3014"/>
      <c r="AA5" s="2999"/>
      <c r="AB5" s="3017"/>
      <c r="AC5" s="2999"/>
    </row>
    <row r="6" spans="1:29" ht="15.75" thickBot="1">
      <c r="A6" s="385"/>
      <c r="B6" s="386"/>
      <c r="C6" s="3022" t="s">
        <v>2351</v>
      </c>
      <c r="D6" s="3023"/>
      <c r="E6" s="3024" t="s">
        <v>2351</v>
      </c>
      <c r="F6" s="3025"/>
      <c r="G6" s="3022" t="s">
        <v>2351</v>
      </c>
      <c r="H6" s="3023"/>
      <c r="I6" s="3022" t="s">
        <v>2351</v>
      </c>
      <c r="J6" s="3023"/>
      <c r="K6" s="594" t="s">
        <v>2352</v>
      </c>
      <c r="L6" s="1243"/>
      <c r="M6" s="1244"/>
      <c r="N6" s="1244"/>
      <c r="O6" s="1244"/>
      <c r="P6" s="3009"/>
      <c r="Q6" s="3010"/>
      <c r="R6" s="3013"/>
      <c r="S6" s="3014"/>
      <c r="T6" s="3015"/>
      <c r="U6" s="3016"/>
      <c r="V6" s="3017"/>
      <c r="W6" s="3017"/>
      <c r="X6" s="1900"/>
      <c r="Y6" s="3015"/>
      <c r="Z6" s="3016"/>
      <c r="AA6" s="3000"/>
      <c r="AB6" s="3017"/>
      <c r="AC6" s="3000"/>
    </row>
    <row r="7" spans="1:29" s="35" customFormat="1" ht="15.75" thickBot="1">
      <c r="A7" s="387" t="s">
        <v>2353</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9"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0"/>
      <c r="Q16" s="1899"/>
      <c r="R16" s="753"/>
      <c r="S16" s="754"/>
      <c r="T16" s="753"/>
      <c r="U16" s="754"/>
      <c r="V16" s="753"/>
      <c r="W16" s="754"/>
      <c r="X16" s="1900"/>
      <c r="Y16" s="3027"/>
      <c r="Z16" s="1902"/>
      <c r="AA16" s="1903">
        <v>1</v>
      </c>
      <c r="AB16" s="1903">
        <v>1</v>
      </c>
      <c r="AC16" s="1903">
        <v>1</v>
      </c>
    </row>
    <row r="17" spans="1:29" ht="142.5">
      <c r="A17" s="408"/>
      <c r="B17" s="431" t="s">
        <v>1750</v>
      </c>
      <c r="C17" s="2405" t="str">
        <f>估价对象房地状况!C6</f>
        <v>估价对象周边有5路、23路、48路、57路、66路等多条公交线路，距地铁7号线（珠市口站）约300米，停车便捷程度较差，综合评价交通便捷度较好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0"/>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0"/>
      <c r="Q18" s="1899"/>
      <c r="R18" s="753"/>
      <c r="S18" s="754"/>
      <c r="T18" s="753"/>
      <c r="U18" s="754"/>
      <c r="V18" s="753"/>
      <c r="W18" s="754"/>
      <c r="X18" s="1900"/>
      <c r="Y18" s="3027"/>
      <c r="Z18" s="1902"/>
      <c r="AA18" s="1903">
        <v>1</v>
      </c>
      <c r="AB18" s="1903">
        <v>1</v>
      </c>
      <c r="AC18" s="1903">
        <v>1</v>
      </c>
    </row>
    <row r="19" spans="1:29" ht="42.75">
      <c r="A19" s="408"/>
      <c r="B19" s="431" t="s">
        <v>2451</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0"/>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0"/>
      <c r="Q20" s="1899"/>
      <c r="R20" s="753"/>
      <c r="S20" s="754"/>
      <c r="T20" s="753"/>
      <c r="U20" s="754"/>
      <c r="V20" s="753"/>
      <c r="W20" s="754"/>
      <c r="X20" s="1900"/>
      <c r="Y20" s="3027"/>
      <c r="Z20" s="1902"/>
      <c r="AA20" s="1903">
        <v>1</v>
      </c>
      <c r="AB20" s="1903">
        <v>1</v>
      </c>
      <c r="AC20" s="1903">
        <v>1</v>
      </c>
    </row>
    <row r="21" spans="1:29" ht="15">
      <c r="A21" s="408"/>
      <c r="B21" s="2407" t="s">
        <v>2452</v>
      </c>
      <c r="C21" s="2405" t="str">
        <f>估价对象房地状况!C8</f>
        <v>三通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0"/>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0"/>
      <c r="Q22" s="1899"/>
      <c r="R22" s="753"/>
      <c r="S22" s="754"/>
      <c r="T22" s="753"/>
      <c r="U22" s="754"/>
      <c r="V22" s="753"/>
      <c r="W22" s="754"/>
      <c r="X22" s="1900"/>
      <c r="Y22" s="3027"/>
      <c r="Z22" s="1902"/>
      <c r="AA22" s="1903">
        <v>1</v>
      </c>
      <c r="AB22" s="1903">
        <v>1</v>
      </c>
      <c r="AC22" s="1903">
        <v>1</v>
      </c>
    </row>
    <row r="23" spans="1:29" ht="99.75">
      <c r="A23" s="408"/>
      <c r="B23" s="431" t="s">
        <v>1755</v>
      </c>
      <c r="C23" s="2456" t="str">
        <f>估价对象房地状况!C9</f>
        <v>区域自然环境：天坛公园；人文环境：琉璃厂古文化街、北京天桥艺术中心；综合评价环境状况较好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0"/>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0"/>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0"/>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0"/>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0"/>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0"/>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0"/>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0"/>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7" t="str">
        <f>A47</f>
        <v>成交单价（元/平方米）</v>
      </c>
      <c r="Q47" s="3037"/>
      <c r="R47" s="3038">
        <f>E47</f>
        <v>0</v>
      </c>
      <c r="S47" s="3038"/>
      <c r="T47" s="3038">
        <f>G47</f>
        <v>0</v>
      </c>
      <c r="U47" s="3038"/>
      <c r="V47" s="3038">
        <f>I47</f>
        <v>0</v>
      </c>
      <c r="W47" s="303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43" t="str">
        <f>A49</f>
        <v>估价对象XX用房的比较价值（楼面单价，元/平方米）</v>
      </c>
      <c r="Q49" s="3044"/>
      <c r="R49" s="3045" t="e">
        <f>IF(E1="售价",ROUND(AVERAGE(R48:V48),0),ROUND(AVERAGE(R48:V48),1))</f>
        <v>#DIV/0!</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23.8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01" t="s">
        <v>2341</v>
      </c>
      <c r="D4" s="3002"/>
      <c r="E4" s="3003" t="s">
        <v>2342</v>
      </c>
      <c r="F4" s="3004"/>
      <c r="G4" s="3001" t="s">
        <v>2343</v>
      </c>
      <c r="H4" s="3002"/>
      <c r="I4" s="3001" t="s">
        <v>2344</v>
      </c>
      <c r="J4" s="3002"/>
      <c r="K4" s="594" t="s">
        <v>2345</v>
      </c>
      <c r="L4" s="1243"/>
      <c r="M4" s="1244"/>
      <c r="N4" s="1244"/>
      <c r="O4" s="1244"/>
      <c r="P4" s="3046" t="s">
        <v>2346</v>
      </c>
      <c r="Q4" s="3006"/>
      <c r="R4" s="3011" t="s">
        <v>2342</v>
      </c>
      <c r="S4" s="3012"/>
      <c r="T4" s="3011" t="s">
        <v>2343</v>
      </c>
      <c r="U4" s="3012"/>
      <c r="V4" s="3017" t="s">
        <v>2344</v>
      </c>
      <c r="W4" s="3017"/>
      <c r="X4" s="1900"/>
      <c r="Y4" s="3011" t="s">
        <v>2346</v>
      </c>
      <c r="Z4" s="3012"/>
      <c r="AA4" s="2998" t="s">
        <v>2342</v>
      </c>
      <c r="AB4" s="2998" t="s">
        <v>2343</v>
      </c>
      <c r="AC4" s="2998" t="s">
        <v>2344</v>
      </c>
    </row>
    <row r="5" spans="1:29" ht="15">
      <c r="A5" s="383"/>
      <c r="B5" s="384"/>
      <c r="C5" s="3020" t="s">
        <v>2347</v>
      </c>
      <c r="D5" s="3021"/>
      <c r="E5" s="3018" t="s">
        <v>2348</v>
      </c>
      <c r="F5" s="3019"/>
      <c r="G5" s="3020" t="s">
        <v>2349</v>
      </c>
      <c r="H5" s="3021"/>
      <c r="I5" s="3020" t="s">
        <v>2350</v>
      </c>
      <c r="J5" s="3021"/>
      <c r="K5" s="594"/>
      <c r="L5" s="1243"/>
      <c r="M5" s="1244"/>
      <c r="N5" s="1244"/>
      <c r="O5" s="1244"/>
      <c r="P5" s="304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594" t="s">
        <v>2352</v>
      </c>
      <c r="L6" s="1243"/>
      <c r="M6" s="1244"/>
      <c r="N6" s="1244"/>
      <c r="O6" s="1244"/>
      <c r="P6" s="3048"/>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5"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4"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6"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8"/>
      <c r="Q16" s="1899"/>
      <c r="R16" s="753"/>
      <c r="S16" s="754"/>
      <c r="T16" s="753"/>
      <c r="U16" s="754"/>
      <c r="V16" s="753"/>
      <c r="W16" s="754"/>
      <c r="X16" s="1900"/>
      <c r="Y16" s="3027"/>
      <c r="Z16" s="1902"/>
      <c r="AA16" s="1903">
        <v>1</v>
      </c>
      <c r="AB16" s="1903">
        <v>1</v>
      </c>
      <c r="AC16" s="1903">
        <v>1</v>
      </c>
    </row>
    <row r="17" spans="1:29" ht="142.5">
      <c r="A17" s="408"/>
      <c r="B17" s="615" t="s">
        <v>1750</v>
      </c>
      <c r="C17" s="2467" t="str">
        <f>估价对象房地状况!C6</f>
        <v>估价对象周边有5路、23路、48路、57路、66路等多条公交线路，距地铁7号线（珠市口站）约300米，停车便捷程度较差，综合评价交通便捷度较好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8"/>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8"/>
      <c r="Q18" s="1899"/>
      <c r="R18" s="753"/>
      <c r="S18" s="754"/>
      <c r="T18" s="753"/>
      <c r="U18" s="754"/>
      <c r="V18" s="753"/>
      <c r="W18" s="754"/>
      <c r="X18" s="1900"/>
      <c r="Y18" s="3027"/>
      <c r="Z18" s="1902"/>
      <c r="AA18" s="1903">
        <v>1</v>
      </c>
      <c r="AB18" s="1903">
        <v>1</v>
      </c>
      <c r="AC18" s="1903">
        <v>1</v>
      </c>
    </row>
    <row r="19" spans="1:29" ht="42.75">
      <c r="A19" s="408"/>
      <c r="B19" s="615" t="s">
        <v>2480</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8"/>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8"/>
      <c r="Q20" s="1899"/>
      <c r="R20" s="753"/>
      <c r="S20" s="754"/>
      <c r="T20" s="753"/>
      <c r="U20" s="754"/>
      <c r="V20" s="753"/>
      <c r="W20" s="754"/>
      <c r="X20" s="1900"/>
      <c r="Y20" s="3027"/>
      <c r="Z20" s="1902"/>
      <c r="AA20" s="1903">
        <v>1</v>
      </c>
      <c r="AB20" s="1903">
        <v>1</v>
      </c>
      <c r="AC20" s="1903">
        <v>1</v>
      </c>
    </row>
    <row r="21" spans="1:29" ht="15">
      <c r="A21" s="408"/>
      <c r="B21" s="617" t="s">
        <v>2481</v>
      </c>
      <c r="C21" s="2467" t="str">
        <f>估价对象房地状况!C8</f>
        <v>三通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8"/>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08"/>
      <c r="Q22" s="1899"/>
      <c r="R22" s="753"/>
      <c r="S22" s="754"/>
      <c r="T22" s="753"/>
      <c r="U22" s="754"/>
      <c r="V22" s="753"/>
      <c r="W22" s="754"/>
      <c r="X22" s="1900"/>
      <c r="Y22" s="3027"/>
      <c r="Z22" s="1902"/>
      <c r="AA22" s="1903">
        <v>1</v>
      </c>
      <c r="AB22" s="1903">
        <v>1</v>
      </c>
      <c r="AC22" s="1903">
        <v>1</v>
      </c>
    </row>
    <row r="23" spans="1:29" ht="99.75">
      <c r="A23" s="408"/>
      <c r="B23" s="615" t="s">
        <v>2482</v>
      </c>
      <c r="C23" s="2467" t="str">
        <f>估价对象房地状况!C9</f>
        <v>区域自然环境：天坛公园；人文环境：琉璃厂古文化街、北京天桥艺术中心；综合评价环境状况较好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8"/>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8"/>
      <c r="Q24" s="1899"/>
      <c r="R24" s="753"/>
      <c r="S24" s="754"/>
      <c r="T24" s="753"/>
      <c r="U24" s="754"/>
      <c r="V24" s="753"/>
      <c r="W24" s="754"/>
      <c r="X24" s="1900"/>
      <c r="Y24" s="3027"/>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8"/>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8"/>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8"/>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8"/>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8"/>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8"/>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8"/>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8"/>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9"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0"/>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0"/>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0"/>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0"/>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0"/>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0"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0"/>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0"/>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0"/>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0"/>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50"/>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0"/>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0"/>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1"/>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44" t="str">
        <f>A48</f>
        <v>成交单价（元/平方米）</v>
      </c>
      <c r="Q48" s="3037"/>
      <c r="R48" s="3038">
        <f>E48</f>
        <v>0</v>
      </c>
      <c r="S48" s="3038"/>
      <c r="T48" s="3038">
        <f>G48</f>
        <v>0</v>
      </c>
      <c r="U48" s="3038"/>
      <c r="V48" s="3038">
        <f>I48</f>
        <v>0</v>
      </c>
      <c r="W48" s="3038"/>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52" t="str">
        <f>A50</f>
        <v>估价对象XX用房的比较价值（楼面单价，元/平方米）</v>
      </c>
      <c r="Q50" s="3044"/>
      <c r="R50" s="3045" t="e">
        <f>IF(E1="售价",ROUND(AVERAGE(R49:V49),0),ROUND(AVERAGE(R49:V49),1))</f>
        <v>#DIV/0!</v>
      </c>
      <c r="S50" s="3045"/>
      <c r="T50" s="3045"/>
      <c r="U50" s="3045"/>
      <c r="V50" s="3045"/>
      <c r="W50" s="304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23.8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1" t="s">
        <v>2341</v>
      </c>
      <c r="D4" s="3002"/>
      <c r="E4" s="3003" t="s">
        <v>2342</v>
      </c>
      <c r="F4" s="3004"/>
      <c r="G4" s="3001" t="s">
        <v>2343</v>
      </c>
      <c r="H4" s="3002"/>
      <c r="I4" s="3001" t="s">
        <v>2344</v>
      </c>
      <c r="J4" s="3002"/>
      <c r="K4" s="5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2999" t="s">
        <v>2343</v>
      </c>
      <c r="AC4" s="2998" t="s">
        <v>2344</v>
      </c>
    </row>
    <row r="5" spans="1:29" ht="15">
      <c r="A5" s="383"/>
      <c r="B5" s="384"/>
      <c r="C5" s="3020" t="s">
        <v>2347</v>
      </c>
      <c r="D5" s="3021"/>
      <c r="E5" s="3018" t="s">
        <v>2348</v>
      </c>
      <c r="F5" s="3019"/>
      <c r="G5" s="3020" t="s">
        <v>2349</v>
      </c>
      <c r="H5" s="3021"/>
      <c r="I5" s="3020" t="s">
        <v>2350</v>
      </c>
      <c r="J5" s="3021"/>
      <c r="K5" s="594"/>
      <c r="L5" s="1243"/>
      <c r="M5" s="1244"/>
      <c r="N5" s="1244"/>
      <c r="O5" s="1244"/>
      <c r="P5" s="300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594" t="s">
        <v>2352</v>
      </c>
      <c r="L6" s="1243"/>
      <c r="M6" s="1244"/>
      <c r="N6" s="1244"/>
      <c r="O6" s="1244"/>
      <c r="P6" s="3009"/>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28.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3"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7" t="str">
        <f>A41</f>
        <v>成交单价（元/平方米）</v>
      </c>
      <c r="Q41" s="3037"/>
      <c r="R41" s="3038">
        <f>E41</f>
        <v>0</v>
      </c>
      <c r="S41" s="3038"/>
      <c r="T41" s="3038">
        <f>G41</f>
        <v>0</v>
      </c>
      <c r="U41" s="3038"/>
      <c r="V41" s="3038">
        <f>I41</f>
        <v>0</v>
      </c>
      <c r="W41" s="303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43" t="str">
        <f>A43</f>
        <v>估价对象XX用房的比较价值（楼面单价，元/平方米）</v>
      </c>
      <c r="Q43" s="3044"/>
      <c r="R43" s="3045" t="e">
        <f>IF(E1="售价",ROUND(AVERAGE(R42:V42),0),ROUND(AVERAGE(R42:V42),1))</f>
        <v>#DIV/0!</v>
      </c>
      <c r="S43" s="3045"/>
      <c r="T43" s="3045"/>
      <c r="U43" s="3045"/>
      <c r="V43" s="3045"/>
      <c r="W43" s="304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23.8</v>
      </c>
      <c r="E3" s="1092" t="s">
        <v>2507</v>
      </c>
      <c r="F3" s="379">
        <f>'数据-取费表'!B41</f>
        <v>23.8</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01" t="s">
        <v>2341</v>
      </c>
      <c r="D4" s="3002"/>
      <c r="E4" s="3003" t="s">
        <v>2342</v>
      </c>
      <c r="F4" s="3004"/>
      <c r="G4" s="3001" t="s">
        <v>2343</v>
      </c>
      <c r="H4" s="3002"/>
      <c r="I4" s="3001" t="s">
        <v>2344</v>
      </c>
      <c r="J4" s="3002"/>
      <c r="K4" s="594" t="s">
        <v>2345</v>
      </c>
      <c r="L4" s="1514"/>
      <c r="M4" s="425"/>
      <c r="N4" s="425"/>
      <c r="O4" s="425"/>
      <c r="P4" s="3005" t="s">
        <v>2346</v>
      </c>
      <c r="Q4" s="3006"/>
      <c r="R4" s="3011" t="s">
        <v>2342</v>
      </c>
      <c r="S4" s="3012"/>
      <c r="T4" s="3011" t="s">
        <v>2343</v>
      </c>
      <c r="U4" s="3012"/>
      <c r="V4" s="3017" t="s">
        <v>2344</v>
      </c>
      <c r="W4" s="3017"/>
      <c r="X4" s="1900"/>
      <c r="Y4" s="3011" t="s">
        <v>2346</v>
      </c>
      <c r="Z4" s="3012"/>
      <c r="AA4" s="2998" t="s">
        <v>2342</v>
      </c>
      <c r="AB4" s="2999" t="s">
        <v>2343</v>
      </c>
      <c r="AC4" s="2998" t="s">
        <v>2344</v>
      </c>
    </row>
    <row r="5" spans="1:29" ht="15">
      <c r="A5" s="383"/>
      <c r="B5" s="384"/>
      <c r="C5" s="3020" t="s">
        <v>2347</v>
      </c>
      <c r="D5" s="3021"/>
      <c r="E5" s="3018" t="s">
        <v>2348</v>
      </c>
      <c r="F5" s="3019"/>
      <c r="G5" s="3020" t="s">
        <v>2349</v>
      </c>
      <c r="H5" s="3021"/>
      <c r="I5" s="3020" t="s">
        <v>2350</v>
      </c>
      <c r="J5" s="3021"/>
      <c r="K5" s="594"/>
      <c r="L5" s="1514"/>
      <c r="M5" s="425"/>
      <c r="N5" s="425"/>
      <c r="O5" s="425"/>
      <c r="P5" s="300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594" t="s">
        <v>2352</v>
      </c>
      <c r="L6" s="1514"/>
      <c r="M6" s="425"/>
      <c r="N6" s="425"/>
      <c r="O6" s="425"/>
      <c r="P6" s="3009"/>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35"/>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7"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7"/>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7"/>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7"/>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7"/>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估价对象周边有5路、23路、48路、57路、66路等多条公交线路，距地铁7号线（珠市口站）约300米，停车便捷程度较差，综合评价交通便捷度较好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15">
      <c r="A18" s="383"/>
      <c r="B18" s="617" t="s">
        <v>2481</v>
      </c>
      <c r="C18" s="1482" t="str">
        <f>IF(B1="工业",估价对象房地状况!G6,估价对象房地状况!C8)</f>
        <v>三通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99.75">
      <c r="A20" s="383"/>
      <c r="B20" s="615" t="s">
        <v>2509</v>
      </c>
      <c r="C20" s="1482" t="str">
        <f>IF(B1="工业",估价对象房地状况!G7,估价对象房地状况!C9)</f>
        <v>区域自然环境：天坛公园；人文环境：琉璃厂古文化街、北京天桥艺术中心；综合评价环境状况较好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28.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7" t="str">
        <f>A37</f>
        <v>成交单价</v>
      </c>
      <c r="Q37" s="3037"/>
      <c r="R37" s="3038">
        <f>E37</f>
        <v>0</v>
      </c>
      <c r="S37" s="3038"/>
      <c r="T37" s="3038">
        <f>G37</f>
        <v>0</v>
      </c>
      <c r="U37" s="3038"/>
      <c r="V37" s="3038">
        <f>I37</f>
        <v>0</v>
      </c>
      <c r="W37" s="303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43" t="str">
        <f>A39</f>
        <v>估价对象XX用房的比较价值（楼面单价，元/平方米）</v>
      </c>
      <c r="Q39" s="3044"/>
      <c r="R39" s="3045" t="e">
        <f>IF(E1="售价",ROUND(AVERAGE(R38:V38),0),ROUND(AVERAGE(R38:V38),1))</f>
        <v>#DIV/0!</v>
      </c>
      <c r="S39" s="3045"/>
      <c r="T39" s="3045"/>
      <c r="U39" s="3045"/>
      <c r="V39" s="3045"/>
      <c r="W39" s="304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23.8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1" t="s">
        <v>2341</v>
      </c>
      <c r="D4" s="3002"/>
      <c r="E4" s="3003" t="s">
        <v>2342</v>
      </c>
      <c r="F4" s="3004"/>
      <c r="G4" s="3001" t="s">
        <v>2343</v>
      </c>
      <c r="H4" s="3002"/>
      <c r="I4" s="3001" t="s">
        <v>2344</v>
      </c>
      <c r="J4" s="3002"/>
      <c r="K4" s="5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2999" t="s">
        <v>2343</v>
      </c>
      <c r="AC4" s="2998" t="s">
        <v>2344</v>
      </c>
    </row>
    <row r="5" spans="1:29" ht="15">
      <c r="A5" s="383"/>
      <c r="B5" s="384"/>
      <c r="C5" s="3020" t="s">
        <v>2347</v>
      </c>
      <c r="D5" s="3021"/>
      <c r="E5" s="3018" t="s">
        <v>2348</v>
      </c>
      <c r="F5" s="3019"/>
      <c r="G5" s="3020" t="s">
        <v>2349</v>
      </c>
      <c r="H5" s="3021"/>
      <c r="I5" s="3020" t="s">
        <v>2350</v>
      </c>
      <c r="J5" s="3021"/>
      <c r="K5" s="594"/>
      <c r="L5" s="1243"/>
      <c r="M5" s="1244"/>
      <c r="N5" s="1244"/>
      <c r="O5" s="1244"/>
      <c r="P5" s="300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594" t="s">
        <v>2352</v>
      </c>
      <c r="L6" s="1243"/>
      <c r="M6" s="1244"/>
      <c r="N6" s="1244"/>
      <c r="O6" s="1244"/>
      <c r="P6" s="3009"/>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35"/>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7"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7"/>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2364</v>
      </c>
      <c r="B14" s="26" t="s">
        <v>2508</v>
      </c>
      <c r="C14" s="2478" t="str">
        <f>IF(B1="工业",估价对象房地状况!G4,估价对象房地状况!C6)</f>
        <v>估价对象周边有5路、23路、48路、57路、66路等多条公交线路，距地铁7号线（珠市口站）约300米，停车便捷程度较差，综合评价交通便捷度较好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2480</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15">
      <c r="A18" s="408"/>
      <c r="B18" s="617" t="s">
        <v>2481</v>
      </c>
      <c r="C18" s="2405" t="str">
        <f>IF(B1="工业",估价对象房地状况!G6,估价对象房地状况!C8)</f>
        <v>三通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99.75">
      <c r="A20" s="408"/>
      <c r="B20" s="431" t="s">
        <v>2509</v>
      </c>
      <c r="C20" s="2405" t="str">
        <f>IF(B1="工业",估价对象房地状况!G7,估价对象房地状况!C9)</f>
        <v>区域自然环境：天坛公园；人文环境：琉璃厂古文化街、北京天桥艺术中心；综合评价环境状况较好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28.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7" t="str">
        <f>A35</f>
        <v>成交单价（元/平方米）</v>
      </c>
      <c r="Q35" s="3037"/>
      <c r="R35" s="3038">
        <f>E35</f>
        <v>0</v>
      </c>
      <c r="S35" s="3038"/>
      <c r="T35" s="3038">
        <f>G35</f>
        <v>0</v>
      </c>
      <c r="U35" s="3038"/>
      <c r="V35" s="3038">
        <f>I35</f>
        <v>0</v>
      </c>
      <c r="W35" s="303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43" t="str">
        <f>A37</f>
        <v>估价对象XX用房的比较价值（楼面单价，元/平方米）</v>
      </c>
      <c r="Q37" s="3044"/>
      <c r="R37" s="3045" t="e">
        <f>IF(E1="售价",ROUND(AVERAGE(R36:V36),0),ROUND(AVERAGE(R36:V36),1))</f>
        <v>#DIV/0!</v>
      </c>
      <c r="S37" s="3045"/>
      <c r="T37" s="3045"/>
      <c r="U37" s="3045"/>
      <c r="V37" s="3045"/>
      <c r="W37" s="304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27" sqref="F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01" t="s">
        <v>2341</v>
      </c>
      <c r="D4" s="3002"/>
      <c r="E4" s="3003" t="s">
        <v>2342</v>
      </c>
      <c r="F4" s="3004"/>
      <c r="G4" s="3001" t="s">
        <v>2343</v>
      </c>
      <c r="H4" s="3002"/>
      <c r="I4" s="3001" t="s">
        <v>2344</v>
      </c>
      <c r="J4" s="3002"/>
      <c r="K4" s="5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2999" t="s">
        <v>2343</v>
      </c>
      <c r="AC4" s="2998" t="s">
        <v>2344</v>
      </c>
    </row>
    <row r="5" spans="1:30" ht="15">
      <c r="A5" s="383"/>
      <c r="B5" s="384"/>
      <c r="C5" s="3020" t="s">
        <v>2347</v>
      </c>
      <c r="D5" s="3021"/>
      <c r="E5" s="3018" t="s">
        <v>2348</v>
      </c>
      <c r="F5" s="3019"/>
      <c r="G5" s="3020" t="s">
        <v>2349</v>
      </c>
      <c r="H5" s="3021"/>
      <c r="I5" s="3020" t="s">
        <v>2350</v>
      </c>
      <c r="J5" s="3021"/>
      <c r="K5" s="594"/>
      <c r="L5" s="1243"/>
      <c r="M5" s="1244"/>
      <c r="N5" s="1244"/>
      <c r="O5" s="1244"/>
      <c r="P5" s="3007"/>
      <c r="Q5" s="3008"/>
      <c r="R5" s="3013"/>
      <c r="S5" s="3014"/>
      <c r="T5" s="3013"/>
      <c r="U5" s="3014"/>
      <c r="V5" s="3017"/>
      <c r="W5" s="3017"/>
      <c r="X5" s="1900"/>
      <c r="Y5" s="3013"/>
      <c r="Z5" s="3014"/>
      <c r="AA5" s="2999"/>
      <c r="AB5" s="2999"/>
      <c r="AC5" s="2999"/>
    </row>
    <row r="6" spans="1:30" ht="15.75" thickBot="1">
      <c r="A6" s="385"/>
      <c r="B6" s="386"/>
      <c r="C6" s="3022" t="s">
        <v>2351</v>
      </c>
      <c r="D6" s="3023"/>
      <c r="E6" s="3024" t="s">
        <v>2351</v>
      </c>
      <c r="F6" s="3025"/>
      <c r="G6" s="3022" t="s">
        <v>2351</v>
      </c>
      <c r="H6" s="3023"/>
      <c r="I6" s="3022" t="s">
        <v>2351</v>
      </c>
      <c r="J6" s="3023"/>
      <c r="K6" s="594" t="s">
        <v>2352</v>
      </c>
      <c r="L6" s="1243"/>
      <c r="M6" s="1244"/>
      <c r="N6" s="1244"/>
      <c r="O6" s="1244"/>
      <c r="P6" s="3009"/>
      <c r="Q6" s="3010"/>
      <c r="R6" s="3013"/>
      <c r="S6" s="3014"/>
      <c r="T6" s="3015"/>
      <c r="U6" s="3016"/>
      <c r="V6" s="3017"/>
      <c r="W6" s="3017"/>
      <c r="X6" s="1900"/>
      <c r="Y6" s="3015"/>
      <c r="Z6" s="3016"/>
      <c r="AA6" s="3000"/>
      <c r="AB6" s="3000"/>
      <c r="AC6" s="3000"/>
    </row>
    <row r="7" spans="1:30" s="35" customFormat="1" ht="15.75" thickBot="1">
      <c r="A7" s="387" t="s">
        <v>2353</v>
      </c>
      <c r="B7" s="388"/>
      <c r="C7" s="389">
        <f>'数据-取费表'!B2</f>
        <v>43298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7"/>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85.5">
      <c r="A15" s="380" t="s">
        <v>2364</v>
      </c>
      <c r="B15" s="1487" t="s">
        <v>1739</v>
      </c>
      <c r="C15" s="2466" t="str">
        <f>估价对象房地状况!C15</f>
        <v>估价对象周边有培智胡同、小椿树胡同、博兴胡同等，综合评价居住社区成熟度较好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42.5">
      <c r="A21" s="383"/>
      <c r="B21" s="1489" t="s">
        <v>2508</v>
      </c>
      <c r="C21" s="2467" t="str">
        <f>估价对象房地状况!C18</f>
        <v>估价对象周边有5路、23路、48路、57路、66路等多条公交线路，距地铁7号线（珠市口站）约300米，停车便捷程度较差，综合评价交通便捷度较好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7"/>
      <c r="Q24" s="1899"/>
      <c r="R24" s="753"/>
      <c r="S24" s="754"/>
      <c r="T24" s="753"/>
      <c r="U24" s="754"/>
      <c r="V24" s="753"/>
      <c r="W24" s="754"/>
      <c r="X24" s="1900"/>
      <c r="Y24" s="3027"/>
      <c r="Z24" s="1902"/>
      <c r="AA24" s="1903"/>
      <c r="AB24" s="1903"/>
      <c r="AC24" s="1903"/>
    </row>
    <row r="25" spans="1:29" ht="99.75">
      <c r="A25" s="383"/>
      <c r="B25" s="1491" t="s">
        <v>2549</v>
      </c>
      <c r="C25" s="2484" t="str">
        <f>估价对象房地状况!C20</f>
        <v>区域自然环境：天坛公园；人文环境：琉璃厂古文化街、北京天桥艺术中心；综合评价环境状况较好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2451</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15">
      <c r="A29" s="633"/>
      <c r="B29" s="1491" t="s">
        <v>2452</v>
      </c>
      <c r="C29" s="2487" t="str">
        <f>估价对象房地状况!C22</f>
        <v>三通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3"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37" t="str">
        <f>A46</f>
        <v>成交单价</v>
      </c>
      <c r="Q46" s="3037"/>
      <c r="R46" s="3017">
        <f>E46</f>
        <v>0</v>
      </c>
      <c r="S46" s="3017"/>
      <c r="T46" s="3017">
        <f>G46</f>
        <v>0</v>
      </c>
      <c r="U46" s="3017"/>
      <c r="V46" s="3017">
        <f>I46</f>
        <v>0</v>
      </c>
      <c r="W46" s="3017"/>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7" t="str">
        <f>A47</f>
        <v>比较价值（元/平方米）</v>
      </c>
      <c r="Q47" s="3037"/>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43" t="str">
        <f>A48</f>
        <v>估价对象XX用房的比较价值（楼面单价，元/平方米）</v>
      </c>
      <c r="Q48" s="3044"/>
      <c r="R48" s="3055" t="e">
        <f>ROUND(AVERAGE(R47:V47),0)</f>
        <v>#DIV/0!</v>
      </c>
      <c r="S48" s="3055"/>
      <c r="T48" s="3055"/>
      <c r="U48" s="3055"/>
      <c r="V48" s="3055"/>
      <c r="W48" s="305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西城区（原宣武区）培英胡同3、7号、煤市街175号幢号17</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2568</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2569</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2570</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2571</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2572</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2573</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2574</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2577</v>
      </c>
      <c r="B71" s="284" t="str">
        <f>"北京市平均增长率"&amp;TEXT(SUMIF(基准地价修正!N21:N25,A71,基准地价修正!P21:P25),"0.00%")</f>
        <v>北京市平均增长率1.61%</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F27" sqref="F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1" t="s">
        <v>2341</v>
      </c>
      <c r="D4" s="3002"/>
      <c r="E4" s="3003" t="s">
        <v>2342</v>
      </c>
      <c r="F4" s="3004"/>
      <c r="G4" s="3001" t="s">
        <v>2343</v>
      </c>
      <c r="H4" s="3002"/>
      <c r="I4" s="3001" t="s">
        <v>2344</v>
      </c>
      <c r="J4" s="3002"/>
      <c r="K4" s="594" t="s">
        <v>2345</v>
      </c>
      <c r="L4" s="1243"/>
      <c r="M4" s="1244"/>
      <c r="N4" s="1244"/>
      <c r="O4" s="1244"/>
      <c r="P4" s="3005" t="s">
        <v>2346</v>
      </c>
      <c r="Q4" s="3006"/>
      <c r="R4" s="3011" t="s">
        <v>2342</v>
      </c>
      <c r="S4" s="3012"/>
      <c r="T4" s="3011" t="s">
        <v>2343</v>
      </c>
      <c r="U4" s="3012"/>
      <c r="V4" s="3017" t="s">
        <v>2344</v>
      </c>
      <c r="W4" s="3017"/>
      <c r="X4" s="1900"/>
      <c r="Y4" s="3011" t="s">
        <v>2346</v>
      </c>
      <c r="Z4" s="3012"/>
      <c r="AA4" s="2998" t="s">
        <v>2342</v>
      </c>
      <c r="AB4" s="2999" t="s">
        <v>2343</v>
      </c>
      <c r="AC4" s="2998" t="s">
        <v>2344</v>
      </c>
    </row>
    <row r="5" spans="1:29" ht="15">
      <c r="A5" s="383"/>
      <c r="B5" s="384"/>
      <c r="C5" s="3020" t="s">
        <v>2347</v>
      </c>
      <c r="D5" s="3021"/>
      <c r="E5" s="3018" t="s">
        <v>2348</v>
      </c>
      <c r="F5" s="3019"/>
      <c r="G5" s="3020" t="s">
        <v>2349</v>
      </c>
      <c r="H5" s="3021"/>
      <c r="I5" s="3020" t="s">
        <v>2350</v>
      </c>
      <c r="J5" s="3021"/>
      <c r="K5" s="594"/>
      <c r="L5" s="1243"/>
      <c r="M5" s="1244"/>
      <c r="N5" s="1244"/>
      <c r="O5" s="1244"/>
      <c r="P5" s="3007"/>
      <c r="Q5" s="3008"/>
      <c r="R5" s="3013"/>
      <c r="S5" s="3014"/>
      <c r="T5" s="3013"/>
      <c r="U5" s="3014"/>
      <c r="V5" s="3017"/>
      <c r="W5" s="3017"/>
      <c r="X5" s="1900"/>
      <c r="Y5" s="3013"/>
      <c r="Z5" s="3014"/>
      <c r="AA5" s="2999"/>
      <c r="AB5" s="2999"/>
      <c r="AC5" s="2999"/>
    </row>
    <row r="6" spans="1:29" ht="15.75" thickBot="1">
      <c r="A6" s="385"/>
      <c r="B6" s="386"/>
      <c r="C6" s="3022" t="s">
        <v>2351</v>
      </c>
      <c r="D6" s="3023"/>
      <c r="E6" s="3024" t="s">
        <v>2351</v>
      </c>
      <c r="F6" s="3025"/>
      <c r="G6" s="3022" t="s">
        <v>2351</v>
      </c>
      <c r="H6" s="3023"/>
      <c r="I6" s="3022" t="s">
        <v>2351</v>
      </c>
      <c r="J6" s="3023"/>
      <c r="K6" s="594" t="s">
        <v>2352</v>
      </c>
      <c r="L6" s="1243"/>
      <c r="M6" s="1244"/>
      <c r="N6" s="1244"/>
      <c r="O6" s="1244"/>
      <c r="P6" s="3009"/>
      <c r="Q6" s="3010"/>
      <c r="R6" s="3013"/>
      <c r="S6" s="3014"/>
      <c r="T6" s="3015"/>
      <c r="U6" s="3016"/>
      <c r="V6" s="3017"/>
      <c r="W6" s="3017"/>
      <c r="X6" s="1900"/>
      <c r="Y6" s="3015"/>
      <c r="Z6" s="3016"/>
      <c r="AA6" s="3000"/>
      <c r="AB6" s="3000"/>
      <c r="AC6" s="3000"/>
    </row>
    <row r="7" spans="1:29" s="35" customFormat="1" ht="15.75" thickBot="1">
      <c r="A7" s="387" t="s">
        <v>2353</v>
      </c>
      <c r="B7" s="388"/>
      <c r="C7" s="389">
        <f>'数据-取费表'!B2</f>
        <v>43298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3"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37" t="str">
        <f>A41</f>
        <v>成交单价</v>
      </c>
      <c r="Q41" s="3037"/>
      <c r="R41" s="3017">
        <f>E41</f>
        <v>0</v>
      </c>
      <c r="S41" s="3017"/>
      <c r="T41" s="3017">
        <f>G41</f>
        <v>0</v>
      </c>
      <c r="U41" s="3017"/>
      <c r="V41" s="3017">
        <f>I41</f>
        <v>0</v>
      </c>
      <c r="W41" s="3017"/>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7" t="str">
        <f>A42</f>
        <v>比较价值（元/平方米）</v>
      </c>
      <c r="Q42" s="3037"/>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43" t="str">
        <f>A43</f>
        <v>估价对象XX用房的比较价值（楼面单价，元/平方米）</v>
      </c>
      <c r="Q43" s="3044"/>
      <c r="R43" s="3055" t="e">
        <f>ROUND(AVERAGE(R42:V42),0)</f>
        <v>#DIV/0!</v>
      </c>
      <c r="S43" s="3055"/>
      <c r="T43" s="3055"/>
      <c r="U43" s="3055"/>
      <c r="V43" s="3055"/>
      <c r="W43" s="305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西城区（原宣武区）培英胡同3、7号、煤市街175号幢号17</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2568</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2569</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2570</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2571</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2572</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2573</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2574</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2596</v>
      </c>
      <c r="B66" s="284" t="str">
        <f>"北京市平均增长率"&amp;TEXT(基准地价修正!P24,"0.00%")</f>
        <v>北京市平均增长率1.50%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估价对象为北京市房地产，为所有。根据《不动产权证书》[]，估价对象建筑面积为23.8平方米，（分摊）出让国有建设用地使用权面积为平方米。估价对象用途为住宅。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2018年7月17日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D14" sqref="D1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47.6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1479289</v>
      </c>
      <c r="C2" s="2507" t="s">
        <v>2606</v>
      </c>
      <c r="D2" s="2508" t="s">
        <v>2607</v>
      </c>
      <c r="E2" s="2509" t="s">
        <v>2824</v>
      </c>
      <c r="F2" s="2508" t="s">
        <v>2608</v>
      </c>
      <c r="G2" s="2510" t="str">
        <f>项目基本情况!F9</f>
        <v>二级</v>
      </c>
      <c r="H2" s="2511" t="s">
        <v>2609</v>
      </c>
      <c r="I2" s="2510" t="str">
        <f>项目基本情况!F10</f>
        <v>Ⅱ—09</v>
      </c>
      <c r="J2" s="2512"/>
      <c r="L2" s="2513" t="s">
        <v>2610</v>
      </c>
      <c r="M2" s="1120">
        <f>SUMPRODUCT((区片价!B10:B28=I2)*(区片价!C3:F3=E2)*(区片价!C10:F28))</f>
        <v>24100</v>
      </c>
      <c r="N2" s="1123">
        <f>SUMPRODUCT((因素修正幅度!B10:B28=I2)*(因素修正幅度!C3:F3=E2)*(因素修正幅度!C10:F28))</f>
        <v>0.1</v>
      </c>
      <c r="O2" s="1462"/>
      <c r="P2" s="1462"/>
      <c r="Q2" s="1462"/>
      <c r="R2" s="1709">
        <v>1</v>
      </c>
      <c r="S2" s="1709">
        <f>ROUND(IF(G3&gt;1,IF(R2&lt;7,SUMPRODUCT((B93:B98=R2)*(C92:N92=G2)*(C93:N98)),SUMIF(C92:N92,G2,C100:N100)),IF(R2&lt;7,SUMPRODUCT((B102:B107=R2)*(C92:N92=G2)*(C102:N107)),SUMIF(C92:N92,G2,C109:N109))),4)</f>
        <v>1.9361999999999999</v>
      </c>
      <c r="T2" s="1709">
        <f ca="1">ROUND($C$5*$C$18*$C$19*$C$20*S2*$C$24,0)</f>
        <v>98871</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31078</v>
      </c>
      <c r="C3" s="2507" t="s">
        <v>2612</v>
      </c>
      <c r="D3" s="2508" t="s">
        <v>2613</v>
      </c>
      <c r="E3" s="2514" t="s">
        <v>2852</v>
      </c>
      <c r="F3" s="2515" t="s">
        <v>2614</v>
      </c>
      <c r="G3" s="941">
        <f>项目基本情况!C15</f>
        <v>1</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72501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2"/>
      <c r="B4" s="3073"/>
      <c r="C4" s="3073"/>
      <c r="D4" s="3074"/>
      <c r="E4" s="3074"/>
      <c r="F4" s="3074"/>
      <c r="G4" s="3074"/>
      <c r="H4" s="3074"/>
      <c r="I4" s="3074"/>
      <c r="J4" s="3075"/>
      <c r="L4" s="2513"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59204</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f>ROUND(IF(E2="商业",IF(F16="增加",C6*C7+C16,C6*C7-C16),IF(E2="住宅",IF(F16="增加",C6*C12+C16,C6*C12-C16),IF(F16="增加",C6+C16,C6-C16))),0)</f>
        <v>31718</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49134</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24100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42981</v>
      </c>
      <c r="U6" s="1710"/>
      <c r="V6" s="1709">
        <f t="shared" ca="1" si="1"/>
        <v>0</v>
      </c>
      <c r="W6" s="1713"/>
      <c r="X6" s="1713"/>
      <c r="Y6" s="1713"/>
      <c r="Z6" s="1713"/>
      <c r="AA6" s="1713"/>
      <c r="AB6" s="1713"/>
      <c r="AC6" s="2522"/>
      <c r="AD6" s="2523"/>
      <c r="AE6" s="2523"/>
      <c r="AF6" s="2523"/>
      <c r="AG6" s="2523"/>
      <c r="AH6" s="2523"/>
      <c r="AI6" s="2523"/>
      <c r="AJ6" s="2524"/>
    </row>
    <row r="7" spans="1:36" ht="24">
      <c r="A7" s="3056"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38850</v>
      </c>
      <c r="U7" s="1710"/>
      <c r="V7" s="1709">
        <f t="shared" ca="1" si="1"/>
        <v>0</v>
      </c>
      <c r="W7" s="1905" t="s">
        <v>2628</v>
      </c>
      <c r="X7" s="1711" t="str">
        <f>G2</f>
        <v>二级</v>
      </c>
      <c r="Y7" s="1711" t="s">
        <v>2629</v>
      </c>
      <c r="Z7" s="1712">
        <f>G3</f>
        <v>1</v>
      </c>
      <c r="AA7" s="1713"/>
      <c r="AB7" s="1713"/>
      <c r="AC7" s="1714"/>
      <c r="AD7" s="1715"/>
      <c r="AE7" s="1715"/>
      <c r="AF7" s="1715"/>
      <c r="AG7" s="1715"/>
      <c r="AH7" s="1715"/>
      <c r="AI7" s="1715"/>
      <c r="AJ7" s="1716"/>
    </row>
    <row r="8" spans="1:36" ht="15">
      <c r="A8" s="3057"/>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9" t="s">
        <v>2633</v>
      </c>
      <c r="X8" s="307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57"/>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7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7"/>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7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7"/>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71" t="s">
        <v>2657</v>
      </c>
      <c r="X11" s="1722" t="s">
        <v>2658</v>
      </c>
      <c r="Y11" s="1723">
        <f>$G$3</f>
        <v>1</v>
      </c>
      <c r="Z11" s="1723">
        <f t="shared" ref="Z11:AJ11" si="3">$G$3</f>
        <v>1</v>
      </c>
      <c r="AA11" s="1723">
        <f t="shared" si="3"/>
        <v>1</v>
      </c>
      <c r="AB11" s="1723">
        <f t="shared" si="3"/>
        <v>1</v>
      </c>
      <c r="AC11" s="1723">
        <f t="shared" si="3"/>
        <v>1</v>
      </c>
      <c r="AD11" s="1723">
        <f t="shared" si="3"/>
        <v>1</v>
      </c>
      <c r="AE11" s="1723">
        <f t="shared" si="3"/>
        <v>1</v>
      </c>
      <c r="AF11" s="1723">
        <f t="shared" si="3"/>
        <v>1</v>
      </c>
      <c r="AG11" s="1723">
        <f t="shared" si="3"/>
        <v>1</v>
      </c>
      <c r="AH11" s="1723">
        <f t="shared" si="3"/>
        <v>1</v>
      </c>
      <c r="AI11" s="1723">
        <f t="shared" si="3"/>
        <v>1</v>
      </c>
      <c r="AJ11" s="1723">
        <f t="shared" si="3"/>
        <v>1</v>
      </c>
    </row>
    <row r="12" spans="1:36" ht="25.5" thickBot="1">
      <c r="A12" s="3056">
        <f>IF(E2="住宅",2,"")</f>
        <v>2</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7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6"/>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f t="shared" ca="1" si="0"/>
        <v>0</v>
      </c>
      <c r="U13" s="1710"/>
      <c r="V13" s="1709">
        <f t="shared" ca="1" si="1"/>
        <v>0</v>
      </c>
      <c r="W13" s="3071"/>
      <c r="X13" s="1724"/>
      <c r="Y13" s="1721">
        <f>(-0.163*(Y12^2)-0.59*Y12+7617)*(10^(-4))/Y11</f>
        <v>0.76170000000000004</v>
      </c>
      <c r="Z13" s="1721">
        <f t="shared" ref="Z13:AJ13" si="5">(-0.163*(Z12^2)-0.59*Z12+7617)*(10^(-4))/Z11</f>
        <v>0.76170000000000004</v>
      </c>
      <c r="AA13" s="1721">
        <f t="shared" si="5"/>
        <v>0.76170000000000004</v>
      </c>
      <c r="AB13" s="1721">
        <f t="shared" si="5"/>
        <v>0.76170000000000004</v>
      </c>
      <c r="AC13" s="1721">
        <f t="shared" si="5"/>
        <v>0.76170000000000004</v>
      </c>
      <c r="AD13" s="1721">
        <f t="shared" si="5"/>
        <v>0.76170000000000004</v>
      </c>
      <c r="AE13" s="1721">
        <f t="shared" si="5"/>
        <v>0.76170000000000004</v>
      </c>
      <c r="AF13" s="1721">
        <f t="shared" si="5"/>
        <v>0.76170000000000004</v>
      </c>
      <c r="AG13" s="1721">
        <f t="shared" si="5"/>
        <v>0.76170000000000004</v>
      </c>
      <c r="AH13" s="1721">
        <f t="shared" si="5"/>
        <v>0.76170000000000004</v>
      </c>
      <c r="AI13" s="1721">
        <f t="shared" si="5"/>
        <v>0.76170000000000004</v>
      </c>
      <c r="AJ13" s="1721">
        <f t="shared" si="5"/>
        <v>0.76170000000000004</v>
      </c>
    </row>
    <row r="14" spans="1:36" ht="15">
      <c r="A14" s="3076"/>
      <c r="B14" s="2557"/>
      <c r="C14" s="2558" t="s">
        <v>2853</v>
      </c>
      <c r="D14" s="2559" t="s">
        <v>2669</v>
      </c>
      <c r="E14" s="2559" t="s">
        <v>2830</v>
      </c>
      <c r="F14" s="2560" t="s">
        <v>2670</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7"/>
      <c r="B15" s="2565" t="s">
        <v>2672</v>
      </c>
      <c r="C15" s="150">
        <f>IF(C14="有",1.1,1)</f>
        <v>1</v>
      </c>
      <c r="D15" s="150">
        <f>IF(D14="有",1.1,1)</f>
        <v>1</v>
      </c>
      <c r="E15" s="150">
        <f>IF(E14="有",1.1,1)</f>
        <v>1.1000000000000001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56">
        <f>IF(E2="办公",2,IF(E2="工业",2,IF(E2="住宅",3,IF(E2="商业",IF(C8="不临58条商业街",2,3)))))</f>
        <v>3</v>
      </c>
      <c r="B16" s="2533" t="s">
        <v>2678</v>
      </c>
      <c r="C16" s="1885">
        <f>ROUND(SUM(G17:J17)/C17,0)</f>
        <v>94</v>
      </c>
      <c r="D16" s="2568" t="s">
        <v>2679</v>
      </c>
      <c r="E16" s="2569" t="s">
        <v>2831</v>
      </c>
      <c r="F16" s="2570" t="s">
        <v>2832</v>
      </c>
      <c r="G16" s="2571" t="s">
        <v>2833</v>
      </c>
      <c r="H16" s="2571" t="s">
        <v>2834</v>
      </c>
      <c r="I16" s="2571" t="s">
        <v>2835</v>
      </c>
      <c r="J16" s="2572" t="s">
        <v>2836</v>
      </c>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57"/>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80</v>
      </c>
      <c r="H17" s="949">
        <f>SUMPRODUCT((七通一平=H16)*(修正!B1:M1=G2)*(修正!B6:M14))</f>
        <v>45</v>
      </c>
      <c r="I17" s="949">
        <f>SUMPRODUCT((七通一平=I16)*(修正!B1:M1=G2)*(修正!B6:M14))</f>
        <v>60</v>
      </c>
      <c r="J17" s="950">
        <f>SUMPRODUCT((七通一平=J16)*(修正!B1:M1=G2)*(修正!B6:M14))</f>
        <v>50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ROUND(IF(H19="按公示增长率计算",SUMPRODUCT((地价!A3:A24=YEAR(G19)&amp;"-"&amp;ROUNDUP(MONTH(G19)/3,0))*(地价!X2:AB2=E2)*(地价!X3:AB24)),IF(H19="地价指数",M20/M19,(1+I19)^O19)),4)</f>
        <v>1.554</v>
      </c>
      <c r="D19" s="2584" t="s">
        <v>2689</v>
      </c>
      <c r="E19" s="953">
        <v>41640</v>
      </c>
      <c r="F19" s="2584" t="s">
        <v>2690</v>
      </c>
      <c r="G19" s="954">
        <f>'数据-取费表'!B2</f>
        <v>43298</v>
      </c>
      <c r="H19" s="2585" t="s">
        <v>2854</v>
      </c>
      <c r="I19" s="955" t="str">
        <f>IF(H19="季度增幅（自定义）",SUMIF(N21:N24,E2,O21:O24),"")</f>
        <v/>
      </c>
      <c r="J19" s="2581"/>
      <c r="K19" s="2582"/>
      <c r="L19" s="2586" t="s">
        <v>2691</v>
      </c>
      <c r="M19" s="1826">
        <f>ROUND(SUMIF(地价!B2:F2,E2,地价!B24:F24),0)</f>
        <v>423</v>
      </c>
      <c r="N19" s="1466" t="s">
        <v>2692</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1</v>
      </c>
      <c r="D20" s="2592" t="s">
        <v>2695</v>
      </c>
      <c r="E20" s="1856">
        <f ca="1">存贷款利率!D4/100</f>
        <v>4.3499999999999997E-2</v>
      </c>
      <c r="F20" s="2592" t="s">
        <v>2684</v>
      </c>
      <c r="G20" s="963">
        <f ca="1">SUMIF(M15:P15,E2,M17:P17)</f>
        <v>0.05</v>
      </c>
      <c r="H20" s="2592" t="s">
        <v>2696</v>
      </c>
      <c r="I20" s="964">
        <f>'数据-取费表'!B13</f>
        <v>70</v>
      </c>
      <c r="J20" s="965">
        <f>IF(E2="住宅",70,IF(E2="商业",40,50))</f>
        <v>70</v>
      </c>
      <c r="K20" s="2582"/>
      <c r="L20" s="2593" t="s">
        <v>2697</v>
      </c>
      <c r="M20" s="1827">
        <f>ROUND(SUMPRODUCT((地价!A4:A24=YEAR(G19)&amp;"-"&amp;ROUNDUP(MONTH(G19)/3,0))*(地价!B2:F2=E2)*(地价!B4:F24)),0)</f>
        <v>657</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1.2172000000000001</v>
      </c>
      <c r="D21" s="2599"/>
      <c r="E21" s="2599"/>
      <c r="F21" s="2599"/>
      <c r="G21" s="2599"/>
      <c r="H21" s="2599"/>
      <c r="I21" s="2599"/>
      <c r="J21" s="2600"/>
      <c r="K21" s="2582"/>
      <c r="N21" s="2601" t="s">
        <v>2703</v>
      </c>
      <c r="O21" s="1664"/>
      <c r="P21" s="1665">
        <f>SUMPRODUCT((地价!A3:A24=YEAR(G19)&amp;"-"&amp;ROUNDUP(MONTH(G19)/3,0))*(地价!AD2:AH2=N21)*(地价!AD3:AH24))</f>
        <v>1.61E-2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1.2172000000000001</v>
      </c>
      <c r="E22" s="941">
        <f>ROUNDDOWN(G3,1)</f>
        <v>1</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1.2172000000000001</v>
      </c>
      <c r="G22" s="941">
        <f>ROUNDUP(G3,1)</f>
        <v>1</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1.2172000000000001</v>
      </c>
      <c r="I22" s="1899" t="s">
        <v>104</v>
      </c>
      <c r="J22" s="967" t="str">
        <f>IF(G3&gt;10,D113,"——")</f>
        <v>——</v>
      </c>
      <c r="K22" s="2582"/>
      <c r="N22" s="2601" t="s">
        <v>2706</v>
      </c>
      <c r="O22" s="1664"/>
      <c r="P22" s="1665">
        <f>SUMPRODUCT((地价!A3:A24=YEAR(G19)&amp;"-"&amp;ROUNDUP(MONTH(G19)/3,0))*(地价!AD2:AH2=N22)*(地价!AD3:AH24))</f>
        <v>1.61E-2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2708</v>
      </c>
      <c r="O23" s="1664"/>
      <c r="P23" s="1665">
        <f>SUMPRODUCT((地价!A3:A24=YEAR(G19)&amp;"-"&amp;ROUNDUP(MONTH(G19)/3,0))*(地价!AD2:AH2=N23)*(地价!AD3:AH24))</f>
        <v>2.53E-2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1.036</v>
      </c>
      <c r="D24" s="2611"/>
      <c r="E24" s="2612"/>
      <c r="F24" s="2612"/>
      <c r="G24" s="2612"/>
      <c r="H24" s="2612"/>
      <c r="I24" s="2612"/>
      <c r="J24" s="2613"/>
      <c r="K24" s="2582"/>
      <c r="N24" s="2614" t="s">
        <v>2711</v>
      </c>
      <c r="O24" s="1666"/>
      <c r="P24" s="1667">
        <f>SUMPRODUCT((地价!A3:A24=YEAR(G19)&amp;"-"&amp;ROUNDUP(MONTH(G19)/3,0))*(地价!AD2:AH2=N24)*(地价!AD3:AH24))</f>
        <v>1.4999999999999999E-2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SUMPRODUCT((地价!A3:A24=YEAR(G19)&amp;"-"&amp;ROUNDUP(MONTH(G19)/3,0))*(地价!AD2:AH2=N25)*(地价!AD3:AH24))</f>
        <v>2.3099999999999999E-2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1479289</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f ca="1">E30+SUM(I33:I39)</f>
        <v>369828</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62155</v>
      </c>
      <c r="D29" s="2633">
        <f>项目基本情况!C12</f>
        <v>23.8</v>
      </c>
      <c r="E29" s="972">
        <f ca="1">ROUND(C29*D29,0)</f>
        <v>1479289</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15539</v>
      </c>
      <c r="D30" s="2639">
        <f>D29</f>
        <v>23.8</v>
      </c>
      <c r="E30" s="972">
        <f ca="1">ROUND(C30*D30,0)</f>
        <v>369828</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66" t="s">
        <v>2729</v>
      </c>
      <c r="B33" s="2648" t="s">
        <v>2730</v>
      </c>
      <c r="C33" s="123">
        <f ca="1">ROUND(D5*C19*C20*C24*F33,0)</f>
        <v>0</v>
      </c>
      <c r="D33" s="2633"/>
      <c r="E33" s="117">
        <f t="shared" ref="E33:E39" ca="1" si="6">ROUND(C33*D33,0)</f>
        <v>0</v>
      </c>
      <c r="F33" s="117">
        <f>SUMIF(修正!A45:A56,G2,修正!B45:B56)</f>
        <v>0.8</v>
      </c>
      <c r="G33" s="117">
        <f t="shared" ref="G33"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7"/>
      <c r="B34" s="2553" t="s">
        <v>2731</v>
      </c>
      <c r="C34" s="123">
        <f ca="1">ROUND(D5*C19*C20*C24*F34,0)</f>
        <v>0</v>
      </c>
      <c r="D34" s="2633"/>
      <c r="E34" s="117">
        <f t="shared" ca="1" si="6"/>
        <v>0</v>
      </c>
      <c r="F34" s="117">
        <f>SUMIF(修正!A45:A56,G2,修正!C45:C56)</f>
        <v>0.5</v>
      </c>
      <c r="G34" s="117">
        <f ca="1">ROUND(IF(E2="工业",C34*$M$39,C34*$M$38),0)</f>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7"/>
      <c r="B35" s="2553" t="s">
        <v>2732</v>
      </c>
      <c r="C35" s="123">
        <f ca="1">ROUND(D5*C19*C20*C24*F35,0)</f>
        <v>0</v>
      </c>
      <c r="D35" s="2633"/>
      <c r="E35" s="117">
        <f t="shared" ca="1" si="6"/>
        <v>0</v>
      </c>
      <c r="F35" s="117">
        <f>SUMIF(修正!A45:A56,G2,修正!D45:D56)</f>
        <v>0.36</v>
      </c>
      <c r="G35" s="117">
        <f ca="1">ROUND(IF(E2="工业",C35*$M$39,C35*$M$38),0)</f>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8"/>
      <c r="B36" s="2553" t="s">
        <v>2733</v>
      </c>
      <c r="C36" s="123">
        <f ca="1">ROUND(D5*C19*C20*C24*F36,0)</f>
        <v>0</v>
      </c>
      <c r="D36" s="2633"/>
      <c r="E36" s="117">
        <f t="shared" ca="1" si="6"/>
        <v>0</v>
      </c>
      <c r="F36" s="117">
        <f>SUMIF(修正!A45:A56,G2,修正!E45:E56)</f>
        <v>0.3</v>
      </c>
      <c r="G36" s="117">
        <f ca="1">ROUND(IF(E2="工业",C36*$M$39,C36*$M$38),0)</f>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15319</v>
      </c>
      <c r="D37" s="2633"/>
      <c r="E37" s="117">
        <f t="shared" ca="1" si="6"/>
        <v>0</v>
      </c>
      <c r="F37" s="123">
        <f>SUMIF(修正!A45:A56,G2,修正!F45:F56)</f>
        <v>0.3</v>
      </c>
      <c r="G37" s="117">
        <f ca="1">ROUND(IF(E2="工业",C37*$M$39,C37*$M$38),0)</f>
        <v>3830</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15319</v>
      </c>
      <c r="D38" s="2633"/>
      <c r="E38" s="117">
        <f t="shared" ca="1" si="6"/>
        <v>0</v>
      </c>
      <c r="F38" s="123">
        <f>SUMIF(修正!A45:A56,G2,修正!G45:G56)</f>
        <v>0.3</v>
      </c>
      <c r="G38" s="117">
        <f ca="1">ROUND(IF(E2="工业",C38*$M$39,C38*$M$38),0)</f>
        <v>3830</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12766</v>
      </c>
      <c r="D39" s="2639"/>
      <c r="E39" s="150">
        <f t="shared" ca="1" si="6"/>
        <v>0</v>
      </c>
      <c r="F39" s="961">
        <f>SUMIF(修正!A45:A56,G2,修正!H45:H56)</f>
        <v>0.25</v>
      </c>
      <c r="G39" s="150">
        <f ca="1">ROUND(IF(E2="工业",C39*$M$39,C39*$M$38),0)</f>
        <v>3192</v>
      </c>
      <c r="H39" s="150">
        <f t="shared" si="9"/>
        <v>0</v>
      </c>
      <c r="I39" s="150">
        <f t="shared" ca="1" si="8"/>
        <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2756</v>
      </c>
      <c r="B49" s="2673" t="str">
        <f>估价对象房地状况!C18</f>
        <v>估价对象周边有5路、23路、48路、57路、66路等多条公交线路，距地铁7号线（珠市口站）约300米，停车便捷程度较差，综合评价交通便捷度较好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2757</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2758</v>
      </c>
      <c r="B51" s="2674" t="s">
        <v>2759</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2760</v>
      </c>
      <c r="B52" s="2673" t="str">
        <f>估价对象房地状况!C24</f>
        <v>城市支路——煤市街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2761</v>
      </c>
      <c r="B53" s="2675" t="s">
        <v>2762</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2763</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2764</v>
      </c>
      <c r="B55" s="2673" t="str">
        <f>估价对象房地状况!C22</f>
        <v>三通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2765</v>
      </c>
      <c r="B56" s="2679" t="str">
        <f>估价对象房地状况!C20</f>
        <v>区域自然环境：天坛公园；人文环境：琉璃厂古文化街、北京天桥艺术中心；综合评价环境状况较好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2741</v>
      </c>
      <c r="B58" s="2673"/>
      <c r="C58" s="823" t="s">
        <v>2743</v>
      </c>
      <c r="D58" s="823" t="s">
        <v>2744</v>
      </c>
      <c r="E58" s="824" t="s">
        <v>2745</v>
      </c>
      <c r="F58" s="2670" t="s">
        <v>2746</v>
      </c>
      <c r="G58" s="823" t="s">
        <v>2767</v>
      </c>
      <c r="H58" s="2671" t="s">
        <v>2768</v>
      </c>
      <c r="I58" s="823" t="s">
        <v>2769</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2756</v>
      </c>
      <c r="B60" s="2673" t="str">
        <f>估价对象房地状况!C18</f>
        <v>估价对象周边有5路、23路、48路、57路、66路等多条公交线路，距地铁7号线（珠市口站）约300米，停车便捷程度较差，综合评价交通便捷度较好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2757</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2758</v>
      </c>
      <c r="B62" s="2674" t="s">
        <v>2759</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2760</v>
      </c>
      <c r="B63" s="2673" t="str">
        <f>估价对象房地状况!C24</f>
        <v>城市支路——煤市街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2761</v>
      </c>
      <c r="B64" s="2675" t="s">
        <v>2762</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2763</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2764</v>
      </c>
      <c r="B66" s="2677" t="str">
        <f>估价对象房地状况!C22</f>
        <v>三通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2765</v>
      </c>
      <c r="B67" s="2681" t="str">
        <f>估价对象房地状况!C20</f>
        <v>区域自然环境：天坛公园；人文环境：琉璃厂古文化街、北京天桥艺术中心；综合评价环境状况较好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1.036</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2772</v>
      </c>
      <c r="B70" s="2672" t="str">
        <f>估价对象房地状况!C15</f>
        <v>估价对象周边有培智胡同、小椿树胡同、博兴胡同等，综合评价居住社区成熟度较好</v>
      </c>
      <c r="C70" s="2559" t="s">
        <v>30</v>
      </c>
      <c r="D70" s="1376">
        <f t="shared" ref="D70:D78" si="20">SUMIF($J$69:$N$69,C70,J70:N70)</f>
        <v>7.0000000000000001E-3</v>
      </c>
      <c r="E70" s="829">
        <f>ROUND(SUM(D70:D78),4)</f>
        <v>3.5999999999999997E-2</v>
      </c>
      <c r="F70" s="2276">
        <f>IF(E2="住宅",SUMIF(L1:L12,G2,N1:N12),"——")</f>
        <v>0.1</v>
      </c>
      <c r="G70" s="1377">
        <v>7.0000000000000001E-3</v>
      </c>
      <c r="H70" s="1381">
        <f t="shared" ref="H70:H78" si="21">IFERROR(ROUNDDOWN($F$70*I70/2,4),"——")</f>
        <v>7.0000000000000001E-3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估价对象周边有5路、23路、48路、57路、66路等多条公交线路，距地铁7号线（珠市口站）约300米，停车便捷程度较差，综合评价交通便捷度较好</v>
      </c>
      <c r="C71" s="2559" t="s">
        <v>30</v>
      </c>
      <c r="D71" s="1376">
        <f t="shared" si="20"/>
        <v>1.4999999999999999E-2</v>
      </c>
      <c r="E71" s="840"/>
      <c r="F71" s="2682"/>
      <c r="G71" s="1377">
        <v>1.4999999999999999E-2</v>
      </c>
      <c r="H71" s="1381">
        <f t="shared" si="21"/>
        <v>1.4999999999999999E-2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4.0000000000000001E-3</v>
      </c>
      <c r="E72" s="840"/>
      <c r="F72" s="2682"/>
      <c r="G72" s="1377">
        <v>4.0000000000000001E-3</v>
      </c>
      <c r="H72" s="1381">
        <f t="shared" si="21"/>
        <v>4.0000000000000001E-3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t="str">
        <f>估价对象房地状况!C24</f>
        <v>城市支路——煤市街</v>
      </c>
      <c r="C73" s="2559" t="s">
        <v>35</v>
      </c>
      <c r="D73" s="1376">
        <f t="shared" si="20"/>
        <v>-4.0000000000000001E-3</v>
      </c>
      <c r="E73" s="840"/>
      <c r="F73" s="2682"/>
      <c r="G73" s="1377">
        <v>2E-3</v>
      </c>
      <c r="H73" s="1381">
        <f t="shared" si="21"/>
        <v>2E-3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估价对象所在区域公共配套设施齐备情况好</v>
      </c>
      <c r="C74" s="2559" t="s">
        <v>29</v>
      </c>
      <c r="D74" s="1376">
        <f t="shared" si="20"/>
        <v>8.0000000000000002E-3</v>
      </c>
      <c r="E74" s="840"/>
      <c r="F74" s="2682"/>
      <c r="G74" s="1377">
        <v>4.0000000000000001E-3</v>
      </c>
      <c r="H74" s="1381">
        <f t="shared" si="21"/>
        <v>4.0000000000000001E-3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2764</v>
      </c>
      <c r="B75" s="2677" t="str">
        <f>估价对象房地状况!C22</f>
        <v>三通</v>
      </c>
      <c r="C75" s="2559" t="s">
        <v>32</v>
      </c>
      <c r="D75" s="1376">
        <f t="shared" si="20"/>
        <v>-6.0000000000000001E-3</v>
      </c>
      <c r="E75" s="840"/>
      <c r="F75" s="2682"/>
      <c r="G75" s="1377">
        <v>6.0000000000000001E-3</v>
      </c>
      <c r="H75" s="1381">
        <f t="shared" si="21"/>
        <v>6.0000000000000001E-3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2.5000000000000001E-3</v>
      </c>
      <c r="E76" s="840"/>
      <c r="F76" s="2682"/>
      <c r="G76" s="1377">
        <v>2.5000000000000001E-3</v>
      </c>
      <c r="H76" s="1381">
        <f t="shared" si="21"/>
        <v>2.5000000000000001E-3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2765</v>
      </c>
      <c r="B77" s="2672" t="str">
        <f>估价对象房地状况!C20</f>
        <v>区域自然环境：天坛公园；人文环境：琉璃厂古文化街、北京天桥艺术中心；综合评价环境状况较好</v>
      </c>
      <c r="C77" s="2559" t="s">
        <v>30</v>
      </c>
      <c r="D77" s="1376">
        <f t="shared" si="20"/>
        <v>7.4999999999999997E-3</v>
      </c>
      <c r="E77" s="840"/>
      <c r="F77" s="2682"/>
      <c r="G77" s="1377">
        <v>7.4999999999999997E-3</v>
      </c>
      <c r="H77" s="1381">
        <f t="shared" si="21"/>
        <v>7.4999999999999997E-3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2774</v>
      </c>
      <c r="B78" s="2683"/>
      <c r="C78" s="2559" t="s">
        <v>30</v>
      </c>
      <c r="D78" s="1376">
        <f t="shared" si="20"/>
        <v>2E-3</v>
      </c>
      <c r="E78" s="841"/>
      <c r="F78" s="2682"/>
      <c r="G78" s="1377">
        <v>2E-3</v>
      </c>
      <c r="H78" s="1381">
        <f t="shared" si="21"/>
        <v>2E-3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2403</v>
      </c>
      <c r="K80" s="587" t="s">
        <v>2404</v>
      </c>
      <c r="L80" s="587" t="s">
        <v>2405</v>
      </c>
      <c r="M80" s="587" t="s">
        <v>2406</v>
      </c>
      <c r="N80" s="587" t="s">
        <v>2407</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58" t="s">
        <v>2778</v>
      </c>
      <c r="B90" s="3058"/>
      <c r="C90" s="3058"/>
      <c r="D90" s="3058"/>
      <c r="E90" s="3058"/>
      <c r="F90" s="3058"/>
      <c r="G90" s="3058"/>
      <c r="H90" s="3058"/>
      <c r="I90" s="3058"/>
      <c r="J90" s="3058"/>
      <c r="K90" s="2686"/>
      <c r="L90" s="2686"/>
      <c r="M90" s="2686"/>
      <c r="N90" s="2686"/>
    </row>
    <row r="91" spans="1:37">
      <c r="A91" s="3060" t="s">
        <v>2779</v>
      </c>
      <c r="B91" s="3060" t="s">
        <v>2780</v>
      </c>
      <c r="C91" s="2634" t="s">
        <v>2781</v>
      </c>
      <c r="D91" s="2635"/>
      <c r="E91" s="2635"/>
      <c r="F91" s="2635"/>
      <c r="G91" s="2635"/>
      <c r="H91" s="2635"/>
      <c r="I91" s="2635"/>
      <c r="J91" s="2687"/>
      <c r="K91" s="2688"/>
      <c r="L91" s="2688"/>
      <c r="M91" s="2688"/>
      <c r="N91" s="2688"/>
    </row>
    <row r="92" spans="1:37">
      <c r="A92" s="3060"/>
      <c r="B92" s="306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61"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2"/>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1" t="s">
        <v>2783</v>
      </c>
      <c r="B101" s="2693" t="s">
        <v>2784</v>
      </c>
      <c r="C101" s="2694">
        <f>$G$3</f>
        <v>1</v>
      </c>
      <c r="D101" s="2694">
        <f t="shared" ref="D101:N101" si="31">$G$3</f>
        <v>1</v>
      </c>
      <c r="E101" s="2694">
        <f t="shared" si="31"/>
        <v>1</v>
      </c>
      <c r="F101" s="2694">
        <f t="shared" si="31"/>
        <v>1</v>
      </c>
      <c r="G101" s="2694">
        <f t="shared" si="31"/>
        <v>1</v>
      </c>
      <c r="H101" s="2694">
        <f t="shared" si="31"/>
        <v>1</v>
      </c>
      <c r="I101" s="2694">
        <f t="shared" si="31"/>
        <v>1</v>
      </c>
      <c r="J101" s="2694">
        <f t="shared" si="31"/>
        <v>1</v>
      </c>
      <c r="K101" s="2694">
        <f t="shared" si="31"/>
        <v>1</v>
      </c>
      <c r="L101" s="2694">
        <f t="shared" si="31"/>
        <v>1</v>
      </c>
      <c r="M101" s="2694">
        <f t="shared" si="31"/>
        <v>1</v>
      </c>
      <c r="N101" s="2694">
        <f t="shared" si="31"/>
        <v>1</v>
      </c>
    </row>
    <row r="102" spans="1:14">
      <c r="A102" s="3062"/>
      <c r="B102" s="2689">
        <v>1</v>
      </c>
      <c r="C102" s="2690">
        <f>1.9362/C101</f>
        <v>1.9361999999999999</v>
      </c>
      <c r="D102" s="2690">
        <f>1.9362/D101</f>
        <v>1.9361999999999999</v>
      </c>
      <c r="E102" s="2690">
        <f>1.8629/E101</f>
        <v>1.8629</v>
      </c>
      <c r="F102" s="2690">
        <f>1.8629/F101</f>
        <v>1.8629</v>
      </c>
      <c r="G102" s="2690">
        <f>1.8629/G101</f>
        <v>1.8629</v>
      </c>
      <c r="H102" s="2690">
        <f>1.8629/H101</f>
        <v>1.8629</v>
      </c>
      <c r="I102" s="2690">
        <f>1.8629/I101</f>
        <v>1.8629</v>
      </c>
      <c r="J102" s="2690">
        <f>1.942/J101</f>
        <v>1.9419999999999999</v>
      </c>
      <c r="K102" s="2690">
        <f>1.942/K101</f>
        <v>1.9419999999999999</v>
      </c>
      <c r="L102" s="2690">
        <f>1.942/L101</f>
        <v>1.9419999999999999</v>
      </c>
      <c r="M102" s="2690">
        <f>1.942/M101</f>
        <v>1.9419999999999999</v>
      </c>
      <c r="N102" s="2690">
        <f>1.942/N101</f>
        <v>1.9419999999999999</v>
      </c>
    </row>
    <row r="103" spans="1:14">
      <c r="A103" s="3062"/>
      <c r="B103" s="2689">
        <v>2</v>
      </c>
      <c r="C103" s="2690">
        <f>1.4198/C101</f>
        <v>1.4198</v>
      </c>
      <c r="D103" s="2690">
        <f>1.4198/D101</f>
        <v>1.4198</v>
      </c>
      <c r="E103" s="2690">
        <f>1.3372/E101</f>
        <v>1.3371999999999999</v>
      </c>
      <c r="F103" s="2690">
        <f>1.3372/F101</f>
        <v>1.3371999999999999</v>
      </c>
      <c r="G103" s="2690">
        <f>1.3372/G101</f>
        <v>1.3371999999999999</v>
      </c>
      <c r="H103" s="2690">
        <f>1.3372/H101</f>
        <v>1.3371999999999999</v>
      </c>
      <c r="I103" s="2690">
        <f>1.3372/I101</f>
        <v>1.3371999999999999</v>
      </c>
      <c r="J103" s="2690">
        <f>1.2799/J101</f>
        <v>1.2799</v>
      </c>
      <c r="K103" s="2690">
        <f>1.2799/K101</f>
        <v>1.2799</v>
      </c>
      <c r="L103" s="2690">
        <f>1.2799/L101</f>
        <v>1.2799</v>
      </c>
      <c r="M103" s="2690">
        <f>1.2799/M101</f>
        <v>1.2799</v>
      </c>
      <c r="N103" s="2690">
        <f>1.2799/N101</f>
        <v>1.2799</v>
      </c>
    </row>
    <row r="104" spans="1:14">
      <c r="A104" s="3062"/>
      <c r="B104" s="2689">
        <v>3</v>
      </c>
      <c r="C104" s="2690">
        <f>1.1594/C101</f>
        <v>1.1594</v>
      </c>
      <c r="D104" s="2690">
        <f>1.1594/D101</f>
        <v>1.1594</v>
      </c>
      <c r="E104" s="2690">
        <f>1.0788/E101</f>
        <v>1.0788</v>
      </c>
      <c r="F104" s="2690">
        <f>1.0788/F101</f>
        <v>1.0788</v>
      </c>
      <c r="G104" s="2690">
        <f>1.0788/G101</f>
        <v>1.0788</v>
      </c>
      <c r="H104" s="2690">
        <f>1.0788/H101</f>
        <v>1.0788</v>
      </c>
      <c r="I104" s="2690">
        <f>1.0788/I101</f>
        <v>1.0788</v>
      </c>
      <c r="J104" s="2690">
        <f>1.0072/J101</f>
        <v>1.0072000000000001</v>
      </c>
      <c r="K104" s="2690">
        <f>1.0072/K101</f>
        <v>1.0072000000000001</v>
      </c>
      <c r="L104" s="2690">
        <f>1.0072/L101</f>
        <v>1.0072000000000001</v>
      </c>
      <c r="M104" s="2690">
        <f>1.0072/M101</f>
        <v>1.0072000000000001</v>
      </c>
      <c r="N104" s="2690">
        <f>1.0072/N101</f>
        <v>1.0072000000000001</v>
      </c>
    </row>
    <row r="105" spans="1:14">
      <c r="A105" s="3062"/>
      <c r="B105" s="2689">
        <v>4</v>
      </c>
      <c r="C105" s="2690">
        <f>0.9622/C101</f>
        <v>0.96220000000000006</v>
      </c>
      <c r="D105" s="2690">
        <f>0.9622/D101</f>
        <v>0.96220000000000006</v>
      </c>
      <c r="E105" s="2690">
        <f>0.8656/E101</f>
        <v>0.86560000000000004</v>
      </c>
      <c r="F105" s="2690">
        <f>0.8656/F101</f>
        <v>0.86560000000000004</v>
      </c>
      <c r="G105" s="2690">
        <f>0.8656/G101</f>
        <v>0.86560000000000004</v>
      </c>
      <c r="H105" s="2690">
        <f>0.8656/H101</f>
        <v>0.86560000000000004</v>
      </c>
      <c r="I105" s="2690">
        <f>0.8656/I101</f>
        <v>0.86560000000000004</v>
      </c>
      <c r="J105" s="2690">
        <f>0.7525/J101</f>
        <v>0.75249999999999995</v>
      </c>
      <c r="K105" s="2690">
        <f>0.7525/K101</f>
        <v>0.75249999999999995</v>
      </c>
      <c r="L105" s="2690">
        <f>0.7525/L101</f>
        <v>0.75249999999999995</v>
      </c>
      <c r="M105" s="2690">
        <f>0.7525/M101</f>
        <v>0.75249999999999995</v>
      </c>
      <c r="N105" s="2690">
        <f>0.7525/N101</f>
        <v>0.75249999999999995</v>
      </c>
    </row>
    <row r="106" spans="1:14">
      <c r="A106" s="3062"/>
      <c r="B106" s="2689">
        <v>5</v>
      </c>
      <c r="C106" s="2690">
        <f>0.8417/C101</f>
        <v>0.8417</v>
      </c>
      <c r="D106" s="2690">
        <f>0.8417/D101</f>
        <v>0.8417</v>
      </c>
      <c r="E106" s="2690">
        <f>0.7371/E101</f>
        <v>0.73709999999999998</v>
      </c>
      <c r="F106" s="2690">
        <f>0.7371/F101</f>
        <v>0.73709999999999998</v>
      </c>
      <c r="G106" s="2690">
        <f>0.7371/G101</f>
        <v>0.73709999999999998</v>
      </c>
      <c r="H106" s="2690">
        <f>0.7371/H101</f>
        <v>0.73709999999999998</v>
      </c>
      <c r="I106" s="2690">
        <f>0.7371/I101</f>
        <v>0.73709999999999998</v>
      </c>
      <c r="J106" s="2690">
        <f>0.5659/J101</f>
        <v>0.56589999999999996</v>
      </c>
      <c r="K106" s="2690">
        <f>0.5659/K101</f>
        <v>0.56589999999999996</v>
      </c>
      <c r="L106" s="2690">
        <f>0.5659/L101</f>
        <v>0.56589999999999996</v>
      </c>
      <c r="M106" s="2690">
        <f>0.5659/M101</f>
        <v>0.56589999999999996</v>
      </c>
      <c r="N106" s="2690">
        <f>0.5659/N101</f>
        <v>0.56589999999999996</v>
      </c>
    </row>
    <row r="107" spans="1:14">
      <c r="A107" s="3062"/>
      <c r="B107" s="2689">
        <v>6</v>
      </c>
      <c r="C107" s="2690">
        <f>0.7608/C101</f>
        <v>0.76080000000000003</v>
      </c>
      <c r="D107" s="2690">
        <f>0.7608/D101</f>
        <v>0.76080000000000003</v>
      </c>
      <c r="E107" s="2690">
        <f>0.6482/E101</f>
        <v>0.6482</v>
      </c>
      <c r="F107" s="2690">
        <f>0.6482/F101</f>
        <v>0.6482</v>
      </c>
      <c r="G107" s="2690">
        <f>0.6482/G101</f>
        <v>0.6482</v>
      </c>
      <c r="H107" s="2690">
        <f>0.6482/H101</f>
        <v>0.6482</v>
      </c>
      <c r="I107" s="2690">
        <f>0.6482/I101</f>
        <v>0.6482</v>
      </c>
      <c r="J107" s="2690">
        <f>0.4525/J101</f>
        <v>0.45250000000000001</v>
      </c>
      <c r="K107" s="2690">
        <f>0.4525/K101</f>
        <v>0.45250000000000001</v>
      </c>
      <c r="L107" s="2690">
        <f>0.4525/L101</f>
        <v>0.45250000000000001</v>
      </c>
      <c r="M107" s="2690">
        <f>0.4525/M101</f>
        <v>0.45250000000000001</v>
      </c>
      <c r="N107" s="2690">
        <f>0.4525/N101</f>
        <v>0.45250000000000001</v>
      </c>
    </row>
    <row r="108" spans="1:14">
      <c r="A108" s="3062"/>
      <c r="B108" s="3064"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3"/>
      <c r="B109" s="3065"/>
      <c r="C109" s="2692">
        <f>(-0.163*(C108^2)-0.59*C108+7617)*(10^(-4))/C101</f>
        <v>0.76048830000000001</v>
      </c>
      <c r="D109" s="2692">
        <f>(-0.163*(D108^2)-0.59*D108+7617)*(10^(-4))/D101</f>
        <v>0.76048830000000001</v>
      </c>
      <c r="E109" s="2692">
        <f>(-0.161*(E108^2)-7.509*E108+6533)*(10^(-4))/E101</f>
        <v>0.64725480000000002</v>
      </c>
      <c r="F109" s="2692">
        <f>(-0.161*(F108^2)-7.509*F108+6533)*(10^(-4))/F101</f>
        <v>0.64725480000000002</v>
      </c>
      <c r="G109" s="2692">
        <f>(-0.161*(G108^2)-7.509*G108+6533)*(10^(-4))/G101</f>
        <v>0.64725480000000002</v>
      </c>
      <c r="H109" s="2692">
        <f>(-0.161*(H108^2)-7.509*H108+6533)*(10^(-4))/H101</f>
        <v>0.64725480000000002</v>
      </c>
      <c r="I109" s="2692">
        <f>(-0.161*(I108^2)-7.509*I108+6533)*(10^(-4))/I101</f>
        <v>0.64725480000000002</v>
      </c>
      <c r="J109" s="2692">
        <f>(-0.214*(J108^2)-21.991*J108+4665)*(10^(-4))/J101</f>
        <v>0.45005770000000006</v>
      </c>
      <c r="K109" s="2692">
        <f>(-0.214*(K108^2)-21.991*K108+4665)*(10^(-4))/K101</f>
        <v>0.45005770000000006</v>
      </c>
      <c r="L109" s="2692">
        <f>(-0.214*(L108^2)-21.991*L108+4665)*(10^(-4))/L101</f>
        <v>0.45005770000000006</v>
      </c>
      <c r="M109" s="2692">
        <f>(-0.214*(M108^2)-21.991*M108+4665)*(10^(-4))/M101</f>
        <v>0.45005770000000006</v>
      </c>
      <c r="N109" s="2692">
        <f>(-0.214*(N108^2)-21.991*N108+4665)*(10^(-4))/N101</f>
        <v>0.45005770000000006</v>
      </c>
    </row>
    <row r="110" spans="1:14">
      <c r="A110" s="3059" t="s">
        <v>2786</v>
      </c>
      <c r="B110" s="3059"/>
      <c r="C110" s="3059"/>
      <c r="D110" s="3059"/>
      <c r="E110" s="3059"/>
      <c r="F110" s="3059"/>
      <c r="G110" s="3059"/>
      <c r="H110" s="3059"/>
      <c r="I110" s="3059"/>
      <c r="J110" s="3059"/>
      <c r="K110" s="2695"/>
      <c r="L110" s="2695"/>
      <c r="M110" s="2695"/>
      <c r="N110" s="2695"/>
    </row>
    <row r="112" spans="1:14" ht="13.5" thickBot="1"/>
    <row r="113" spans="1:13" ht="25.5" thickBot="1">
      <c r="A113" s="928" t="s">
        <v>2787</v>
      </c>
      <c r="B113" s="1379">
        <f>G3</f>
        <v>1</v>
      </c>
      <c r="C113" s="929" t="s">
        <v>2788</v>
      </c>
      <c r="D113" s="930">
        <f>SUMPRODUCT((A115:A118=F113)*(B114:M114=H113)*B115:M118)</f>
        <v>0.87480000000000002</v>
      </c>
      <c r="E113" s="2697" t="s">
        <v>2673</v>
      </c>
      <c r="F113" s="2698" t="str">
        <f>E2</f>
        <v>住宅</v>
      </c>
      <c r="G113" s="2697" t="s">
        <v>2608</v>
      </c>
      <c r="H113" s="2698" t="str">
        <f>G2</f>
        <v>二级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0.92410000000000003</v>
      </c>
      <c r="C115" s="935">
        <f>B115</f>
        <v>0.92410000000000003</v>
      </c>
      <c r="D115" s="935">
        <f>ROUND(0.8331-0.0109*B113,4)</f>
        <v>0.82220000000000004</v>
      </c>
      <c r="E115" s="935">
        <f>D115</f>
        <v>0.82220000000000004</v>
      </c>
      <c r="F115" s="935">
        <f>E115</f>
        <v>0.82220000000000004</v>
      </c>
      <c r="G115" s="935">
        <f>F115</f>
        <v>0.82220000000000004</v>
      </c>
      <c r="H115" s="935">
        <f>G115</f>
        <v>0.82220000000000004</v>
      </c>
      <c r="I115" s="935">
        <f>ROUND(0.689-0.0155*B113,4)</f>
        <v>0.67349999999999999</v>
      </c>
      <c r="J115" s="935">
        <f t="shared" ref="J115:M118" si="33">I115</f>
        <v>0.67349999999999999</v>
      </c>
      <c r="K115" s="935">
        <f t="shared" si="33"/>
        <v>0.67349999999999999</v>
      </c>
      <c r="L115" s="935">
        <f t="shared" si="33"/>
        <v>0.67349999999999999</v>
      </c>
      <c r="M115" s="936">
        <f t="shared" si="33"/>
        <v>0.67349999999999999</v>
      </c>
    </row>
    <row r="116" spans="1:13">
      <c r="A116" s="934" t="s">
        <v>2675</v>
      </c>
      <c r="B116" s="935">
        <f>ROUND(0.949-0.012*B113,4)</f>
        <v>0.93700000000000006</v>
      </c>
      <c r="C116" s="935">
        <f>B116</f>
        <v>0.93700000000000006</v>
      </c>
      <c r="D116" s="935">
        <f>ROUND(0.8567-0.013*B113,4)</f>
        <v>0.84370000000000001</v>
      </c>
      <c r="E116" s="935">
        <f t="shared" ref="E116:H117" si="34">D116</f>
        <v>0.84370000000000001</v>
      </c>
      <c r="F116" s="935">
        <f t="shared" si="34"/>
        <v>0.84370000000000001</v>
      </c>
      <c r="G116" s="935">
        <f t="shared" si="34"/>
        <v>0.84370000000000001</v>
      </c>
      <c r="H116" s="935">
        <f t="shared" si="34"/>
        <v>0.84370000000000001</v>
      </c>
      <c r="I116" s="935">
        <f>ROUND(0.7694-0.014*B113,4)</f>
        <v>0.75539999999999996</v>
      </c>
      <c r="J116" s="935">
        <f t="shared" si="33"/>
        <v>0.75539999999999996</v>
      </c>
      <c r="K116" s="935">
        <f t="shared" si="33"/>
        <v>0.75539999999999996</v>
      </c>
      <c r="L116" s="935">
        <f t="shared" si="33"/>
        <v>0.75539999999999996</v>
      </c>
      <c r="M116" s="936">
        <f t="shared" si="33"/>
        <v>0.75539999999999996</v>
      </c>
    </row>
    <row r="117" spans="1:13">
      <c r="A117" s="934" t="s">
        <v>2676</v>
      </c>
      <c r="B117" s="935">
        <f>ROUND(0.8808-0.006*B113,4)</f>
        <v>0.87480000000000002</v>
      </c>
      <c r="C117" s="935">
        <f>B117</f>
        <v>0.87480000000000002</v>
      </c>
      <c r="D117" s="935">
        <f>ROUND(0.8748-0.008*B113,4)</f>
        <v>0.86680000000000001</v>
      </c>
      <c r="E117" s="935">
        <f t="shared" si="34"/>
        <v>0.86680000000000001</v>
      </c>
      <c r="F117" s="935">
        <f t="shared" si="34"/>
        <v>0.86680000000000001</v>
      </c>
      <c r="G117" s="935">
        <f t="shared" si="34"/>
        <v>0.86680000000000001</v>
      </c>
      <c r="H117" s="935">
        <f t="shared" si="34"/>
        <v>0.86680000000000001</v>
      </c>
      <c r="I117" s="935">
        <f>ROUND(0.7412-0.0095*B113,4)</f>
        <v>0.73170000000000002</v>
      </c>
      <c r="J117" s="935">
        <f t="shared" si="33"/>
        <v>0.73170000000000002</v>
      </c>
      <c r="K117" s="935">
        <f t="shared" si="33"/>
        <v>0.73170000000000002</v>
      </c>
      <c r="L117" s="935">
        <f t="shared" si="33"/>
        <v>0.73170000000000002</v>
      </c>
      <c r="M117" s="936">
        <f t="shared" si="33"/>
        <v>0.73170000000000002</v>
      </c>
    </row>
    <row r="118" spans="1:13" ht="13.5" thickBot="1">
      <c r="A118" s="702" t="s">
        <v>2677</v>
      </c>
      <c r="B118" s="937">
        <f>ROUND(0.7275-0.01*B113,4)</f>
        <v>0.71750000000000003</v>
      </c>
      <c r="C118" s="937">
        <f>B118</f>
        <v>0.71750000000000003</v>
      </c>
      <c r="D118" s="937">
        <f>ROUND(0.7043-0.012*B113,4)</f>
        <v>0.69230000000000003</v>
      </c>
      <c r="E118" s="937">
        <f>D118</f>
        <v>0.69230000000000003</v>
      </c>
      <c r="F118" s="937">
        <f>E118</f>
        <v>0.69230000000000003</v>
      </c>
      <c r="G118" s="937">
        <f>ROUND(0.6299-0.0122*B113,4)</f>
        <v>0.61770000000000003</v>
      </c>
      <c r="H118" s="937">
        <f>G118</f>
        <v>0.61770000000000003</v>
      </c>
      <c r="I118" s="937">
        <f>ROUND(0.5667-0.0136*B113,4)</f>
        <v>0.55310000000000004</v>
      </c>
      <c r="J118" s="937">
        <f t="shared" si="33"/>
        <v>0.55310000000000004</v>
      </c>
      <c r="K118" s="937">
        <f t="shared" si="33"/>
        <v>0.55310000000000004</v>
      </c>
      <c r="L118" s="937">
        <f t="shared" si="33"/>
        <v>0.55310000000000004</v>
      </c>
      <c r="M118" s="938">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787</v>
      </c>
      <c r="B1" s="307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估价对象周边有5路、23路、48路、57路、66路等多条公交线路，距地铁7号线（珠市口站）约300米，停车便捷程度较差，综合评价交通便捷度较好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城市支路——煤市街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区域自然环境：天坛公园；人文环境：琉璃厂古文化街、北京天桥艺术中心；综合评价环境状况较好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估价对象周边有5路、23路、48路、57路、66路等多条公交线路，距地铁7号线（珠市口站）约300米，停车便捷程度较差，综合评价交通便捷度较好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城市支路——煤市街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区域自然环境：天坛公园；人文环境：琉璃厂古文化街、北京天桥艺术中心；综合评价环境状况较好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估价对象周边有培智胡同、小椿树胡同、博兴胡同等，综合评价居住社区成熟度较好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估价对象周边有5路、23路、48路、57路、66路等多条公交线路，距地铁7号线（珠市口站）约300米，停车便捷程度较差，综合评价交通便捷度较好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城市支路——煤市街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区域自然环境：天坛公园；人文环境：琉璃厂古文化街、北京天桥艺术中心；综合评价环境状况较好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24100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1.3733</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8" t="s">
        <v>1033</v>
      </c>
      <c r="C1" s="3088"/>
      <c r="D1" s="3088"/>
      <c r="E1" s="3088"/>
      <c r="F1" s="3088"/>
      <c r="G1" s="3087" t="s">
        <v>1034</v>
      </c>
      <c r="H1" s="3087"/>
      <c r="I1" s="3087"/>
      <c r="J1" s="3087"/>
      <c r="K1" s="3087"/>
      <c r="L1" s="3087"/>
      <c r="N1" s="3087" t="s">
        <v>1035</v>
      </c>
      <c r="O1" s="3087"/>
      <c r="P1" s="3087"/>
      <c r="Q1" s="3087"/>
      <c r="R1" s="1548"/>
      <c r="S1" s="3087" t="s">
        <v>1036</v>
      </c>
      <c r="T1" s="3087"/>
      <c r="U1" s="3087"/>
      <c r="V1" s="3087"/>
      <c r="X1" s="3086" t="s">
        <v>1037</v>
      </c>
      <c r="Y1" s="3087"/>
      <c r="Z1" s="3087"/>
      <c r="AA1" s="3087"/>
      <c r="AB1" s="3087"/>
      <c r="AD1" s="3086" t="s">
        <v>1038</v>
      </c>
      <c r="AE1" s="3087"/>
      <c r="AF1" s="3087"/>
      <c r="AG1" s="3087"/>
      <c r="AH1" s="308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2807</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2818</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2816</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2812</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2809</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2804</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1259</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089">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4"/>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4"/>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5"/>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3">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4"/>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4"/>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5"/>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3">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4"/>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4"/>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5"/>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090">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1"/>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091"/>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092"/>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083">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084"/>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084"/>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085"/>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083">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4">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084">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085">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083">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4">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084">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085">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083">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4">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084">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085">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083">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4">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084">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085">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083">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4">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084">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085">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083">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4">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084">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085">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083">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4">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084">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085">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083">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4">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084">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085">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083">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084">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084">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085">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083">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084">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084">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085">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0.5</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3</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O38"/>
  <sheetViews>
    <sheetView workbookViewId="0">
      <selection activeCell="O39" sqref="O39"/>
    </sheetView>
  </sheetViews>
  <sheetFormatPr defaultRowHeight="13.5"/>
  <sheetData>
    <row r="4" spans="15:15">
      <c r="O4">
        <v>2.5</v>
      </c>
    </row>
    <row r="16" spans="15:15">
      <c r="O16">
        <v>3.5</v>
      </c>
    </row>
    <row r="28" spans="15:15">
      <c r="O28">
        <v>2.8</v>
      </c>
    </row>
    <row r="38" spans="15:15">
      <c r="O38">
        <v>2.5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1"/>
      <c r="C2" s="2741"/>
      <c r="D2" s="2741"/>
      <c r="E2" s="2741"/>
    </row>
    <row r="3" spans="1:5" ht="13.5" customHeight="1">
      <c r="A3" s="1930"/>
      <c r="B3" s="1930"/>
      <c r="C3" s="1930"/>
      <c r="D3" s="1930"/>
      <c r="E3" s="1930"/>
    </row>
    <row r="4" spans="1:5" ht="19.5" thickBot="1">
      <c r="A4" s="2742" t="str">
        <f>IF(项目基本情况!D5="房地产市场价值","估价结果一览表（市场价值不需本页表格)","估价结果一览表")</f>
        <v>估价结果一览表（市场价值不需本页表格)</v>
      </c>
      <c r="B4" s="2742"/>
      <c r="C4" s="2742"/>
      <c r="D4" s="2742"/>
      <c r="E4" s="2742"/>
    </row>
    <row r="5" spans="1:5" ht="14.25" customHeight="1" thickTop="1">
      <c r="A5" s="1927"/>
      <c r="B5" s="1931" t="s">
        <v>742</v>
      </c>
      <c r="C5" s="2743" t="s">
        <v>783</v>
      </c>
      <c r="D5" s="2744"/>
      <c r="E5" s="1927"/>
    </row>
    <row r="6" spans="1:5" ht="14.25">
      <c r="A6" s="1927"/>
      <c r="B6" s="1932" t="str">
        <f>项目基本情况!I1</f>
        <v>北京市房地产</v>
      </c>
      <c r="C6" s="2745">
        <f>项目基本情况!C12</f>
        <v>23.8</v>
      </c>
      <c r="D6" s="2745"/>
      <c r="E6" s="1927"/>
    </row>
    <row r="7" spans="1:5" ht="14.25">
      <c r="A7" s="1927"/>
      <c r="B7" s="2739" t="s">
        <v>784</v>
      </c>
      <c r="C7" s="1933" t="str">
        <f>IF('数据-取费表'!B3="万元","总价（万元）","总价（元）")</f>
        <v>总价（元）</v>
      </c>
      <c r="D7" s="1934">
        <f ca="1">IF('数据-取费表'!E3="否",结果表!I102,'结果表 (1修多)'!I103)</f>
        <v>1886079</v>
      </c>
      <c r="E7" s="1927"/>
    </row>
    <row r="8" spans="1:5" ht="28.5">
      <c r="A8" s="1927"/>
      <c r="B8" s="2739"/>
      <c r="C8" s="1935" t="s">
        <v>1175</v>
      </c>
      <c r="D8" s="1936" t="str">
        <f ca="1">IF('数据-取费表'!B3="万元",NUMBERSTRING(INT(D7*10000),2)&amp;"元整",NUMBERSTRING(INT(D7),2)&amp;"元整")</f>
        <v>壹佰捌拾捌万陆仟零柒拾玖元整</v>
      </c>
      <c r="E8" s="1927"/>
    </row>
    <row r="9" spans="1:5" ht="14.25">
      <c r="A9" s="1927"/>
      <c r="B9" s="2739"/>
      <c r="C9" s="1937" t="s">
        <v>1273</v>
      </c>
      <c r="D9" s="1934">
        <f ca="1">IF('数据-取费表'!E3="否",结果表!I103,'结果表 (1修多)'!I104)</f>
        <v>79247</v>
      </c>
      <c r="E9" s="1927"/>
    </row>
    <row r="10" spans="1:5" ht="14.25">
      <c r="A10" s="1927"/>
      <c r="B10" s="274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6" t="str">
        <f>IF('数据-取费表'!E3="否",结果表!F110,'结果表 (1修多)'!F111)</f>
        <v>3.房地产抵押价值</v>
      </c>
      <c r="C15" s="1928" t="str">
        <f>C7</f>
        <v>总价（元）</v>
      </c>
      <c r="D15" s="1934">
        <f ca="1">IF('数据-取费表'!E3="否",结果表!I110,'结果表 (1修多)'!I111)</f>
        <v>1886079</v>
      </c>
      <c r="E15" s="1927"/>
    </row>
    <row r="16" spans="1:5" ht="28.5">
      <c r="A16" s="1927"/>
      <c r="B16" s="2746"/>
      <c r="C16" s="1935" t="s">
        <v>1175</v>
      </c>
      <c r="D16" s="1934" t="str">
        <f ca="1">IF('数据-取费表'!B3="万元",NUMBERSTRING(INT(D15*10000),2)&amp;"元整",NUMBERSTRING(INT(D15),2)&amp;"元整")</f>
        <v>壹佰捌拾捌万陆仟零柒拾玖元整</v>
      </c>
      <c r="E16" s="1927"/>
    </row>
    <row r="17" spans="1:5" ht="14.25">
      <c r="A17" s="1927"/>
      <c r="B17" s="2746"/>
      <c r="C17" s="1937" t="s">
        <v>1273</v>
      </c>
      <c r="D17" s="1934">
        <f ca="1">IF('数据-取费表'!E3="否",结果表!I111,'结果表 (1修多)'!I112)</f>
        <v>79247</v>
      </c>
      <c r="E17" s="1927"/>
    </row>
    <row r="18" spans="1:5" ht="14.25">
      <c r="A18" s="1927"/>
      <c r="B18" s="2746" t="str">
        <f>IF('数据-取费表'!E3="否",结果表!F112,'结果表 (1修多)'!F113)</f>
        <v>——</v>
      </c>
      <c r="C18" s="1928" t="str">
        <f>C7</f>
        <v>总价（元）</v>
      </c>
      <c r="D18" s="1934" t="str">
        <f>IF('数据-取费表'!E3="否",结果表!I112,'结果表 (1修多)'!I113)</f>
        <v>——</v>
      </c>
      <c r="E18" s="1927"/>
    </row>
    <row r="19" spans="1:5" ht="14.25">
      <c r="A19" s="1927"/>
      <c r="B19" s="2746"/>
      <c r="C19" s="1935" t="s">
        <v>1175</v>
      </c>
      <c r="D19" s="1934" t="e">
        <f>IF('数据-取费表'!B3="万元",NUMBERSTRING(INT(D18*10000),2)&amp;"元整",NUMBERSTRING(INT(D18),2)&amp;"元整")</f>
        <v>#VALUE!</v>
      </c>
      <c r="E19" s="1927"/>
    </row>
    <row r="20" spans="1:5" ht="14.25">
      <c r="A20" s="1927"/>
      <c r="B20" s="2746"/>
      <c r="C20" s="1937" t="s">
        <v>1273</v>
      </c>
      <c r="D20" s="1934" t="str">
        <f>IF('数据-取费表'!E3="否",结果表!I113,'结果表 (1修多)'!I114)</f>
        <v>——</v>
      </c>
      <c r="E20" s="1927"/>
    </row>
    <row r="21" spans="1:5" ht="14.25">
      <c r="A21" s="1927"/>
      <c r="B21" s="2739" t="str">
        <f>IF('数据-取费表'!E3="否",结果表!F114,'结果表 (1修多)'!F115)</f>
        <v>——</v>
      </c>
      <c r="C21" s="1933" t="str">
        <f>C7</f>
        <v>总价（元）</v>
      </c>
      <c r="D21" s="1934" t="str">
        <f>IF('数据-取费表'!E3="否",结果表!I114,'结果表 (1修多)'!I115)</f>
        <v>——</v>
      </c>
      <c r="E21" s="1927"/>
    </row>
    <row r="22" spans="1:5" ht="14.25">
      <c r="A22" s="1927"/>
      <c r="B22" s="2739"/>
      <c r="C22" s="1935" t="s">
        <v>1175</v>
      </c>
      <c r="D22" s="1936" t="e">
        <f>IF('数据-取费表'!B3="万元",NUMBERSTRING(INT(D21*10000),2)&amp;"元整",NUMBERSTRING(INT(D21),2)&amp;"元整")</f>
        <v>#VALUE!</v>
      </c>
      <c r="E22" s="1927"/>
    </row>
    <row r="23" spans="1:5" ht="15" thickBot="1">
      <c r="A23" s="1927"/>
      <c r="B23" s="274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4" t="s">
        <v>1274</v>
      </c>
      <c r="C25" s="2754"/>
      <c r="D25" s="2754"/>
      <c r="E25" s="1927"/>
    </row>
    <row r="26" spans="1:5" ht="18.75" customHeight="1" thickTop="1">
      <c r="A26" s="1927"/>
      <c r="B26" s="2757" t="s">
        <v>1174</v>
      </c>
      <c r="C26" s="2758"/>
      <c r="D26" s="2755" t="s">
        <v>1173</v>
      </c>
      <c r="E26" s="1927"/>
    </row>
    <row r="27" spans="1:5" ht="18.75" customHeight="1">
      <c r="A27" s="1927"/>
      <c r="B27" s="2759"/>
      <c r="C27" s="2760"/>
      <c r="D27" s="2756"/>
      <c r="E27" s="1927"/>
    </row>
    <row r="28" spans="1:5" ht="14.25">
      <c r="A28" s="1927"/>
      <c r="B28" s="2747" t="s">
        <v>784</v>
      </c>
      <c r="C28" s="1944" t="s">
        <v>1176</v>
      </c>
      <c r="D28" s="1945">
        <f ca="1">IF('数据-取费表'!E3="否",结果表!I102,'结果表 (1修多)'!I103)</f>
        <v>1886079</v>
      </c>
      <c r="E28" s="1927"/>
    </row>
    <row r="29" spans="1:5" ht="28.5">
      <c r="A29" s="1927"/>
      <c r="B29" s="2748"/>
      <c r="C29" s="1946" t="s">
        <v>1175</v>
      </c>
      <c r="D29" s="1947" t="str">
        <f ca="1">IF('数据-取费表'!B3="万元",NUMBERSTRING(INT(D28*10000),2)&amp;"元整",NUMBERSTRING(INT(D28),2)&amp;"元整")</f>
        <v>壹佰捌拾捌万陆仟零柒拾玖元整</v>
      </c>
      <c r="E29" s="1927"/>
    </row>
    <row r="30" spans="1:5" ht="14.25">
      <c r="A30" s="1927"/>
      <c r="B30" s="2749"/>
      <c r="C30" s="1937" t="s">
        <v>1178</v>
      </c>
      <c r="D30" s="1948">
        <f ca="1">IF('数据-取费表'!E3="否",结果表!I103,'结果表 (1修多)'!I104)</f>
        <v>79247</v>
      </c>
      <c r="E30" s="1927"/>
    </row>
    <row r="31" spans="1:5" ht="14.25">
      <c r="A31" s="1927"/>
      <c r="B31" s="2752" t="str">
        <f>B10</f>
        <v>2.估价师所知悉的法定优先受偿款</v>
      </c>
      <c r="C31" s="1949" t="s">
        <v>1177</v>
      </c>
      <c r="D31" s="1950">
        <f>IF('数据-取费表'!E3="否",结果表!I105,'结果表 (1修多)'!I106)</f>
        <v>0</v>
      </c>
      <c r="E31" s="1927"/>
    </row>
    <row r="32" spans="1:5" ht="14.25">
      <c r="A32" s="1927"/>
      <c r="B32" s="276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0" t="str">
        <f>B15</f>
        <v>3.房地产抵押价值</v>
      </c>
      <c r="C36" s="1949" t="str">
        <f>C28</f>
        <v>总价</v>
      </c>
      <c r="D36" s="1950">
        <f ca="1">IF('数据-取费表'!E3="否",结果表!I110,'结果表 (1修多)'!I111)</f>
        <v>1886079</v>
      </c>
      <c r="E36" s="1927"/>
    </row>
    <row r="37" spans="1:5" ht="28.5">
      <c r="A37" s="1927"/>
      <c r="B37" s="2750"/>
      <c r="C37" s="1946" t="s">
        <v>1175</v>
      </c>
      <c r="D37" s="1951" t="str">
        <f ca="1">IF('数据-取费表'!B3="万元",NUMBERSTRING(INT(D36*10000),2)&amp;"元整",NUMBERSTRING(INT(D36),2)&amp;"元整")</f>
        <v>壹佰捌拾捌万陆仟零柒拾玖元整</v>
      </c>
      <c r="E37" s="1927"/>
    </row>
    <row r="38" spans="1:5" ht="14.25">
      <c r="A38" s="1927"/>
      <c r="B38" s="2750"/>
      <c r="C38" s="1937" t="s">
        <v>1179</v>
      </c>
      <c r="D38" s="1948">
        <f ca="1">IF('数据-取费表'!E3="否",结果表!D113,'结果表 (1修多)'!D116)</f>
        <v>79247</v>
      </c>
      <c r="E38" s="1927"/>
    </row>
    <row r="39" spans="1:5" ht="14.25">
      <c r="A39" s="1927"/>
      <c r="B39" s="2751" t="str">
        <f>B18</f>
        <v>——</v>
      </c>
      <c r="C39" s="1949" t="str">
        <f>C28</f>
        <v>总价</v>
      </c>
      <c r="D39" s="1950" t="str">
        <f>IF('数据-取费表'!E3="否",结果表!I112,'结果表 (1修多)'!I113)</f>
        <v>——</v>
      </c>
      <c r="E39" s="1927"/>
    </row>
    <row r="40" spans="1:5" ht="14.25">
      <c r="A40" s="1927"/>
      <c r="B40" s="2751"/>
      <c r="C40" s="1946" t="s">
        <v>1175</v>
      </c>
      <c r="D40" s="1951" t="e">
        <f>IF('数据-取费表'!B3="万元",NUMBERSTRING(INT(D39*10000),2)&amp;"元整",NUMBERSTRING(INT(D39),2)&amp;"元整")</f>
        <v>#VALUE!</v>
      </c>
      <c r="E40" s="1927"/>
    </row>
    <row r="41" spans="1:5" ht="14.25">
      <c r="A41" s="1927"/>
      <c r="B41" s="2751"/>
      <c r="C41" s="1937" t="s">
        <v>1179</v>
      </c>
      <c r="D41" s="1948" t="str">
        <f>IF('数据-取费表'!E3="否",结果表!D115,'结果表 (1修多)'!D118)</f>
        <v>——</v>
      </c>
      <c r="E41" s="1927"/>
    </row>
    <row r="42" spans="1:5" ht="14.25">
      <c r="A42" s="1927"/>
      <c r="B42" s="2750" t="str">
        <f>B21</f>
        <v>——</v>
      </c>
      <c r="C42" s="1949" t="str">
        <f>C28</f>
        <v>总价</v>
      </c>
      <c r="D42" s="1950" t="str">
        <f>IF('数据-取费表'!E3="否",结果表!I114,'结果表 (1修多)'!I115)</f>
        <v>——</v>
      </c>
      <c r="E42" s="1927"/>
    </row>
    <row r="43" spans="1:5" ht="14.25">
      <c r="A43" s="1927"/>
      <c r="B43" s="2752"/>
      <c r="C43" s="1946" t="s">
        <v>1175</v>
      </c>
      <c r="D43" s="1952" t="e">
        <f>IF('数据-取费表'!B3="万元",NUMBERSTRING(INT(D42*10000),2)&amp;"元整",NUMBERSTRING(INT(D42),2)&amp;"元整")</f>
        <v>#VALUE!</v>
      </c>
      <c r="E43" s="1927"/>
    </row>
    <row r="44" spans="1:5" ht="15" thickBot="1">
      <c r="A44" s="1927"/>
      <c r="B44" s="275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8" t="str">
        <f>IF(项目基本情况!D5="房地产市场价值","估价结果一览表","结果表-2")</f>
        <v>估价结果一览表</v>
      </c>
      <c r="B1" s="2768"/>
      <c r="C1" s="2768"/>
      <c r="D1" s="2768"/>
      <c r="E1" s="2768"/>
      <c r="F1" s="2768"/>
      <c r="G1" s="2768"/>
      <c r="H1" s="2768"/>
      <c r="I1" s="2768"/>
    </row>
    <row r="2" spans="1:9" ht="30" customHeight="1" thickTop="1">
      <c r="A2" s="2769" t="s">
        <v>1275</v>
      </c>
      <c r="B2" s="2769" t="s">
        <v>1276</v>
      </c>
      <c r="C2" s="2769" t="s">
        <v>1277</v>
      </c>
      <c r="D2" s="2769" t="str">
        <f>IF('数据-取费表'!E3="否",结果表!D119,'结果表 (1修多)'!D122)</f>
        <v>出让国有建设用地使用权价值</v>
      </c>
      <c r="E2" s="2769"/>
      <c r="F2" s="2769" t="s">
        <v>1278</v>
      </c>
      <c r="G2" s="2769"/>
      <c r="H2" s="2769" t="s">
        <v>1279</v>
      </c>
      <c r="I2" s="2769"/>
    </row>
    <row r="3" spans="1:9" ht="15">
      <c r="A3" s="2764"/>
      <c r="B3" s="2764"/>
      <c r="C3" s="2764"/>
      <c r="D3" s="1049" t="s">
        <v>1280</v>
      </c>
      <c r="E3" s="1049" t="s">
        <v>1281</v>
      </c>
      <c r="F3" s="1049" t="s">
        <v>1280</v>
      </c>
      <c r="G3" s="1049" t="s">
        <v>1282</v>
      </c>
      <c r="H3" s="1049" t="s">
        <v>1280</v>
      </c>
      <c r="I3" s="1049" t="s">
        <v>1282</v>
      </c>
    </row>
    <row r="4" spans="1:9" ht="46.5" customHeight="1">
      <c r="A4" s="1049" t="str">
        <f>项目基本情况!I1</f>
        <v>北京市房地产</v>
      </c>
      <c r="B4" s="1049">
        <f>结果表!B121</f>
        <v>23.8</v>
      </c>
      <c r="C4" s="1049">
        <f>结果表!C121</f>
        <v>0</v>
      </c>
      <c r="D4" s="1049">
        <f ca="1">IF('数据-取费表'!E3="否",结果表!D121,'结果表 (1修多)'!D124)</f>
        <v>1848356</v>
      </c>
      <c r="E4" s="1049">
        <f ca="1">IF('数据-取费表'!E3="否",结果表!E121,'结果表 (1修多)'!E124)</f>
        <v>77662</v>
      </c>
      <c r="F4" s="1049">
        <f ca="1">IF('数据-取费表'!E3="否",结果表!F121,'结果表 (1修多)'!F124)</f>
        <v>37723</v>
      </c>
      <c r="G4" s="1049">
        <f ca="1">IF('数据-取费表'!E3="否",结果表!G121,'结果表 (1修多)'!G124)</f>
        <v>1585</v>
      </c>
      <c r="H4" s="1049">
        <f ca="1">IF('数据-取费表'!E3="否",结果表!H121,'结果表 (1修多)'!H124)</f>
        <v>1886079</v>
      </c>
      <c r="I4" s="1049">
        <f ca="1">IF('数据-取费表'!E3="否",结果表!I121,'结果表 (1修多)'!I124)</f>
        <v>79247</v>
      </c>
    </row>
    <row r="5" spans="1:9" ht="15">
      <c r="A5" s="2764" t="s">
        <v>1283</v>
      </c>
      <c r="B5" s="2764"/>
      <c r="C5" s="2764"/>
      <c r="D5" s="2762" t="str">
        <f ca="1">IF('数据-取费表'!E3="否",结果表!D122,'结果表 (1修多)'!D125)</f>
        <v>壹佰捌拾肆万捌仟叁佰伍拾陆元整</v>
      </c>
      <c r="E5" s="2762"/>
      <c r="F5" s="2762" t="str">
        <f ca="1">IF('数据-取费表'!E3="否",结果表!F122,'结果表 (1修多)'!F125)</f>
        <v>叁万柒仟柒佰贰拾叁元整</v>
      </c>
      <c r="G5" s="2762"/>
      <c r="H5" s="2762" t="str">
        <f ca="1">IF('数据-取费表'!E3="否",结果表!H122,'结果表 (1修多)'!H125)</f>
        <v>壹佰捌拾捌万陆仟零柒拾玖元整</v>
      </c>
      <c r="I5" s="2762"/>
    </row>
    <row r="6" spans="1:9" ht="15.75">
      <c r="A6" s="2763" t="str">
        <f>IF('数据-取费表'!E3="否",结果表!A123,'结果表 (1修多)'!A126)</f>
        <v>——</v>
      </c>
      <c r="B6" s="2763"/>
      <c r="C6" s="2763"/>
      <c r="D6" s="2763">
        <f>IF('数据-取费表'!E3="否",结果表!D123,'结果表 (1修多)'!D126)</f>
        <v>0</v>
      </c>
      <c r="E6" s="2763"/>
      <c r="F6" s="2763"/>
      <c r="G6" s="2763"/>
      <c r="H6" s="2763"/>
      <c r="I6" s="2763"/>
    </row>
    <row r="7" spans="1:9" ht="15">
      <c r="A7" s="2764" t="s">
        <v>1283</v>
      </c>
      <c r="B7" s="2764"/>
      <c r="C7" s="2764"/>
      <c r="D7" s="2765">
        <f>IF('数据-取费表'!E3="否",结果表!D124,'结果表 (1修多)'!D127)</f>
        <v>0</v>
      </c>
      <c r="E7" s="2766"/>
      <c r="F7" s="2766"/>
      <c r="G7" s="2766"/>
      <c r="H7" s="2766"/>
      <c r="I7" s="2767"/>
    </row>
    <row r="8" spans="1:9" ht="15.75">
      <c r="A8" s="2763" t="str">
        <f>IF('数据-取费表'!E3="否",结果表!A125,'结果表 (1修多)'!A128)</f>
        <v>——</v>
      </c>
      <c r="B8" s="2763"/>
      <c r="C8" s="2763"/>
      <c r="D8" s="2763">
        <f ca="1">IF('数据-取费表'!E3="否",结果表!D125,'结果表 (1修多)'!D128)</f>
        <v>1886079</v>
      </c>
      <c r="E8" s="2763"/>
      <c r="F8" s="2763"/>
      <c r="G8" s="2763"/>
      <c r="H8" s="2763"/>
      <c r="I8" s="2763"/>
    </row>
    <row r="9" spans="1:9" ht="15">
      <c r="A9" s="2764" t="s">
        <v>1283</v>
      </c>
      <c r="B9" s="2764"/>
      <c r="C9" s="2764"/>
      <c r="D9" s="2762">
        <f ca="1">IF('数据-取费表'!E3="否",结果表!D126,'结果表 (1修多)'!D129)</f>
        <v>79247</v>
      </c>
      <c r="E9" s="2762"/>
      <c r="F9" s="2762"/>
      <c r="G9" s="2762"/>
      <c r="H9" s="2762"/>
      <c r="I9" s="2762"/>
    </row>
    <row r="10" spans="1:9" ht="15.75">
      <c r="A10" s="2763" t="str">
        <f>IF('数据-取费表'!E3="否",结果表!A127,'结果表 (1修多)'!A130)</f>
        <v>——</v>
      </c>
      <c r="B10" s="2763"/>
      <c r="C10" s="2763"/>
      <c r="D10" s="2763" t="str">
        <f>IF('数据-取费表'!E3="否",结果表!D127,'结果表 (1修多)'!D129)</f>
        <v>——</v>
      </c>
      <c r="E10" s="2763"/>
      <c r="F10" s="2763"/>
      <c r="G10" s="2763"/>
      <c r="H10" s="2763"/>
      <c r="I10" s="2763"/>
    </row>
    <row r="11" spans="1:9" ht="15">
      <c r="A11" s="2764" t="s">
        <v>1283</v>
      </c>
      <c r="B11" s="2764"/>
      <c r="C11" s="2764"/>
      <c r="D11" s="2762" t="str">
        <f>IF('数据-取费表'!E3="否",结果表!D128,'结果表 (1修多)'!D131)</f>
        <v>——</v>
      </c>
      <c r="E11" s="2762"/>
      <c r="F11" s="2762"/>
      <c r="G11" s="2762"/>
      <c r="H11" s="2762"/>
      <c r="I11" s="2762"/>
    </row>
    <row r="12" spans="1:9" ht="15.75">
      <c r="A12" s="2763" t="str">
        <f>IF('数据-取费表'!E3="否",结果表!A129,'结果表 (1修多)'!A132)</f>
        <v>——</v>
      </c>
      <c r="B12" s="2763"/>
      <c r="C12" s="2763"/>
      <c r="D12" s="2763" t="str">
        <f>IF('数据-取费表'!E3="否",结果表!D129,'结果表 (1修多)'!D132)</f>
        <v>——</v>
      </c>
      <c r="E12" s="2763"/>
      <c r="F12" s="2763"/>
      <c r="G12" s="2763"/>
      <c r="H12" s="2763"/>
      <c r="I12" s="2763"/>
    </row>
    <row r="13" spans="1:9" ht="15.75" thickBot="1">
      <c r="A13" s="2770" t="s">
        <v>1283</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单位：平方米、元、元/平方米（币种：人民币）</v>
      </c>
      <c r="B14" s="2772"/>
      <c r="C14" s="2772"/>
      <c r="D14" s="2772"/>
      <c r="E14" s="2772"/>
      <c r="F14" s="2772"/>
      <c r="G14" s="2772"/>
      <c r="H14" s="2772"/>
      <c r="I14" s="277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7" t="s">
        <v>1297</v>
      </c>
      <c r="B1" s="2777"/>
      <c r="C1" s="2777"/>
      <c r="D1" s="2777"/>
    </row>
    <row r="2" spans="1:4" ht="18">
      <c r="A2" s="2776" t="s">
        <v>1285</v>
      </c>
      <c r="B2" s="2776"/>
      <c r="C2" s="2776"/>
      <c r="D2" s="2776"/>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76" t="s">
        <v>1290</v>
      </c>
      <c r="B7" s="2776"/>
      <c r="C7" s="2776"/>
      <c r="D7" s="2776"/>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73" t="s">
        <v>1299</v>
      </c>
      <c r="B12" s="2775"/>
      <c r="C12" s="2775"/>
      <c r="D12" s="2775"/>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5"/>
      <c r="C13" s="2775"/>
      <c r="D13" s="2775"/>
    </row>
    <row r="14" spans="1:4" ht="30" customHeight="1">
      <c r="A14" s="2773" t="str">
        <f>IF(项目基本情况!D4="抵押","3.抵押双方在办理抵押登记手续时，应使用本公司出具的正式《房地产评估报告》，特提醒报告使用者注意。","——")</f>
        <v>——</v>
      </c>
      <c r="B14" s="2775"/>
      <c r="C14" s="2775"/>
      <c r="D14" s="2775"/>
    </row>
    <row r="15" spans="1:4" ht="15.75" customHeight="1">
      <c r="A15" s="2773" t="str">
        <f>IF(项目基本情况!D4="抵押","4.本次评估估价师所知悉的法定优先受偿款情况说明如下：","——")</f>
        <v>——</v>
      </c>
      <c r="B15" s="2775"/>
      <c r="C15" s="2775"/>
      <c r="D15" s="2775"/>
    </row>
    <row r="16" spans="1:4" ht="75" customHeight="1">
      <c r="A16" s="2773" t="str">
        <f>IF(项目基本情况!D4="抵押",CONCATENATE(项目基本情况!J13,项目基本情况!J14,项目基本情况!J15),"——")</f>
        <v>——</v>
      </c>
      <c r="B16" s="2773"/>
      <c r="C16" s="2773"/>
      <c r="D16" s="2773"/>
    </row>
    <row r="17" spans="1:4" ht="63.75" customHeight="1">
      <c r="A17" s="2774" t="s">
        <v>1300</v>
      </c>
      <c r="B17" s="2774"/>
      <c r="C17" s="2774"/>
      <c r="D17" s="2774"/>
    </row>
    <row r="18" spans="1:4" ht="15.75" customHeight="1">
      <c r="A18" s="2773" t="str">
        <f>IF(项目基本情况!D4="抵押",结果表!K106,"——")</f>
        <v>——</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4" t="s">
        <v>1293</v>
      </c>
      <c r="B20" s="2774"/>
      <c r="C20" s="2774"/>
      <c r="D20" s="2774"/>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83" t="s">
        <v>1379</v>
      </c>
      <c r="B15" s="2778" t="s">
        <v>1380</v>
      </c>
      <c r="C15" s="2779"/>
    </row>
    <row r="16" spans="1:7" ht="14.25">
      <c r="A16" s="2784"/>
      <c r="B16" s="2778" t="s">
        <v>1381</v>
      </c>
      <c r="C16" s="2779"/>
    </row>
    <row r="17" spans="1:3" ht="14.25">
      <c r="A17" s="2784"/>
      <c r="B17" s="2778" t="s">
        <v>1382</v>
      </c>
      <c r="C17" s="2779"/>
    </row>
    <row r="18" spans="1:3" ht="14.25">
      <c r="A18" s="2785"/>
      <c r="B18" s="2780" t="s">
        <v>1383</v>
      </c>
      <c r="C18" s="2779"/>
    </row>
    <row r="19" spans="1:3" ht="14.25">
      <c r="A19" s="1980" t="s">
        <v>1384</v>
      </c>
      <c r="B19" s="1981"/>
      <c r="C19" s="1982"/>
    </row>
    <row r="20" spans="1:3" ht="14.25">
      <c r="A20" s="2781" t="s">
        <v>1385</v>
      </c>
      <c r="B20" s="2780" t="s">
        <v>1386</v>
      </c>
      <c r="C20" s="2779"/>
    </row>
    <row r="21" spans="1:3" ht="14.25">
      <c r="A21" s="2781"/>
      <c r="B21" s="2780" t="s">
        <v>1387</v>
      </c>
      <c r="C21" s="2779"/>
    </row>
    <row r="22" spans="1:3" ht="14.25">
      <c r="A22" s="2781"/>
      <c r="B22" s="2780" t="s">
        <v>1388</v>
      </c>
      <c r="C22" s="2779"/>
    </row>
    <row r="23" spans="1:3" ht="14.25">
      <c r="A23" s="2781"/>
      <c r="B23" s="2782" t="s">
        <v>1389</v>
      </c>
      <c r="C23" s="1983" t="s">
        <v>1390</v>
      </c>
    </row>
    <row r="24" spans="1:3" ht="14.25">
      <c r="A24" s="2781"/>
      <c r="B24" s="2782"/>
      <c r="C24" s="1983" t="s">
        <v>1391</v>
      </c>
    </row>
    <row r="25" spans="1:3" ht="14.25">
      <c r="A25" s="2781"/>
      <c r="B25" s="2782"/>
      <c r="C25" s="1983" t="s">
        <v>1392</v>
      </c>
    </row>
    <row r="26" spans="1:3" ht="14.25">
      <c r="A26" s="2781"/>
      <c r="B26" s="2782"/>
      <c r="C26" s="1983" t="s">
        <v>1393</v>
      </c>
    </row>
    <row r="27" spans="1:3" ht="14.25">
      <c r="A27" s="2781"/>
      <c r="B27" s="2782"/>
      <c r="C27" s="1983" t="s">
        <v>1394</v>
      </c>
    </row>
    <row r="28" spans="1:3" ht="14.25">
      <c r="A28" s="2781"/>
      <c r="B28" s="2782"/>
      <c r="C28" s="1983" t="s">
        <v>1395</v>
      </c>
    </row>
    <row r="29" spans="1:3" ht="14.25">
      <c r="A29" s="2781"/>
      <c r="B29" s="2782"/>
      <c r="C29" s="1983" t="s">
        <v>1396</v>
      </c>
    </row>
    <row r="30" spans="1:3" ht="14.25">
      <c r="A30" s="2781"/>
      <c r="B30" s="2782"/>
      <c r="C30" s="1983" t="s">
        <v>1397</v>
      </c>
    </row>
    <row r="31" spans="1:3" ht="14.25">
      <c r="A31" s="2781"/>
      <c r="B31" s="2782"/>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43395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2813</v>
      </c>
      <c r="B12" s="1031">
        <v>1120110054</v>
      </c>
      <c r="C12" s="1811">
        <v>43937</v>
      </c>
      <c r="D12" s="1812" t="str">
        <f t="shared" si="0"/>
        <v>白景生（注册号：1120110054）</v>
      </c>
      <c r="E12" s="1810" t="s">
        <v>2813</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6" t="s">
        <v>768</v>
      </c>
      <c r="B25" s="2786"/>
      <c r="C25" s="2786"/>
      <c r="D25" s="2786"/>
      <c r="E25" s="2786"/>
      <c r="F25" s="2786"/>
      <c r="G25" s="2786"/>
      <c r="H25" s="2786"/>
    </row>
    <row r="26" spans="1:8" s="1034" customFormat="1" ht="24" customHeight="1">
      <c r="A26" s="2787" t="s">
        <v>769</v>
      </c>
      <c r="B26" s="2787"/>
      <c r="C26" s="2787"/>
      <c r="D26" s="1062"/>
      <c r="E26" s="1062"/>
      <c r="F26" s="2787" t="s">
        <v>770</v>
      </c>
      <c r="G26" s="2787"/>
      <c r="H26" s="278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78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row>
    <row r="54" spans="1:4">
      <c r="A54" s="2788"/>
      <c r="B54" s="9" t="s">
        <v>1535</v>
      </c>
      <c r="C54" s="9" t="s">
        <v>1536</v>
      </c>
    </row>
    <row r="55" spans="1:4">
      <c r="A55" s="2788"/>
      <c r="B55" s="9" t="s">
        <v>1537</v>
      </c>
      <c r="C55" s="9" t="s">
        <v>1538</v>
      </c>
    </row>
    <row r="56" spans="1:4">
      <c r="A56" s="2788"/>
      <c r="B56" s="9" t="s">
        <v>1539</v>
      </c>
      <c r="C56" s="9" t="s">
        <v>1540</v>
      </c>
    </row>
    <row r="57" spans="1:4">
      <c r="A57" s="2788"/>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2018-10-22T09:15:05Z</dcterms:modified>
</cp:coreProperties>
</file>