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64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假设开发法" sheetId="12" state="hidden" r:id="rId17"/>
    <sheet name="比较法-住宅" sheetId="21" state="hidden" r:id="rId18"/>
    <sheet name="比较法-商业" sheetId="33" r:id="rId19"/>
    <sheet name="收益法" sheetId="15" r:id="rId20"/>
    <sheet name="收益法-酒店模型" sheetId="63" state="hidden" r:id="rId21"/>
    <sheet name="典型户型修正" sheetId="3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Sheet1" sheetId="68"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18"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18">'比较法-商业'!$A$1:$K$54,'比较法-商业'!$A$57:$M$131</definedName>
    <definedName name="_xlnm.Print_Area" localSheetId="17">'比较法-住宅'!$A$1:$K$54,'比较法-住宅'!$A$57:$M$131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30">'[1]比较法-办公'!$B$119:$M$119</definedName>
    <definedName name="办公层高">'比较法-办公'!$B$119:$M$119</definedName>
    <definedName name="办公朝向" localSheetId="30">'[1]比较法-办公'!$B$91:$M$91</definedName>
    <definedName name="办公朝向">'比较法-办公'!$B$91:$M$91</definedName>
    <definedName name="办公道路级别" localSheetId="30">'[1]比较法-办公'!$B$87:$M$87</definedName>
    <definedName name="办公道路级别">'比较法-办公'!$B$87:$M$87</definedName>
    <definedName name="办公公共部分装修" localSheetId="30">'[1]比较法-办公'!$B$108:$M$108</definedName>
    <definedName name="办公公共部分装修">'比较法-办公'!$B$108:$M$108</definedName>
    <definedName name="办公基础设施水平" localSheetId="30">'[1]比较法-办公'!$B$117:$M$117</definedName>
    <definedName name="办公基础设施水平">'比较法-办公'!$B$117:$M$117</definedName>
    <definedName name="办公集聚程度" localSheetId="30">[1]定义!$M$1:$M$6</definedName>
    <definedName name="办公集聚程度">定义!$M$1:$M$6</definedName>
    <definedName name="办公建筑结构" localSheetId="30">'[1]比较法-办公'!$B$106:$M$106</definedName>
    <definedName name="办公建筑结构">'比较法-办公'!$B$106:$M$106</definedName>
    <definedName name="办公建筑类型" localSheetId="30">'[1]比较法-办公'!$B$101:$M$101</definedName>
    <definedName name="办公建筑类型">'比较法-办公'!$B$101:$M$101</definedName>
    <definedName name="办公交易情况" localSheetId="30">'[1]比较法-办公'!$A$62:$M$62</definedName>
    <definedName name="办公交易情况">'比较法-办公'!$A$62:$M$62</definedName>
    <definedName name="办公楼层" localSheetId="30">'[1]比较法-办公'!$B$89:$M$89</definedName>
    <definedName name="办公楼层">'比较法-办公'!$B$89:$M$89</definedName>
    <definedName name="办公内部装修" localSheetId="30">'[1]比较法-办公'!$B$123:$M$123</definedName>
    <definedName name="办公内部装修">'比较法-办公'!$B$123:$M$123</definedName>
    <definedName name="办公物业管理" localSheetId="30">'[1]比较法-办公'!$B$115:$M$115</definedName>
    <definedName name="办公物业管理">'比较法-办公'!$B$115:$M$115</definedName>
    <definedName name="办公用途" localSheetId="30">'[1]比较法-办公'!$B$64:$M$64</definedName>
    <definedName name="办公用途">'比较法-办公'!$B$64:$M$64</definedName>
    <definedName name="仓储公共部分装修" localSheetId="30">'[1]比较法-仓储'!$B$77:$M$77</definedName>
    <definedName name="仓储公共部分装修">'比较法-仓储'!$B$77:$M$77</definedName>
    <definedName name="仓储交易情况" localSheetId="30">'[1]比较法-仓储'!$A$49:$M$49</definedName>
    <definedName name="仓储交易情况">'比较法-仓储'!$A$49:$M$49</definedName>
    <definedName name="仓储楼层" localSheetId="30">'[1]比较法-仓储'!$B$69:$M$69</definedName>
    <definedName name="仓储楼层">'比较法-仓储'!$B$69:$M$69</definedName>
    <definedName name="仓储物业等级" localSheetId="30">'[1]比较法-仓储'!$B$82:$M$82</definedName>
    <definedName name="仓储物业等级">'比较法-仓储'!$B$82:$M$82</definedName>
    <definedName name="仓储用途" localSheetId="30">'[1]比较法-仓储'!$B$51:$M$51</definedName>
    <definedName name="仓储用途">'比较法-仓储'!$B$51:$M$51</definedName>
    <definedName name="产业集聚程度" localSheetId="30">[1]定义!$N$1:$N$6</definedName>
    <definedName name="产业集聚程度">定义!$N$1:$N$6</definedName>
    <definedName name="车位公共部分装修" localSheetId="30">'[1]比较法-车位'!$B$83:$M$83</definedName>
    <definedName name="车位公共部分装修">'比较法-车位'!$B$83:$M$83</definedName>
    <definedName name="车位交易情况" localSheetId="30">'[1]比较法-车位'!$A$51:$M$51</definedName>
    <definedName name="车位交易情况">'比较法-车位'!$A$51:$M$51</definedName>
    <definedName name="车位类型" localSheetId="30">'[1]比较法-车位'!$B$93:$M$93</definedName>
    <definedName name="车位类型">'比较法-车位'!$B$93:$M$93</definedName>
    <definedName name="车位楼层" localSheetId="30">'[1]比较法-车位'!$B$71:$M$71</definedName>
    <definedName name="车位楼层">'比较法-车位'!$B$71:$M$71</definedName>
    <definedName name="车位配套类型" localSheetId="30">'[1]比较法-车位'!$B$79:$M$79</definedName>
    <definedName name="车位配套类型">'比较法-车位'!$B$79:$M$79</definedName>
    <definedName name="车位物业等级" localSheetId="30">'[1]比较法-车位'!$B$88:$M$88</definedName>
    <definedName name="车位物业等级">'比较法-车位'!$B$88:$M$88</definedName>
    <definedName name="车位用途" localSheetId="30">'[1]比较法-车位'!$B$53:$M$53</definedName>
    <definedName name="车位用途">'比较法-车位'!$B$53:$M$53</definedName>
    <definedName name="城镇土地纳税等级分级范围" localSheetId="30">'[1]数据-取费表'!$D$41:$D$51</definedName>
    <definedName name="城镇土地纳税等级分级范围">'数据-取费表'!$D$41:$D$51</definedName>
    <definedName name="单价内涵" localSheetId="30">[1]定义!$V$1:$V$3</definedName>
    <definedName name="单价内涵">定义!$V$1:$V$3</definedName>
    <definedName name="抵押">定义!$B$52:$D$52</definedName>
    <definedName name="抵押净值">定义!$B$57:$C$57</definedName>
    <definedName name="抵押净值定义">定义!$B$57:$C$57</definedName>
    <definedName name="地类判定" localSheetId="30">[1]定义!$H$1:$H$9</definedName>
    <definedName name="地类判定">定义!$H$1:$H$9</definedName>
    <definedName name="二级">区片价!$J$1:$J$20</definedName>
    <definedName name="二级分类" localSheetId="30">[1]修正!$C$17:$C$39</definedName>
    <definedName name="二级分类">修正!$C$17:$C$39</definedName>
    <definedName name="法定最高年限" localSheetId="30">[1]定义!$G$1:$G$4</definedName>
    <definedName name="法定最高年限">定义!$G$1:$G$4</definedName>
    <definedName name="房地产估价师及注册号">估价师及机构信息!$D$3:$D$16</definedName>
    <definedName name="工业公共部分装修" localSheetId="30">'[1]比较法-工业'!$B$95:$M$95</definedName>
    <definedName name="工业公共部分装修">'比较法-工业'!$B$95:$M$95</definedName>
    <definedName name="工业基础设施水平" localSheetId="30">'[1]比较法-工业'!$B$102:$M$102</definedName>
    <definedName name="工业基础设施水平">'比较法-工业'!$B$102:$M$102</definedName>
    <definedName name="工业建筑结构" localSheetId="30">'[1]比较法-工业'!$B$93:$M$93</definedName>
    <definedName name="工业建筑结构">'比较法-工业'!$B$93:$M$93</definedName>
    <definedName name="工业建筑类型" localSheetId="30">'[1]比较法-工业'!$B$88:$M$88</definedName>
    <definedName name="工业建筑类型">'比较法-工业'!$B$88:$M$88</definedName>
    <definedName name="工业交易情况" localSheetId="30">'[1]比较法-工业'!$A$55:$M$55</definedName>
    <definedName name="工业交易情况">'比较法-工业'!$A$55:$M$55</definedName>
    <definedName name="工业内部装修" localSheetId="30">'[1]比较法-工业'!$B$104:$M$104</definedName>
    <definedName name="工业内部装修">'比较法-工业'!$B$104:$M$104</definedName>
    <definedName name="工业物业管理" localSheetId="30">'[1]比较法-工业'!$B$100:$M$100</definedName>
    <definedName name="工业物业管理">'比较法-工业'!$B$100:$M$100</definedName>
    <definedName name="工业用途" localSheetId="30">'[1]比较法-工业'!$B$57:$M$57</definedName>
    <definedName name="工业用途">'比较法-工业'!$B$57:$M$57</definedName>
    <definedName name="公共配套设施" localSheetId="30">[1]定义!$Q$1:$Q$6</definedName>
    <definedName name="公共配套设施">定义!$Q$1:$Q$6</definedName>
    <definedName name="估价方法" localSheetId="30">[1]定义!$B$1:$B$50</definedName>
    <definedName name="估价方法">定义!$B$1:$B$50</definedName>
    <definedName name="估价目的">定义!$A$51:$C$51</definedName>
    <definedName name="环境" localSheetId="30">[1]定义!$S$1:$S$6</definedName>
    <definedName name="环境">定义!$S$1:$S$6</definedName>
    <definedName name="基础设施水平" localSheetId="30">[1]定义!$R$1:$R$7</definedName>
    <definedName name="基础设施水平">定义!$R$1:$R$7</definedName>
    <definedName name="季度">基准地价修正!$N$19:$AD$19</definedName>
    <definedName name="价值类型">定义!$B$53:$B$58</definedName>
    <definedName name="价值类型2" localSheetId="30">[1]定义!$B$54:$B$56</definedName>
    <definedName name="价值类型2">定义!$B$54:$B$56</definedName>
    <definedName name="建筑使用方向">定义!$Y:$Y</definedName>
    <definedName name="交通便捷度" localSheetId="30">[1]定义!$O$1:$O$6</definedName>
    <definedName name="交通便捷度">定义!$O$1:$O$6</definedName>
    <definedName name="结构">定义!$X:$X</definedName>
    <definedName name="仅抵押价值">定义!$B$54:$C$54</definedName>
    <definedName name="九级">区片价!$Q$1:$Q$46</definedName>
    <definedName name="居住社区成熟度" localSheetId="30">[1]定义!$K$1:$K$6</definedName>
    <definedName name="居住社区成熟度">定义!$K$1:$K$6</definedName>
    <definedName name="类别">定义!$J$1:$J$3</definedName>
    <definedName name="临街状况" localSheetId="30">[1]定义!$T$1:$T$5</definedName>
    <definedName name="临街状况">定义!$T$1:$T$5</definedName>
    <definedName name="六级">区片价!$N$1:$N$49</definedName>
    <definedName name="内部装修维护情况" localSheetId="30">[1]定义!$U$1:$U$6</definedName>
    <definedName name="内部装修维护情况">定义!$U$1:$U$6</definedName>
    <definedName name="判定" localSheetId="30">[1]定义!$D$1:$D$4</definedName>
    <definedName name="判定" localSheetId="20">[2]定义!$D$1:$D$4</definedName>
    <definedName name="判定">定义!$D$1:$D$4</definedName>
    <definedName name="七级">区片价!$O$1:$O$49</definedName>
    <definedName name="七通一平" localSheetId="30">[1]修正!$A$6:$A$14</definedName>
    <definedName name="七通一平">修正!$A$6:$A$14</definedName>
    <definedName name="区域土地利用方向" localSheetId="30">[1]定义!$P$1:$P$6</definedName>
    <definedName name="区域土地利用方向">定义!$P$1:$P$6</definedName>
    <definedName name="三级">区片价!$K$1:$K$21</definedName>
    <definedName name="商业层高" localSheetId="30">'[1]比较法-商业'!$B$116:$M$116</definedName>
    <definedName name="商业层高">'比较法-商业'!$B$116:$M$116</definedName>
    <definedName name="商业成新度">'比较法-商业'!$B$109:$M$109</definedName>
    <definedName name="商业繁华度" localSheetId="30">[1]定义!$L$1:$L$6</definedName>
    <definedName name="商业繁华度">定义!$L$1:$L$6</definedName>
    <definedName name="商业公共部分装修" localSheetId="30">'[1]比较法-商业'!$B$107:$M$107</definedName>
    <definedName name="商业公共部分装修">'比较法-商业'!$B$107:$M$107</definedName>
    <definedName name="商业基础设施水平" localSheetId="30">'[1]比较法-商业'!$B$112:$M$112</definedName>
    <definedName name="商业基础设施水平">'比较法-商业'!$B$112:$M$112</definedName>
    <definedName name="商业建筑结构" localSheetId="30">'[1]比较法-商业'!$B$105:$M$105</definedName>
    <definedName name="商业建筑结构">'比较法-商业'!$B$105:$M$105</definedName>
    <definedName name="商业交易情况" localSheetId="30">'[1]比较法-商业'!$A$61:$M$61</definedName>
    <definedName name="商业交易情况">'比较法-商业'!$A$61:$M$61</definedName>
    <definedName name="商业街名称" localSheetId="30">[1]修正!$C$59:$C$119</definedName>
    <definedName name="商业街名称">修正!$C$59:$C$119</definedName>
    <definedName name="商业进深比" localSheetId="30">'[1]比较法-商业'!$B$120:$M$120</definedName>
    <definedName name="商业进深比">'比较法-商业'!$B$120:$M$120</definedName>
    <definedName name="商业类型" localSheetId="30">'[1]比较法-商业'!$B$100:$M$100</definedName>
    <definedName name="商业类型">'比较法-商业'!$B$100:$M$100</definedName>
    <definedName name="商业临街状况" localSheetId="30">'[1]比较法-商业'!$B$86:$M$86</definedName>
    <definedName name="商业临街状况">'比较法-商业'!$B$86:$M$86</definedName>
    <definedName name="商业楼层" localSheetId="30">'[1]比较法-商业'!$B$92:$M$92</definedName>
    <definedName name="商业楼层">'比较法-商业'!$B$92:$M$92</definedName>
    <definedName name="商业内部装修" localSheetId="30">'[1]比较法-商业'!$B$122:$M$122</definedName>
    <definedName name="商业内部装修">'比较法-商业'!$B$122:$M$122</definedName>
    <definedName name="商业人流量" localSheetId="30">'[1]比较法-商业'!$B$90:$M$90</definedName>
    <definedName name="商业人流量">'比较法-商业'!$B$90:$M$90</definedName>
    <definedName name="商业业态" localSheetId="30">'[1]比较法-商业'!$B$114:$M$114</definedName>
    <definedName name="商业业态">'比较法-商业'!$B$114:$M$114</definedName>
    <definedName name="商业用途" localSheetId="30">'[1]比较法-商业'!$B$63:$M$63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0">'[1]比较法-仓储'!$B$89:$M$89</definedName>
    <definedName name="是否封闭">'比较法-仓储'!$B$89:$M$89</definedName>
    <definedName name="是否直接入户" localSheetId="30">'[1]比较法-车位'!$B$95:$M$95</definedName>
    <definedName name="是否直接入户">'比较法-车位'!$B$95:$M$95</definedName>
    <definedName name="四级">区片价!$L$1:$L$28</definedName>
    <definedName name="套工道路等级" localSheetId="30">'[1]土地比较法-工业'!$B$97:$M$97</definedName>
    <definedName name="套工道路等级">'土地比较法-工业'!$B$97:$M$97</definedName>
    <definedName name="套工地质条件" localSheetId="30">'[1]土地比较法-工业'!$B$114:$M$114</definedName>
    <definedName name="套工地质条件">'土地比较法-工业'!$B$114:$M$114</definedName>
    <definedName name="套工交易情况" localSheetId="30">'[1]土地比较法-住宅、综合'!$A$73:$M$73</definedName>
    <definedName name="套工交易情况">'土地比较法-住宅、综合'!$A$73:$M$73</definedName>
    <definedName name="套工土地级别" localSheetId="30">'[1]土地比较法-工业'!$B$99:$M$99</definedName>
    <definedName name="套工土地级别">'土地比较法-工业'!$B$99:$M$99</definedName>
    <definedName name="套工用途" localSheetId="30">'[1]土地比较法-工业'!$B$70:$M$70</definedName>
    <definedName name="套工用途">'土地比较法-工业'!$B$70:$M$70</definedName>
    <definedName name="套工宗地内开发程度" localSheetId="30">'[1]土地比较法-工业'!$B$112:$M$112</definedName>
    <definedName name="套工宗地内开发程度">'土地比较法-工业'!$B$112:$M$112</definedName>
    <definedName name="套工宗地形状" localSheetId="30">'[1]土地比较法-工业'!$B$110:$M$110</definedName>
    <definedName name="套工宗地形状">'土地比较法-工业'!$B$110:$M$110</definedName>
    <definedName name="套综道路等级" localSheetId="30">'[1]土地比较法-住宅、综合'!$B$106:$M$106</definedName>
    <definedName name="套综道路等级">'土地比较法-住宅、综合'!$B$106:$M$106</definedName>
    <definedName name="套综工程地质条件" localSheetId="30">'[1]土地比较法-住宅、综合'!$B$125:$M$125</definedName>
    <definedName name="套综工程地质条件">'土地比较法-住宅、综合'!$B$125:$M$125</definedName>
    <definedName name="套综交易情况" localSheetId="30">'[1]土地比较法-住宅、综合'!$A$73:$M$73</definedName>
    <definedName name="套综交易情况">'土地比较法-住宅、综合'!$A$73:$M$73</definedName>
    <definedName name="套综临街宽度及深度" localSheetId="30">'[1]土地比较法-住宅、综合'!$B$121:$M$121</definedName>
    <definedName name="套综临街宽度及深度">'土地比较法-住宅、综合'!$B$121:$M$121</definedName>
    <definedName name="套综土地级别" localSheetId="30">'[1]土地比较法-住宅、综合'!$B$108:$M$108</definedName>
    <definedName name="套综土地级别">'土地比较法-住宅、综合'!$B$108:$M$108</definedName>
    <definedName name="套综用途" localSheetId="30">'[1]土地比较法-住宅、综合'!$B$75:$M$75</definedName>
    <definedName name="套综用途">'土地比较法-住宅、综合'!$B$75:$M$75</definedName>
    <definedName name="套综宗地内开发程度" localSheetId="30">'[1]土地比较法-住宅、综合'!$B$123:$M$123</definedName>
    <definedName name="套综宗地内开发程度">'土地比较法-住宅、综合'!$B$123:$M$123</definedName>
    <definedName name="套综宗地形状" localSheetId="30">'[1]土地比较法-住宅、综合'!$B$119:$M$119</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0">[1]定义!$C$1:$C$13</definedName>
    <definedName name="土地级别">定义!$C$1:$C$13</definedName>
    <definedName name="土地利用方向">定义!$P$1:$P$6</definedName>
    <definedName name="土地年限区间" localSheetId="30">[1]定义!$I$1:$I$8</definedName>
    <definedName name="土地年限区间">定义!$I$1:$I$8</definedName>
    <definedName name="位置">定义!$E$2:$E$4</definedName>
    <definedName name="五等判定" localSheetId="30">[1]定义!$W$1:$W$6</definedName>
    <definedName name="五等判定">定义!$W$1:$W$6</definedName>
    <definedName name="五级">区片价!$M$1:$M$35</definedName>
    <definedName name="项目类型">'[2]数据-汇总表'!$C$17:$C$26</definedName>
    <definedName name="项目类型取费">'数据-取费表'!$A$19:$A$19</definedName>
    <definedName name="写字楼等级" localSheetId="30">'[1]比较法-办公'!$B$113:$M$113</definedName>
    <definedName name="写字楼等级">'比较法-办公'!$B$113:$M$113</definedName>
    <definedName name="一级">区片价!$I$1:$I$6</definedName>
    <definedName name="一修多修正项2" localSheetId="30">[1]典型户型修正!$8:$8</definedName>
    <definedName name="一修多修正项2">典型户型修正!$8:$8</definedName>
    <definedName name="一修多修正项3" localSheetId="30">[1]典型户型修正!$10:$10</definedName>
    <definedName name="一修多修正项3">典型户型修正!$10:$10</definedName>
    <definedName name="一修多修正项4" localSheetId="30">[1]典型户型修正!$12:$12</definedName>
    <definedName name="一修多修正项4">典型户型修正!$12:$12</definedName>
    <definedName name="一修多修正项5" localSheetId="30">[1]典型户型修正!$14:$14</definedName>
    <definedName name="一修多修正项5">典型户型修正!$14:$14</definedName>
    <definedName name="一修多修正项6" localSheetId="30">[1]典型户型修正!$16:$16</definedName>
    <definedName name="一修多修正项6">典型户型修正!$16:$16</definedName>
    <definedName name="一修多修正项7" localSheetId="30">[1]典型户型修正!$18:$18</definedName>
    <definedName name="一修多修正项7">典型户型修正!$18:$18</definedName>
    <definedName name="一修多修正项8" localSheetId="30">[1]典型户型修正!$20:$20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0">'[1]比较法-仓储'!$B$84:$M$84</definedName>
    <definedName name="有无电梯">'比较法-仓储'!$B$84:$M$84</definedName>
    <definedName name="主用途">定义!$F$1:$F$10</definedName>
    <definedName name="住宅朝向" localSheetId="30">'[1]比较法-住宅'!$B$88:$M$88</definedName>
    <definedName name="住宅朝向">'比较法-住宅'!$B$88:$M$88</definedName>
    <definedName name="住宅房型" localSheetId="30">'[1]比较法-住宅'!$B$118:$M$118</definedName>
    <definedName name="住宅房型">'比较法-住宅'!$B$118:$M$118</definedName>
    <definedName name="住宅公共部分装修" localSheetId="30">'[1]比较法-住宅'!$B$109:$M$109</definedName>
    <definedName name="住宅公共部分装修">'比较法-住宅'!$B$109:$M$109</definedName>
    <definedName name="住宅基础设施水平" localSheetId="30">'[1]比较法-住宅'!$B$116:$M$116</definedName>
    <definedName name="住宅基础设施水平">'比较法-住宅'!$B$116:$M$116</definedName>
    <definedName name="住宅建筑结构" localSheetId="30">'[1]比较法-住宅'!$B$105:$M$105</definedName>
    <definedName name="住宅建筑结构">'比较法-住宅'!$B$105:$M$105</definedName>
    <definedName name="住宅建筑类型" localSheetId="30">'[1]比较法-住宅'!$B$100:$M$100</definedName>
    <definedName name="住宅建筑类型">'比较法-住宅'!$B$100:$M$100</definedName>
    <definedName name="住宅建筑品质" localSheetId="30">'[1]比较法-住宅'!$B$107:$M$107</definedName>
    <definedName name="住宅建筑品质">'比较法-住宅'!$B$107:$M$107</definedName>
    <definedName name="住宅交易情况" localSheetId="30">'[1]比较法-住宅'!$A$61:$M$61</definedName>
    <definedName name="住宅交易情况">'比较法-住宅'!$A$61:$M$61</definedName>
    <definedName name="住宅楼层" localSheetId="30">'[1]比较法-住宅'!$B$86:$M$86</definedName>
    <definedName name="住宅楼层">'比较法-住宅'!$B$86:$M$86</definedName>
    <definedName name="住宅内部装修" localSheetId="30">'[1]比较法-住宅'!$B$122:$M$122</definedName>
    <definedName name="住宅内部装修">'比较法-住宅'!$B$122:$M$122</definedName>
    <definedName name="住宅物业管理" localSheetId="30">'[1]比较法-住宅'!$B$114:$M$114</definedName>
    <definedName name="住宅物业管理">'比较法-住宅'!$B$114:$M$114</definedName>
    <definedName name="住宅用途" localSheetId="30">'[1]比较法-住宅'!$B$63:$M$63</definedName>
    <definedName name="住宅用途">'比较法-住宅'!$B$63:$M$63</definedName>
    <definedName name="住宅主力户型面积">'比较法-住宅'!$B$120:$M$120</definedName>
    <definedName name="注册房地产估价师" localSheetId="30">[1]估价师及机构信息!$A$3:$A$16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U2" i="43" l="1"/>
  <c r="D33" i="43"/>
  <c r="H88" i="68" l="1"/>
  <c r="G88" i="68"/>
  <c r="H87" i="68"/>
  <c r="G87" i="68"/>
  <c r="H86" i="68"/>
  <c r="G86" i="68"/>
  <c r="H85" i="68"/>
  <c r="G85" i="68"/>
  <c r="H81" i="68"/>
  <c r="G81" i="68"/>
  <c r="H80" i="68"/>
  <c r="G80" i="68"/>
  <c r="H79" i="68"/>
  <c r="G79" i="68"/>
  <c r="H78" i="68"/>
  <c r="G78" i="68"/>
  <c r="E20" i="1" l="1"/>
  <c r="G20" i="1"/>
  <c r="C33" i="33" l="1"/>
  <c r="I7" i="21"/>
  <c r="G7" i="21"/>
  <c r="C66" i="9" l="1"/>
  <c r="C75" i="9"/>
  <c r="C37" i="2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s="1"/>
  <c r="C21" i="21"/>
  <c r="G20" i="20"/>
  <c r="C22" i="20"/>
  <c r="AB25" i="40"/>
  <c r="S25" i="40"/>
  <c r="S18" i="36"/>
  <c r="W18" i="35"/>
  <c r="U18" i="35"/>
  <c r="S18" i="35"/>
  <c r="U21" i="37"/>
  <c r="S21" i="37"/>
  <c r="S21" i="34"/>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s="1"/>
  <c r="M76" i="43"/>
  <c r="N76" i="43" s="1"/>
  <c r="K76" i="43"/>
  <c r="J76" i="43" s="1"/>
  <c r="M75" i="43"/>
  <c r="N75" i="43" s="1"/>
  <c r="K75" i="43"/>
  <c r="J75" i="43" s="1"/>
  <c r="M74" i="43"/>
  <c r="N74" i="43" s="1"/>
  <c r="K74" i="43"/>
  <c r="J74" i="43" s="1"/>
  <c r="D74" i="43"/>
  <c r="M73" i="43"/>
  <c r="N73" i="43" s="1"/>
  <c r="K73" i="43"/>
  <c r="J73" i="43" s="1"/>
  <c r="M72" i="43"/>
  <c r="N72" i="43" s="1"/>
  <c r="K72" i="43"/>
  <c r="J72" i="43" s="1"/>
  <c r="D72" i="43"/>
  <c r="M71" i="43"/>
  <c r="N71" i="43" s="1"/>
  <c r="K71" i="43"/>
  <c r="J71" i="43" s="1"/>
  <c r="M70" i="43"/>
  <c r="N70" i="43" s="1"/>
  <c r="K70" i="43"/>
  <c r="J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F37" i="33"/>
  <c r="S37" i="33" s="1"/>
  <c r="D111" i="33"/>
  <c r="E111" i="33" s="1"/>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E85" i="33" s="1"/>
  <c r="F85" i="33" s="1"/>
  <c r="G85" i="33" s="1"/>
  <c r="D81" i="33"/>
  <c r="E81" i="33" s="1"/>
  <c r="F81" i="33" s="1"/>
  <c r="G81" i="33" s="1"/>
  <c r="D79" i="33"/>
  <c r="E79" i="33" s="1"/>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C63" i="33"/>
  <c r="H9" i="33"/>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s="1"/>
  <c r="H40" i="33"/>
  <c r="AB40" i="33" s="1"/>
  <c r="AA40" i="33"/>
  <c r="Q39" i="33"/>
  <c r="Z39" i="33"/>
  <c r="Q38" i="33"/>
  <c r="Z38" i="33"/>
  <c r="J38" i="33"/>
  <c r="H38" i="33"/>
  <c r="AB38" i="33" s="1"/>
  <c r="F38" i="33"/>
  <c r="Q37" i="33"/>
  <c r="Z37" i="33"/>
  <c r="Q36" i="33"/>
  <c r="Z36" i="33"/>
  <c r="Q35" i="33"/>
  <c r="Z35" i="33"/>
  <c r="H35" i="33"/>
  <c r="AB35" i="33"/>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S15" i="33" s="1"/>
  <c r="Q14" i="33"/>
  <c r="Z14" i="33"/>
  <c r="Q13" i="33"/>
  <c r="Z13" i="33"/>
  <c r="Q12" i="33"/>
  <c r="Z12" i="33"/>
  <c r="J12" i="33"/>
  <c r="W12" i="33"/>
  <c r="H12" i="33"/>
  <c r="U12" i="33"/>
  <c r="F12" i="33"/>
  <c r="S12" i="33"/>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s="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s="1"/>
  <c r="J9" i="21"/>
  <c r="W9" i="21" s="1"/>
  <c r="H8" i="21"/>
  <c r="U8" i="21" s="1"/>
  <c r="H9" i="21"/>
  <c r="AB9" i="21" s="1"/>
  <c r="H10" i="21"/>
  <c r="AB10" i="21" s="1"/>
  <c r="H36" i="21"/>
  <c r="U36" i="21" s="1"/>
  <c r="F35" i="21"/>
  <c r="AA35" i="21" s="1"/>
  <c r="J10" i="21"/>
  <c r="AC10" i="21" s="1"/>
  <c r="H26" i="21"/>
  <c r="AB26" i="21" s="1"/>
  <c r="F19" i="21"/>
  <c r="AA19" i="21"/>
  <c r="H19" i="21"/>
  <c r="AB19" i="21" s="1"/>
  <c r="J19" i="21"/>
  <c r="W19" i="21" s="1"/>
  <c r="J12" i="21"/>
  <c r="AC12" i="21" s="1"/>
  <c r="H12" i="21"/>
  <c r="AB12" i="21" s="1"/>
  <c r="J26" i="21"/>
  <c r="W26" i="21" s="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F113" i="33" s="1"/>
  <c r="G113" i="33" s="1"/>
  <c r="H113" i="33" s="1"/>
  <c r="I113" i="33" s="1"/>
  <c r="J113" i="33" s="1"/>
  <c r="K113" i="33" s="1"/>
  <c r="L113" i="33" s="1"/>
  <c r="M113" i="33" s="1"/>
  <c r="J34" i="33"/>
  <c r="W34" i="33" s="1"/>
  <c r="J23" i="33"/>
  <c r="AC23" i="33" s="1"/>
  <c r="F23" i="33"/>
  <c r="AA23" i="33" s="1"/>
  <c r="H23" i="33"/>
  <c r="F19" i="33"/>
  <c r="S19" i="33" s="1"/>
  <c r="J19" i="33"/>
  <c r="W19" i="33" s="1"/>
  <c r="J17" i="33"/>
  <c r="AC17" i="33" s="1"/>
  <c r="H17" i="33"/>
  <c r="AB17" i="33"/>
  <c r="J15" i="33"/>
  <c r="AC15" i="33" s="1"/>
  <c r="F11" i="33"/>
  <c r="AA11" i="33" s="1"/>
  <c r="S26" i="33"/>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s="1"/>
  <c r="AA37" i="33"/>
  <c r="F17" i="33"/>
  <c r="AA17" i="33" s="1"/>
  <c r="H15" i="33"/>
  <c r="AB15" i="33" s="1"/>
  <c r="AB11" i="33"/>
  <c r="AC27" i="40"/>
  <c r="AC42" i="34"/>
  <c r="W42" i="34"/>
  <c r="AA42" i="34"/>
  <c r="S42" i="34"/>
  <c r="W38" i="34"/>
  <c r="J37" i="33"/>
  <c r="AC37" i="33" s="1"/>
  <c r="J11" i="33"/>
  <c r="AC11" i="33" s="1"/>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c r="F44" i="21"/>
  <c r="AA44" i="21" s="1"/>
  <c r="H46" i="21"/>
  <c r="U46" i="21" s="1"/>
  <c r="J46" i="21"/>
  <c r="W46" i="21" s="1"/>
  <c r="F46" i="21"/>
  <c r="AA46" i="21" s="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s="1"/>
  <c r="H13" i="33"/>
  <c r="AB13" i="33"/>
  <c r="F13" i="33"/>
  <c r="S13" i="33" s="1"/>
  <c r="J29" i="33"/>
  <c r="AC29" i="33" s="1"/>
  <c r="H29" i="33"/>
  <c r="U29" i="33"/>
  <c r="F29" i="33"/>
  <c r="S29" i="33"/>
  <c r="J31" i="33"/>
  <c r="W31" i="33" s="1"/>
  <c r="H31" i="33"/>
  <c r="AB31" i="33" s="1"/>
  <c r="F31" i="33"/>
  <c r="AA31" i="33" s="1"/>
  <c r="H45" i="33"/>
  <c r="U45" i="33" s="1"/>
  <c r="J45" i="33"/>
  <c r="W45" i="33" s="1"/>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s="1"/>
  <c r="H30" i="33"/>
  <c r="AB30" i="33" s="1"/>
  <c r="F30" i="33"/>
  <c r="S30" i="33" s="1"/>
  <c r="J30" i="33"/>
  <c r="AC30" i="33" s="1"/>
  <c r="H44" i="33"/>
  <c r="AB44" i="33" s="1"/>
  <c r="J44" i="33"/>
  <c r="AC44" i="33" s="1"/>
  <c r="F44" i="33"/>
  <c r="S44" i="33" s="1"/>
  <c r="J46" i="33"/>
  <c r="W46" i="33" s="1"/>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B14" i="33"/>
  <c r="AB37" i="37"/>
  <c r="W28" i="37"/>
  <c r="S47" i="34"/>
  <c r="S14" i="33"/>
  <c r="AC32" i="34"/>
  <c r="AC14" i="34"/>
  <c r="J10" i="36"/>
  <c r="AC10" i="36"/>
  <c r="U14" i="21"/>
  <c r="AC14" i="21"/>
  <c r="S46" i="33"/>
  <c r="AC13" i="36"/>
  <c r="AC11" i="36"/>
  <c r="U32" i="36"/>
  <c r="U31"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S12" i="21"/>
  <c r="H25" i="21"/>
  <c r="U25" i="21" s="1"/>
  <c r="F25" i="21"/>
  <c r="S25" i="21"/>
  <c r="J25" i="21"/>
  <c r="AC25" i="21" s="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AA13" i="33"/>
  <c r="AA30" i="33"/>
  <c r="S11" i="33"/>
  <c r="AB38" i="21"/>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c r="J15" i="21"/>
  <c r="W15" i="21" s="1"/>
  <c r="U35" i="21"/>
  <c r="AC35" i="21"/>
  <c r="A131" i="9"/>
  <c r="A135" i="57"/>
  <c r="B103" i="57"/>
  <c r="B107" i="57" s="1"/>
  <c r="C112" i="57"/>
  <c r="H107" i="57" s="1"/>
  <c r="D128" i="57"/>
  <c r="S23"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U36" i="37"/>
  <c r="AB46" i="34"/>
  <c r="S14" i="34"/>
  <c r="AA14" i="34"/>
  <c r="AB38" i="34"/>
  <c r="U38" i="34"/>
  <c r="F40" i="34"/>
  <c r="AA40" i="34"/>
  <c r="G118" i="34"/>
  <c r="U20" i="36"/>
  <c r="AB20" i="36"/>
  <c r="AA16" i="36"/>
  <c r="AC44" i="39"/>
  <c r="W44" i="39"/>
  <c r="H13" i="21"/>
  <c r="U13" i="21"/>
  <c r="J13" i="21"/>
  <c r="W13" i="21" s="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11" i="36"/>
  <c r="AB11" i="35"/>
  <c r="U32" i="34"/>
  <c r="AB32" i="34"/>
  <c r="AA30" i="34"/>
  <c r="H45" i="21"/>
  <c r="AB45" i="21" s="1"/>
  <c r="J14" i="36"/>
  <c r="AC14" i="36"/>
  <c r="AC30" i="21"/>
  <c r="S15" i="34"/>
  <c r="J40" i="34"/>
  <c r="AC40" i="34"/>
  <c r="S37" i="40"/>
  <c r="H19" i="33"/>
  <c r="AB19" i="33" s="1"/>
  <c r="AB23" i="33"/>
  <c r="U23" i="33"/>
  <c r="W23" i="33"/>
  <c r="J23" i="34"/>
  <c r="W23" i="34"/>
  <c r="AC30" i="40"/>
  <c r="AB17" i="39"/>
  <c r="W22" i="35"/>
  <c r="S30" i="36"/>
  <c r="S38" i="21"/>
  <c r="AA38" i="21"/>
  <c r="E106" i="21"/>
  <c r="F106" i="21"/>
  <c r="G106" i="21"/>
  <c r="H106" i="21"/>
  <c r="I106" i="21"/>
  <c r="J106" i="21"/>
  <c r="K106" i="21"/>
  <c r="L106" i="21"/>
  <c r="M106" i="21"/>
  <c r="F34" i="21"/>
  <c r="S34" i="21" s="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U10" i="36"/>
  <c r="AC34" i="33"/>
  <c r="AA14" i="35"/>
  <c r="S14" i="35"/>
  <c r="W11" i="21"/>
  <c r="S45" i="39"/>
  <c r="AA45" i="39"/>
  <c r="H27" i="21"/>
  <c r="AB27" i="21" s="1"/>
  <c r="J27" i="21"/>
  <c r="W27" i="21"/>
  <c r="F27" i="21"/>
  <c r="AA27" i="21"/>
  <c r="J29" i="21"/>
  <c r="AC29" i="21" s="1"/>
  <c r="H29" i="21"/>
  <c r="U29" i="21" s="1"/>
  <c r="F29" i="21"/>
  <c r="S29" i="21" s="1"/>
  <c r="J31" i="21"/>
  <c r="W31" i="21" s="1"/>
  <c r="H31" i="21"/>
  <c r="F31" i="21"/>
  <c r="AA31" i="21"/>
  <c r="H39" i="21"/>
  <c r="U39" i="21" s="1"/>
  <c r="F117" i="21"/>
  <c r="G117" i="21"/>
  <c r="S9" i="21"/>
  <c r="AA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c r="H40" i="21"/>
  <c r="AB40" i="21" s="1"/>
  <c r="J40" i="21"/>
  <c r="AC40" i="21"/>
  <c r="B44" i="47"/>
  <c r="C21" i="40"/>
  <c r="W33" i="33"/>
  <c r="S34" i="33"/>
  <c r="AA38" i="33"/>
  <c r="S38" i="33"/>
  <c r="AC38" i="33"/>
  <c r="W38" i="33"/>
  <c r="J9" i="33"/>
  <c r="AC9" i="33" s="1"/>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AA43" i="33" s="1"/>
  <c r="F125" i="33"/>
  <c r="G125" i="33" s="1"/>
  <c r="J43" i="33"/>
  <c r="AC43" i="33" s="1"/>
  <c r="AB31" i="21"/>
  <c r="U31" i="21"/>
  <c r="AC27" i="21"/>
  <c r="S37" i="34"/>
  <c r="H27" i="36"/>
  <c r="AB27" i="36"/>
  <c r="F27" i="36"/>
  <c r="AA27" i="36"/>
  <c r="J28" i="34"/>
  <c r="W28" i="34"/>
  <c r="AB34" i="21"/>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B43" i="33"/>
  <c r="S31" i="21"/>
  <c r="AC27" i="36"/>
  <c r="W27" i="36"/>
  <c r="U9" i="34"/>
  <c r="F101" i="33"/>
  <c r="G101" i="33"/>
  <c r="H101" i="33" s="1"/>
  <c r="I101" i="33" s="1"/>
  <c r="J101" i="33" s="1"/>
  <c r="K101" i="33" s="1"/>
  <c r="L101" i="33" s="1"/>
  <c r="M101" i="33" s="1"/>
  <c r="J32" i="33"/>
  <c r="W32" i="33" s="1"/>
  <c r="H32" i="33"/>
  <c r="AB32" i="33" s="1"/>
  <c r="W40" i="34"/>
  <c r="U12" i="36"/>
  <c r="AC45" i="21"/>
  <c r="W45" i="21"/>
  <c r="AC13" i="21"/>
  <c r="AA44" i="34"/>
  <c r="S44" i="34"/>
  <c r="S27" i="36"/>
  <c r="AB25" i="34"/>
  <c r="I60" i="37"/>
  <c r="J10" i="37"/>
  <c r="AC10" i="37"/>
  <c r="H23" i="39"/>
  <c r="AB23" i="39"/>
  <c r="J11" i="34"/>
  <c r="W11" i="34"/>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s="1"/>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W11" i="33"/>
  <c r="U17" i="33"/>
  <c r="U34" i="33"/>
  <c r="U38" i="33"/>
  <c r="AC41" i="33"/>
  <c r="AA45" i="33"/>
  <c r="U46" i="33"/>
  <c r="S23" i="33"/>
  <c r="S17" i="33"/>
  <c r="W17" i="33"/>
  <c r="AB9" i="33"/>
  <c r="U9" i="33"/>
  <c r="AC12" i="33"/>
  <c r="AC46" i="33"/>
  <c r="W21" i="33"/>
  <c r="AC21" i="33"/>
  <c r="U13" i="33"/>
  <c r="U39" i="33"/>
  <c r="S42" i="33"/>
  <c r="S9" i="33"/>
  <c r="AA39" i="21"/>
  <c r="W39" i="21"/>
  <c r="AA15" i="21"/>
  <c r="AC26" i="21"/>
  <c r="W40" i="21"/>
  <c r="AC37" i="21"/>
  <c r="W34" i="21"/>
  <c r="AB23" i="21"/>
  <c r="U43" i="21"/>
  <c r="AB44" i="21"/>
  <c r="U30" i="21"/>
  <c r="AA36" i="21"/>
  <c r="AA43" i="21"/>
  <c r="S28" i="21"/>
  <c r="AB21" i="21"/>
  <c r="U21" i="21"/>
  <c r="U17" i="21"/>
  <c r="S13"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2"/>
  <c r="G22" i="11"/>
  <c r="G41" i="11"/>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C32" i="33"/>
  <c r="S32" i="33"/>
  <c r="U33" i="33"/>
  <c r="AA28" i="33"/>
  <c r="U30" i="33"/>
  <c r="AB26" i="33"/>
  <c r="W35" i="33"/>
  <c r="W40" i="33"/>
  <c r="W26" i="33"/>
  <c r="S33" i="33"/>
  <c r="U35" i="33"/>
  <c r="AC45" i="33"/>
  <c r="AB29" i="33"/>
  <c r="AA19" i="33"/>
  <c r="W8" i="33"/>
  <c r="G83" i="21"/>
  <c r="J21" i="21"/>
  <c r="W21" i="21" s="1"/>
  <c r="S27" i="21"/>
  <c r="AC31"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D15" i="59"/>
  <c r="I112" i="9"/>
  <c r="D39" i="50" s="1"/>
  <c r="D40" i="50" s="1"/>
  <c r="D114" i="9"/>
  <c r="D115" i="9"/>
  <c r="I113" i="9" s="1"/>
  <c r="C20" i="57"/>
  <c r="F3" i="61"/>
  <c r="E2" i="36"/>
  <c r="F7" i="61"/>
  <c r="D20" i="57"/>
  <c r="E2" i="11"/>
  <c r="H23" i="31"/>
  <c r="D5" i="61"/>
  <c r="E2" i="37"/>
  <c r="F4" i="61"/>
  <c r="D3" i="61"/>
  <c r="D19" i="57"/>
  <c r="E2" i="21"/>
  <c r="F5" i="61"/>
  <c r="D6" i="61"/>
  <c r="F6" i="61"/>
  <c r="E2" i="34"/>
  <c r="D7" i="61"/>
  <c r="C19" i="57"/>
  <c r="E2" i="33"/>
  <c r="E2" i="35"/>
  <c r="D4" i="61"/>
  <c r="J10" i="33" l="1"/>
  <c r="AC10" i="33" s="1"/>
  <c r="F10" i="33"/>
  <c r="AA10" i="33" s="1"/>
  <c r="I66" i="33"/>
  <c r="H10" i="33"/>
  <c r="U10" i="33" s="1"/>
  <c r="S10" i="33"/>
  <c r="W10" i="33"/>
  <c r="W15" i="33"/>
  <c r="U44" i="33"/>
  <c r="E9" i="43"/>
  <c r="E10" i="43"/>
  <c r="E8" i="43"/>
  <c r="E11" i="43"/>
  <c r="F7" i="15"/>
  <c r="C33" i="21"/>
  <c r="E5" i="1"/>
  <c r="C58" i="33"/>
  <c r="D58" i="33" s="1"/>
  <c r="E58" i="33" s="1"/>
  <c r="F58" i="33" s="1"/>
  <c r="G58" i="33" s="1"/>
  <c r="H58" i="33" s="1"/>
  <c r="I58" i="33" s="1"/>
  <c r="J58" i="33" s="1"/>
  <c r="K58" i="33" s="1"/>
  <c r="L58" i="33" s="1"/>
  <c r="M58" i="33" s="1"/>
  <c r="N58" i="33" s="1"/>
  <c r="O58" i="33" s="1"/>
  <c r="E7" i="33"/>
  <c r="G7" i="33" s="1"/>
  <c r="I7" i="33" s="1"/>
  <c r="W43" i="33"/>
  <c r="AB42" i="33"/>
  <c r="AB41" i="33"/>
  <c r="AA41" i="33"/>
  <c r="S39" i="33"/>
  <c r="W37" i="33"/>
  <c r="F111" i="33"/>
  <c r="F36" i="33" s="1"/>
  <c r="U27" i="33"/>
  <c r="J25" i="33"/>
  <c r="AC25" i="33" s="1"/>
  <c r="F87" i="33"/>
  <c r="G87" i="33" s="1"/>
  <c r="H87" i="33" s="1"/>
  <c r="I87" i="33" s="1"/>
  <c r="J87" i="33" s="1"/>
  <c r="K87" i="33" s="1"/>
  <c r="L87" i="33" s="1"/>
  <c r="M87" i="33" s="1"/>
  <c r="F25" i="33"/>
  <c r="H25" i="33"/>
  <c r="U15" i="33"/>
  <c r="AC27" i="33"/>
  <c r="W28" i="33"/>
  <c r="S31" i="33"/>
  <c r="AB45" i="33"/>
  <c r="AA44" i="33"/>
  <c r="U32" i="33"/>
  <c r="AA27" i="33"/>
  <c r="W25" i="33"/>
  <c r="U19" i="33"/>
  <c r="AC19" i="33"/>
  <c r="W9" i="33"/>
  <c r="W13" i="33"/>
  <c r="W39" i="33"/>
  <c r="W44" i="33"/>
  <c r="AC31" i="33"/>
  <c r="W14" i="33"/>
  <c r="W30" i="33"/>
  <c r="U21" i="33"/>
  <c r="S43" i="33"/>
  <c r="S21" i="33"/>
  <c r="AC15" i="21"/>
  <c r="AC21" i="21"/>
  <c r="W23" i="21"/>
  <c r="AC19" i="21"/>
  <c r="W44" i="21"/>
  <c r="W17" i="21"/>
  <c r="W25" i="21"/>
  <c r="W43" i="21"/>
  <c r="AC38" i="21"/>
  <c r="U15" i="21"/>
  <c r="U40" i="21"/>
  <c r="AB25" i="21"/>
  <c r="U9" i="21"/>
  <c r="AB36" i="21"/>
  <c r="U19" i="21"/>
  <c r="U27" i="21"/>
  <c r="AB39" i="21"/>
  <c r="U45" i="21"/>
  <c r="AB46" i="21"/>
  <c r="S17" i="21"/>
  <c r="AA34" i="21"/>
  <c r="S45" i="21"/>
  <c r="W42" i="21"/>
  <c r="U42" i="21"/>
  <c r="W29" i="21"/>
  <c r="AA29" i="21"/>
  <c r="AB29" i="21"/>
  <c r="U26" i="21"/>
  <c r="AC9" i="21"/>
  <c r="W10" i="21"/>
  <c r="S10" i="21"/>
  <c r="D71" i="43"/>
  <c r="D73" i="43"/>
  <c r="D75" i="43"/>
  <c r="D70" i="43"/>
  <c r="D76" i="43"/>
  <c r="E48" i="43"/>
  <c r="B46" i="43" s="1"/>
  <c r="N102" i="43"/>
  <c r="AA32" i="21"/>
  <c r="AB32" i="21"/>
  <c r="AC32" i="21"/>
  <c r="AC28" i="21"/>
  <c r="U28" i="21"/>
  <c r="W8" i="21"/>
  <c r="AB8" i="21"/>
  <c r="S8" i="21"/>
  <c r="C13" i="12"/>
  <c r="F8" i="59"/>
  <c r="F7" i="59" s="1"/>
  <c r="F6" i="59" s="1"/>
  <c r="F5" i="59" s="1"/>
  <c r="V9" i="59"/>
  <c r="E8" i="59"/>
  <c r="E7" i="59" s="1"/>
  <c r="E6" i="59" s="1"/>
  <c r="E5" i="59" s="1"/>
  <c r="U9" i="59"/>
  <c r="B8" i="59"/>
  <c r="B7" i="59" s="1"/>
  <c r="B6" i="59" s="1"/>
  <c r="B5" i="59" s="1"/>
  <c r="S9" i="59"/>
  <c r="D18" i="50"/>
  <c r="B31" i="60" s="1"/>
  <c r="A10" i="52"/>
  <c r="B66" i="60" s="1"/>
  <c r="C14" i="15"/>
  <c r="C15" i="15" s="1"/>
  <c r="H70" i="43"/>
  <c r="H76" i="43"/>
  <c r="H78" i="43"/>
  <c r="H75" i="43"/>
  <c r="H73" i="43"/>
  <c r="G26" i="47"/>
  <c r="H62" i="43"/>
  <c r="H88" i="43"/>
  <c r="H83" i="43"/>
  <c r="H82" i="43"/>
  <c r="H54" i="43"/>
  <c r="H51" i="43"/>
  <c r="B20" i="60"/>
  <c r="C18" i="50"/>
  <c r="AA8" i="37"/>
  <c r="AC8" i="37"/>
  <c r="AC36" i="37"/>
  <c r="S36" i="37"/>
  <c r="S30" i="37"/>
  <c r="W31" i="37"/>
  <c r="AA29" i="37"/>
  <c r="D68" i="39"/>
  <c r="E68" i="39" s="1"/>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T28" i="31"/>
  <c r="C116" i="57"/>
  <c r="H112" i="57" s="1"/>
  <c r="B36" i="50"/>
  <c r="B56" i="60"/>
  <c r="H53" i="43"/>
  <c r="N60" i="15"/>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C94" i="57"/>
  <c r="C96" i="57"/>
  <c r="C113" i="57"/>
  <c r="H108" i="57" s="1"/>
  <c r="C115" i="57"/>
  <c r="H110" i="57" s="1"/>
  <c r="D19" i="50"/>
  <c r="B32" i="60" s="1"/>
  <c r="D128" i="9"/>
  <c r="D11" i="52" s="1"/>
  <c r="D20" i="50"/>
  <c r="C34" i="15"/>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AB10" i="33" l="1"/>
  <c r="D20" i="12"/>
  <c r="C20" i="12" s="1"/>
  <c r="C18" i="12" s="1"/>
  <c r="D17" i="12"/>
  <c r="C17" i="12" s="1"/>
  <c r="F18" i="1"/>
  <c r="C11" i="12" s="1"/>
  <c r="C7" i="12"/>
  <c r="C8" i="12" s="1"/>
  <c r="C4" i="12" s="1"/>
  <c r="D14" i="12"/>
  <c r="C14" i="12" s="1"/>
  <c r="B27" i="31"/>
  <c r="H33" i="21"/>
  <c r="J33" i="21"/>
  <c r="F33" i="21"/>
  <c r="S36" i="33"/>
  <c r="AA36" i="33"/>
  <c r="J36" i="33"/>
  <c r="G111" i="33"/>
  <c r="H111" i="33" s="1"/>
  <c r="I111" i="33" s="1"/>
  <c r="J111" i="33" s="1"/>
  <c r="K111" i="33" s="1"/>
  <c r="L111" i="33" s="1"/>
  <c r="M111" i="33" s="1"/>
  <c r="H36" i="33"/>
  <c r="AB25" i="33"/>
  <c r="U25" i="33"/>
  <c r="AA25" i="33"/>
  <c r="S25" i="33"/>
  <c r="E70" i="43"/>
  <c r="B68" i="43" s="1"/>
  <c r="C24" i="43" s="1"/>
  <c r="C105" i="57"/>
  <c r="F7" i="35"/>
  <c r="C18" i="15"/>
  <c r="C16" i="15"/>
  <c r="J7" i="35"/>
  <c r="C30" i="11"/>
  <c r="C48" i="11"/>
  <c r="C32" i="15"/>
  <c r="E27" i="1"/>
  <c r="D5" i="43"/>
  <c r="Q59" i="15"/>
  <c r="C33" i="11"/>
  <c r="C39" i="11" s="1"/>
  <c r="C46" i="11" s="1"/>
  <c r="C45" i="11" s="1"/>
  <c r="C106" i="57"/>
  <c r="D9" i="48"/>
  <c r="E3" i="4"/>
  <c r="D7" i="62"/>
  <c r="C7" i="62"/>
  <c r="U7" i="37"/>
  <c r="C50" i="15"/>
  <c r="F60" i="15"/>
  <c r="AC7" i="33"/>
  <c r="D113" i="43"/>
  <c r="D65" i="40"/>
  <c r="E63" i="40"/>
  <c r="AA7" i="37"/>
  <c r="R42" i="37" s="1"/>
  <c r="R43" i="37" s="1"/>
  <c r="L49" i="15"/>
  <c r="I20" i="43"/>
  <c r="B14" i="1"/>
  <c r="AC7" i="37"/>
  <c r="V42" i="37" s="1"/>
  <c r="I42" i="37" s="1"/>
  <c r="W7" i="37"/>
  <c r="AB7" i="33"/>
  <c r="U7" i="33"/>
  <c r="F58" i="21"/>
  <c r="E59" i="34"/>
  <c r="S7" i="35"/>
  <c r="AA7" i="35"/>
  <c r="R38" i="35" s="1"/>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12" i="59"/>
  <c r="C11" i="59"/>
  <c r="C19" i="43"/>
  <c r="P24" i="43"/>
  <c r="B66" i="40" s="1"/>
  <c r="P21" i="43"/>
  <c r="B71" i="39" s="1"/>
  <c r="P23" i="43"/>
  <c r="P22" i="43"/>
  <c r="P28" i="43"/>
  <c r="N28" i="43"/>
  <c r="M28" i="43"/>
  <c r="O28" i="43"/>
  <c r="G20" i="43" s="1"/>
  <c r="E41" i="43" s="1"/>
  <c r="C41" i="43" s="1"/>
  <c r="F11" i="15"/>
  <c r="M11" i="15"/>
  <c r="J10" i="15" s="1"/>
  <c r="J5" i="15" s="1"/>
  <c r="R48" i="33" l="1"/>
  <c r="E48" i="33" s="1"/>
  <c r="W33" i="21"/>
  <c r="AC33" i="21"/>
  <c r="B25" i="31"/>
  <c r="Y27" i="31"/>
  <c r="Y25" i="31" s="1"/>
  <c r="C37" i="57" s="1"/>
  <c r="F125" i="57" s="1"/>
  <c r="U27" i="31"/>
  <c r="U25" i="31" s="1"/>
  <c r="S27" i="31"/>
  <c r="S25" i="31" s="1"/>
  <c r="X27" i="31"/>
  <c r="X25" i="31" s="1"/>
  <c r="V27" i="31"/>
  <c r="V25" i="31" s="1"/>
  <c r="C36" i="57" s="1"/>
  <c r="D125" i="57" s="1"/>
  <c r="T27" i="31"/>
  <c r="T25" i="31" s="1"/>
  <c r="C31" i="12"/>
  <c r="C23" i="12"/>
  <c r="AA33" i="21"/>
  <c r="S33" i="21"/>
  <c r="AB33" i="21"/>
  <c r="U33" i="21"/>
  <c r="C15" i="12"/>
  <c r="C12" i="12"/>
  <c r="C16" i="12" s="1"/>
  <c r="C21" i="12" s="1"/>
  <c r="C22" i="12" s="1"/>
  <c r="C30" i="12" s="1"/>
  <c r="C28" i="12" s="1"/>
  <c r="J7" i="36"/>
  <c r="U36" i="33"/>
  <c r="AB36" i="33"/>
  <c r="T48" i="33" s="1"/>
  <c r="G48" i="33" s="1"/>
  <c r="G52" i="33" s="1"/>
  <c r="H52" i="33" s="1"/>
  <c r="AC36" i="33"/>
  <c r="V48" i="33" s="1"/>
  <c r="W36" i="33"/>
  <c r="C19" i="15"/>
  <c r="C20" i="15" s="1"/>
  <c r="C26" i="15"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I48" i="33" l="1"/>
  <c r="I52" i="33" s="1"/>
  <c r="J52" i="33" s="1"/>
  <c r="R49" i="33"/>
  <c r="C48" i="33" s="1"/>
  <c r="G53" i="33"/>
  <c r="H53" i="33" s="1"/>
  <c r="L108" i="57"/>
  <c r="D126" i="57"/>
  <c r="F126" i="57"/>
  <c r="R25" i="31"/>
  <c r="B23" i="31"/>
  <c r="B125" i="57"/>
  <c r="E125" i="57" s="1"/>
  <c r="H103" i="5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E39" i="43"/>
  <c r="E38" i="43"/>
  <c r="G38" i="43"/>
  <c r="I38" i="43" s="1"/>
  <c r="C27" i="12"/>
  <c r="C25" i="12" s="1"/>
  <c r="C26" i="12"/>
  <c r="D25" i="12" s="1"/>
  <c r="C23" i="15"/>
  <c r="C24" i="15"/>
  <c r="C43" i="11"/>
  <c r="C44" i="11"/>
  <c r="D41" i="11" s="1"/>
  <c r="C42" i="11"/>
  <c r="C26" i="11"/>
  <c r="D22" i="11" s="1"/>
  <c r="C24" i="11"/>
  <c r="C61" i="15"/>
  <c r="C67" i="15"/>
  <c r="C38" i="15"/>
  <c r="C49" i="33" l="1"/>
  <c r="B2" i="33" s="1"/>
  <c r="B3" i="33" s="1"/>
  <c r="G125" i="57"/>
  <c r="B2" i="31"/>
  <c r="C34" i="57" s="1"/>
  <c r="H125" i="57" s="1"/>
  <c r="B24" i="31"/>
  <c r="B3" i="31" s="1"/>
  <c r="C35" i="57" s="1"/>
  <c r="I125" i="57" s="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H126" i="57" l="1"/>
  <c r="I104" i="57"/>
  <c r="D110" i="57"/>
  <c r="D116" i="57" s="1"/>
  <c r="D117" i="57" s="1"/>
  <c r="I113" i="57" s="1"/>
  <c r="D130" i="57" s="1"/>
  <c r="D10" i="52" s="1"/>
  <c r="C107" i="57"/>
  <c r="D14" i="62"/>
  <c r="D111" i="57"/>
  <c r="I105" i="57"/>
  <c r="C108" i="57"/>
  <c r="D7" i="59"/>
  <c r="C6" i="59"/>
  <c r="D8" i="59"/>
  <c r="C27" i="43"/>
  <c r="C26" i="43"/>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E14" i="62" l="1"/>
  <c r="B5" i="62"/>
  <c r="F14" i="62"/>
  <c r="D47" i="57"/>
  <c r="I112" i="57"/>
  <c r="N50" i="57"/>
  <c r="B2" i="43"/>
  <c r="B3" i="43" s="1"/>
  <c r="C6" i="11"/>
  <c r="D6" i="59"/>
  <c r="C5" i="59"/>
  <c r="D5" i="59" s="1"/>
  <c r="M20" i="43"/>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66" i="57" l="1"/>
  <c r="C65" i="57" s="1"/>
  <c r="C69" i="57" s="1"/>
  <c r="C70" i="57" s="1"/>
  <c r="D56" i="57" s="1"/>
  <c r="D61" i="57"/>
  <c r="N57" i="57" s="1"/>
  <c r="D57" i="57"/>
  <c r="N55" i="57" s="1"/>
  <c r="C95" i="57"/>
  <c r="C88" i="57" s="1"/>
  <c r="D54" i="57"/>
  <c r="C87" i="57"/>
  <c r="C97" i="57" s="1"/>
  <c r="C99" i="57" s="1"/>
  <c r="D60" i="57" s="1"/>
  <c r="D58" i="57" s="1"/>
  <c r="N56" i="57" s="1"/>
  <c r="O59" i="57" s="1"/>
  <c r="O61" i="57" s="1"/>
  <c r="D55" i="57"/>
  <c r="D50" i="57" s="1"/>
  <c r="N54" i="57" s="1"/>
  <c r="C80" i="57"/>
  <c r="C75" i="57" s="1"/>
  <c r="C74" i="57"/>
  <c r="C5" i="62"/>
  <c r="D5" i="62"/>
  <c r="D129" i="57"/>
  <c r="G14" i="62" s="1"/>
  <c r="B6" i="62" s="1"/>
  <c r="N51" i="57"/>
  <c r="C7" i="11"/>
  <c r="C5" i="11" s="1"/>
  <c r="C98" i="57"/>
  <c r="E98" i="57" s="1"/>
  <c r="E99" i="57" s="1"/>
  <c r="O60"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6" i="62" l="1"/>
  <c r="C6" i="62"/>
  <c r="Q59" i="57"/>
  <c r="M70" i="57"/>
  <c r="N70" i="57" s="1"/>
  <c r="M68" i="57"/>
  <c r="N68" i="57" s="1"/>
  <c r="M69" i="57"/>
  <c r="N69" i="57" s="1"/>
  <c r="M67" i="57"/>
  <c r="N67" i="57" s="1"/>
  <c r="M66" i="57"/>
  <c r="N66" i="57" s="1"/>
  <c r="M65" i="57"/>
  <c r="N65" i="57" s="1"/>
  <c r="N71" i="57" s="1"/>
  <c r="O71" i="57" s="1"/>
  <c r="C81" i="57"/>
  <c r="D120" i="57"/>
  <c r="D121" i="57" s="1"/>
  <c r="I117" i="57" s="1"/>
  <c r="I116" i="57"/>
  <c r="D133" i="57" s="1"/>
  <c r="I14" i="62" s="1"/>
  <c r="B8" i="62" s="1"/>
  <c r="C20" i="11"/>
  <c r="C23"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82" i="57" l="1"/>
  <c r="E82" i="57" s="1"/>
  <c r="E83" i="57" s="1"/>
  <c r="C83" i="57"/>
  <c r="C8" i="62"/>
  <c r="D8" i="62"/>
  <c r="C28" i="11"/>
  <c r="C27" i="11" s="1"/>
  <c r="C25" i="11"/>
  <c r="C22" i="11" s="1"/>
  <c r="C101" i="9"/>
  <c r="B3" i="21"/>
  <c r="D35" i="9"/>
  <c r="D34" i="9" s="1"/>
  <c r="L65" i="40"/>
  <c r="M63" i="40"/>
  <c r="AA7" i="39"/>
  <c r="R47" i="39" s="1"/>
  <c r="R48" i="39" s="1"/>
  <c r="S7" i="39"/>
  <c r="M59" i="34"/>
  <c r="N59" i="34" s="1"/>
  <c r="O59" i="34" s="1"/>
  <c r="H7" i="34" s="1"/>
  <c r="AB7" i="39"/>
  <c r="U7" i="39"/>
  <c r="AC7" i="39"/>
  <c r="W7" i="39"/>
  <c r="L58" i="15"/>
  <c r="L61" i="15" s="1"/>
  <c r="C20" i="9"/>
  <c r="C31" i="11" l="1"/>
  <c r="C52" i="11" s="1"/>
  <c r="C56" i="11" s="1"/>
  <c r="C57" i="11" s="1"/>
  <c r="C102"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B3" i="11" l="1"/>
  <c r="B2" i="1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22" i="9" l="1"/>
  <c r="D5" i="52" s="1"/>
  <c r="B39" i="60" s="1"/>
  <c r="D4" i="52"/>
  <c r="B37" i="60" s="1"/>
  <c r="H122" i="9"/>
  <c r="H5" i="52" s="1"/>
  <c r="H4" i="52"/>
  <c r="F122" i="9"/>
  <c r="F5" i="52" s="1"/>
  <c r="B42" i="60" s="1"/>
  <c r="F4" i="52"/>
  <c r="B40" i="60" s="1"/>
  <c r="I102" i="9"/>
  <c r="I121" i="9"/>
  <c r="C104" i="9" s="1"/>
  <c r="D106" i="9"/>
  <c r="D112" i="9" s="1"/>
  <c r="E121" i="9"/>
  <c r="E4" i="52" s="1"/>
  <c r="B38" i="60" s="1"/>
  <c r="G121" i="9"/>
  <c r="G4" i="52" s="1"/>
  <c r="B41" i="60" s="1"/>
  <c r="C103" i="9"/>
  <c r="I103" i="9" l="1"/>
  <c r="D9" i="50" s="1"/>
  <c r="B21" i="60" s="1"/>
  <c r="D107" i="9"/>
  <c r="D113" i="9" s="1"/>
  <c r="I4" i="52"/>
  <c r="I110" i="9"/>
  <c r="N49" i="9" s="1"/>
  <c r="D7" i="50"/>
  <c r="D28" i="50"/>
  <c r="D29" i="50" s="1"/>
  <c r="N48" i="9"/>
  <c r="D45" i="9"/>
  <c r="D52" i="9" s="1"/>
  <c r="M65" i="9" l="1"/>
  <c r="N65" i="9" s="1"/>
  <c r="M66" i="9"/>
  <c r="N66" i="9" s="1"/>
  <c r="M64" i="9"/>
  <c r="N64" i="9" s="1"/>
  <c r="M63" i="9"/>
  <c r="N63" i="9" s="1"/>
  <c r="M67" i="9"/>
  <c r="N67" i="9" s="1"/>
  <c r="M68" i="9"/>
  <c r="N68" i="9" s="1"/>
  <c r="D30" i="50"/>
  <c r="I111" i="9"/>
  <c r="D38" i="50"/>
  <c r="B62" i="60" s="1"/>
  <c r="D125" i="9"/>
  <c r="D8" i="52" s="1"/>
  <c r="D36" i="50"/>
  <c r="D37" i="50" s="1"/>
  <c r="D15" i="50"/>
  <c r="B19" i="60"/>
  <c r="D8" i="50"/>
  <c r="B22" i="60" s="1"/>
  <c r="C72" i="9"/>
  <c r="C64" i="9"/>
  <c r="C63" i="9" s="1"/>
  <c r="C67" i="9" s="1"/>
  <c r="C93" i="9"/>
  <c r="C86" i="9" s="1"/>
  <c r="D53" i="9"/>
  <c r="C85" i="9"/>
  <c r="C78" i="9"/>
  <c r="C73" i="9" s="1"/>
  <c r="C68" i="9" l="1"/>
  <c r="D54" i="9" s="1"/>
  <c r="D48" i="9" s="1"/>
  <c r="N52" i="9" s="1"/>
  <c r="D59" i="9"/>
  <c r="N55" i="9" s="1"/>
  <c r="N69" i="9"/>
  <c r="O69" i="9" s="1"/>
  <c r="C95" i="9"/>
  <c r="C79" i="9"/>
  <c r="C80" i="9" s="1"/>
  <c r="E80" i="9" s="1"/>
  <c r="E81" i="9" s="1"/>
  <c r="B29" i="60"/>
  <c r="D16" i="50"/>
  <c r="B30" i="60" s="1"/>
  <c r="D126" i="9"/>
  <c r="D9" i="52" s="1"/>
  <c r="D17" i="50"/>
  <c r="O57" i="9" l="1"/>
  <c r="C81" i="9"/>
  <c r="C96" i="9"/>
  <c r="E96" i="9" s="1"/>
  <c r="E97" i="9" s="1"/>
  <c r="O58" i="9" l="1"/>
  <c r="Q57" i="9"/>
  <c r="O59" i="9"/>
  <c r="C97" i="9"/>
  <c r="D58" i="9" s="1"/>
  <c r="O60" i="9" l="1"/>
  <c r="D116" i="9"/>
  <c r="I114" i="9"/>
  <c r="O61" i="9"/>
  <c r="D42" i="50" l="1"/>
  <c r="D43" i="50" s="1"/>
  <c r="D129" i="9"/>
  <c r="D12" i="52" s="1"/>
  <c r="D21" i="50"/>
  <c r="D117" i="9"/>
  <c r="D22" i="50" l="1"/>
  <c r="B35" i="60" s="1"/>
  <c r="B33" i="60"/>
  <c r="I115" i="9"/>
  <c r="D23" i="50" s="1"/>
  <c r="B34" i="60" s="1"/>
  <c r="D44" i="5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<sst xmlns="http://schemas.openxmlformats.org/spreadsheetml/2006/main" count="7049" uniqueCount="3065">
  <si>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</si>
  <si>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</si>
  <si>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</si>
  <si>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</si>
  <si>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</si>
  <si>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</si>
  <si>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</si>
  <si>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</si>
  <si>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</si>
  <si>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</si>
  <si>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</si>
  <si>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</si>
  <si>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</si>
  <si>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</si>
  <si>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</si>
  <si>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</si>
  <si>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</si>
  <si>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</si>
  <si>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</si>
  <si>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</si>
  <si>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</si>
  <si>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</si>
  <si>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</si>
  <si>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</si>
  <si>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</si>
  <si>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</si>
  <si>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</si>
  <si>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</si>
  <si>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</si>
  <si>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</si>
  <si>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</si>
  <si>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</si>
  <si>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</si>
  <si>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</si>
  <si>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</si>
  <si>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</si>
  <si>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</si>
  <si>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</si>
  <si>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</si>
  <si>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</si>
  <si>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</si>
  <si>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</si>
  <si>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</si>
  <si>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</si>
  <si>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</si>
  <si>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</si>
  <si>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</si>
  <si>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</si>
  <si>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</si>
  <si>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</si>
  <si>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</si>
  <si>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</si>
  <si>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</si>
  <si>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</si>
  <si>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</si>
  <si>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</si>
  <si>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</si>
  <si>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</si>
  <si>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</si>
  <si>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</si>
  <si>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</si>
  <si>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</si>
  <si>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</si>
  <si>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</si>
  <si>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</si>
  <si>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</si>
  <si>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</si>
  <si>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</si>
  <si>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</si>
  <si>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</si>
  <si>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</si>
  <si>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</si>
  <si>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</si>
  <si>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</si>
  <si>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</si>
  <si>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</si>
  <si>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</si>
  <si>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</si>
  <si>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</si>
  <si>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</si>
  <si>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</si>
  <si>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</si>
  <si>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</si>
  <si>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</si>
  <si>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</si>
  <si>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</si>
  <si>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</si>
  <si>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</si>
  <si>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</si>
  <si>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</si>
  <si>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</si>
  <si>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</si>
  <si>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</si>
  <si>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</si>
  <si>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</si>
  <si>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</si>
  <si>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</si>
  <si>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</si>
  <si>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</si>
  <si>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</si>
  <si>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</si>
  <si>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</si>
  <si>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</si>
  <si>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</si>
  <si>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</si>
  <si>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</si>
  <si>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</si>
  <si>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</si>
  <si>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</si>
  <si>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</si>
  <si>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</si>
  <si>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</si>
  <si>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</si>
  <si>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</si>
  <si>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</si>
  <si>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</si>
  <si>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</si>
  <si>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</si>
  <si>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</si>
  <si>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</si>
  <si>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</si>
  <si>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</si>
  <si>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</si>
  <si>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</si>
  <si>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</si>
  <si>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</si>
  <si>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</si>
  <si>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</si>
  <si>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</si>
  <si>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</si>
  <si>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</si>
  <si>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</si>
  <si>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</si>
  <si>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</si>
  <si>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</si>
  <si>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</si>
  <si>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</si>
  <si>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</si>
  <si>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</si>
  <si>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</si>
  <si>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</si>
  <si>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</si>
  <si>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</si>
  <si>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</si>
  <si>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</si>
  <si>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</si>
  <si>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</si>
  <si>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</si>
  <si>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</si>
  <si>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</si>
  <si>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</si>
  <si>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</si>
  <si>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</si>
  <si>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</si>
  <si>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</si>
  <si>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</si>
  <si>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</si>
  <si>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</si>
  <si>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</si>
  <si>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</si>
  <si>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</si>
  <si>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</si>
  <si>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</si>
  <si>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</si>
  <si>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</si>
  <si>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</si>
  <si>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</si>
  <si>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</si>
  <si>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</si>
  <si>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</si>
  <si>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</si>
  <si>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</si>
  <si>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</si>
  <si>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</si>
  <si>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</si>
  <si>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</si>
  <si>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</si>
  <si>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</si>
  <si>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</si>
  <si>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</si>
  <si>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</si>
  <si>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</si>
  <si>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</si>
  <si>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</si>
  <si>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</si>
  <si>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</si>
  <si>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</si>
  <si>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</si>
  <si>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</si>
  <si>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</si>
  <si>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</si>
  <si>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</si>
  <si>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</si>
  <si>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</si>
  <si>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</si>
  <si>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</si>
  <si>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</si>
  <si>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</si>
  <si>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</si>
  <si>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</si>
  <si>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</si>
  <si>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</si>
  <si>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</si>
  <si>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</si>
  <si>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</si>
  <si>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</si>
  <si>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</si>
  <si>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</si>
  <si>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</si>
  <si>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</si>
  <si>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</si>
  <si>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</si>
  <si>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</si>
  <si>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</si>
  <si>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</si>
  <si>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</si>
  <si>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</si>
  <si>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</si>
  <si>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</si>
  <si>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</si>
  <si>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</si>
  <si>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</si>
  <si>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</si>
  <si>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</si>
  <si>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</si>
  <si>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</si>
  <si>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</si>
  <si>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</si>
  <si>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</si>
  <si>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</si>
  <si>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</si>
  <si>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</si>
  <si>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</si>
  <si>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</si>
  <si>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</si>
  <si>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</si>
  <si>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</si>
  <si>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</si>
  <si>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</si>
  <si>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</si>
  <si>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</si>
  <si>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</si>
  <si>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</si>
  <si>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</si>
  <si>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</si>
  <si>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</si>
  <si>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</si>
  <si>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</si>
  <si>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</si>
  <si>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</si>
  <si>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</si>
  <si>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</si>
  <si>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</si>
  <si>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</si>
  <si>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</si>
  <si>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</si>
  <si>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</si>
  <si>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</si>
  <si>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</si>
  <si>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</si>
  <si>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</si>
  <si>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</si>
  <si>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</si>
  <si>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</si>
  <si>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</si>
  <si>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</si>
  <si>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</si>
  <si>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</si>
  <si>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</si>
  <si>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</si>
  <si>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</si>
  <si>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</si>
  <si>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</si>
  <si>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</si>
  <si>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</si>
  <si>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</si>
  <si>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</si>
  <si>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</si>
  <si>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</si>
  <si>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</si>
  <si>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</si>
  <si>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</si>
  <si>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</si>
  <si>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</si>
  <si>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</si>
  <si>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</si>
  <si>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</si>
  <si>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</si>
  <si>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</si>
  <si>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</si>
  <si>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</si>
  <si>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</si>
  <si>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</si>
  <si>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</si>
  <si>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</si>
  <si>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</si>
  <si>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</si>
  <si>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</si>
  <si>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</si>
  <si>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</si>
  <si>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</si>
  <si>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</si>
  <si>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</si>
  <si>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</si>
  <si>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</si>
  <si>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</si>
  <si>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</si>
  <si>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</si>
  <si>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</si>
  <si>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</si>
  <si>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</si>
  <si>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</si>
  <si>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</si>
  <si>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</si>
  <si>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</si>
  <si>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</si>
  <si>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</si>
  <si>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</si>
  <si>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</si>
  <si>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</si>
  <si>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</si>
  <si>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</si>
  <si>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</si>
  <si>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</si>
  <si>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</si>
  <si>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</si>
  <si>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</si>
  <si>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</si>
  <si>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</si>
  <si>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</si>
  <si>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</si>
  <si>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</si>
  <si>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</si>
  <si>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</si>
  <si>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</si>
  <si>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</si>
  <si>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</si>
  <si>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</si>
  <si>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</si>
  <si>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</si>
  <si>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</si>
  <si>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</si>
  <si>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</si>
  <si>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</si>
  <si>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</si>
  <si>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</si>
  <si>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</si>
  <si>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</si>
  <si>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</si>
  <si>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</si>
  <si>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</si>
  <si>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</si>
  <si>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</si>
  <si>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</si>
  <si>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</si>
  <si>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</si>
  <si>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</si>
  <si>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</si>
  <si>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</si>
  <si>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</si>
  <si>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</si>
  <si>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</si>
  <si>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</si>
  <si>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</si>
  <si>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</si>
  <si>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</si>
  <si>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</si>
  <si>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</si>
  <si>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</si>
  <si>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</si>
  <si>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</si>
  <si>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</si>
  <si>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</si>
  <si>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</si>
  <si>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</si>
  <si>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</si>
  <si>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</si>
  <si>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</si>
  <si>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</si>
  <si>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</si>
  <si>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</si>
  <si>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</si>
  <si>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</si>
  <si>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</si>
  <si>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</si>
  <si>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</si>
  <si>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</si>
  <si>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</si>
  <si>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</si>
  <si>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</si>
  <si>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</si>
  <si>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</si>
  <si>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</si>
  <si>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</si>
  <si>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</si>
  <si>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</si>
  <si>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</si>
  <si>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</si>
  <si>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</si>
  <si>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</si>
  <si>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</si>
  <si>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</si>
  <si>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</si>
  <si>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</si>
  <si>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</si>
  <si>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</si>
  <si>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</si>
  <si>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</si>
  <si>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</si>
  <si>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</si>
  <si>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</si>
  <si>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</si>
  <si>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</si>
  <si>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</si>
  <si>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</si>
  <si>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</si>
  <si>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</si>
  <si>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</si>
  <si>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</si>
  <si>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</si>
  <si>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</si>
  <si>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</si>
  <si>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</si>
  <si>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</si>
  <si>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</si>
  <si>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</si>
  <si>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</si>
  <si>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</si>
  <si>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</si>
  <si>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</si>
  <si>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</si>
  <si>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</si>
  <si>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</si>
  <si>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</si>
  <si>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</si>
  <si>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</si>
  <si>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</si>
  <si>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</si>
  <si>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</si>
  <si>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</si>
  <si>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</si>
  <si>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</si>
  <si>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</si>
  <si>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</si>
  <si>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</si>
  <si>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</si>
  <si>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</si>
  <si>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</si>
  <si>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</si>
  <si>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</si>
  <si>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</si>
  <si>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</si>
  <si>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</si>
  <si>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</si>
  <si>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</si>
  <si>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</si>
  <si>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</si>
  <si>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</si>
  <si>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</si>
  <si>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</si>
  <si>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</si>
  <si>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</si>
  <si>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</si>
  <si>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</si>
  <si>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</si>
  <si>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</si>
  <si>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</si>
  <si>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</si>
  <si>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</si>
  <si>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</si>
  <si>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</si>
  <si>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</si>
  <si>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</si>
  <si>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</si>
  <si>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</si>
  <si>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</si>
  <si>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</si>
  <si>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</si>
  <si>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</si>
  <si>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</si>
  <si>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</si>
  <si>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</si>
  <si>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</si>
  <si>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</si>
  <si>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</si>
  <si>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</si>
  <si>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</si>
  <si>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</si>
  <si>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</si>
  <si>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</si>
  <si>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</si>
  <si>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</si>
  <si>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</si>
  <si>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</si>
  <si>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</si>
  <si>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</si>
  <si>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</si>
  <si>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</si>
  <si>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</si>
  <si>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</si>
  <si>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</si>
  <si>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</si>
  <si>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</si>
  <si>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</si>
  <si>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</si>
  <si>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</si>
  <si>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</si>
  <si>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</si>
  <si>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</si>
  <si>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</si>
  <si>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</si>
  <si>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</si>
  <si>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</si>
  <si>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</si>
  <si>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</si>
  <si>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</si>
  <si>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</si>
  <si>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</si>
  <si>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</si>
  <si>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</si>
  <si>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</si>
  <si>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</si>
  <si>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</si>
  <si>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</si>
  <si>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</si>
  <si>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</si>
  <si>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</si>
  <si>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</si>
  <si>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</si>
  <si>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</si>
  <si>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</si>
  <si>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</si>
  <si>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</si>
  <si>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</si>
  <si>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</si>
  <si>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</si>
  <si>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</si>
  <si>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</si>
  <si>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</si>
  <si>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</si>
  <si>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</si>
  <si>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</si>
  <si>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</si>
  <si>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</si>
  <si>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</si>
  <si>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</si>
  <si>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</si>
  <si>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</si>
  <si>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</si>
  <si>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</si>
  <si>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</si>
  <si>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</si>
  <si>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</si>
  <si>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</si>
  <si>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</si>
  <si>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</si>
  <si>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</si>
  <si>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</si>
  <si>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</si>
  <si>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</si>
  <si>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</si>
  <si>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</si>
  <si>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</si>
  <si>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</si>
  <si>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</si>
  <si>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</si>
  <si>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</si>
  <si>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</si>
  <si>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</si>
  <si>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</si>
  <si>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</si>
  <si>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</si>
  <si>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</si>
  <si>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</si>
  <si>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</si>
  <si>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</si>
  <si>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</si>
  <si>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</si>
  <si>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</si>
  <si>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</si>
  <si>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</si>
  <si>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</si>
  <si>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</si>
  <si>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</si>
  <si>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</si>
  <si>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</si>
  <si>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</si>
  <si>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</si>
  <si>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</si>
  <si>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</si>
  <si>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</si>
  <si>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</si>
  <si>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</si>
  <si>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</si>
  <si>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</si>
  <si>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</si>
  <si>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</si>
  <si>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</si>
  <si>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</si>
  <si>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</si>
  <si>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</si>
  <si>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</si>
  <si>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</si>
  <si>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</si>
  <si>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</si>
  <si>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</si>
  <si>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</si>
  <si>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</si>
  <si>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</si>
  <si>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</si>
  <si>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</si>
  <si>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</si>
  <si>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</si>
  <si>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</si>
  <si>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</si>
  <si>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</si>
  <si>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</si>
  <si>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</si>
  <si>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</si>
  <si>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</si>
  <si>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</si>
  <si>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</si>
  <si>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</si>
  <si>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</si>
  <si>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</si>
  <si>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</si>
  <si>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</si>
  <si>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</si>
  <si>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</si>
  <si>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</si>
  <si>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</si>
  <si>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</si>
  <si>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</si>
  <si>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</si>
  <si>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</si>
  <si>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</si>
  <si>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</si>
  <si>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</si>
  <si>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</si>
  <si>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</si>
  <si>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</si>
  <si>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</si>
  <si>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</si>
  <si>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</si>
  <si>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</si>
  <si>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</si>
  <si>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</si>
  <si>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</si>
  <si>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</si>
  <si>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</si>
  <si>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</si>
  <si>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</si>
  <si>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</si>
  <si>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</si>
  <si>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</si>
  <si>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</si>
  <si>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</si>
  <si>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</si>
  <si>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</si>
  <si>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</si>
  <si>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</si>
  <si>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</si>
  <si>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</si>
  <si>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</si>
  <si>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</si>
  <si>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</si>
  <si>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</si>
  <si>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</si>
  <si>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</si>
  <si>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</si>
  <si>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</si>
  <si>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</si>
  <si>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</si>
  <si>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</si>
  <si>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</si>
  <si>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</si>
  <si>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</si>
  <si>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</si>
  <si>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</si>
  <si>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</si>
  <si>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</si>
  <si>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</si>
  <si>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</si>
  <si>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</si>
  <si>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</si>
  <si>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</si>
  <si>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</si>
  <si>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</si>
  <si>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</si>
  <si>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</si>
  <si>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</si>
  <si>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</si>
  <si>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</si>
  <si>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</si>
  <si>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</si>
  <si>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</si>
  <si>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</si>
  <si>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</si>
  <si>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</si>
  <si>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</si>
  <si>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</si>
  <si>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</si>
  <si>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</si>
  <si>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</si>
  <si>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</si>
  <si>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</si>
  <si>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</si>
  <si>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</si>
  <si>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</si>
  <si>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</si>
  <si>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</si>
  <si>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</si>
  <si>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</si>
  <si>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</si>
  <si>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</si>
  <si>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</si>
  <si>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</si>
  <si>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</si>
  <si>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</si>
  <si>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</si>
  <si>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</si>
  <si>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</si>
  <si>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</si>
  <si>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</si>
  <si>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</si>
  <si>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</si>
  <si>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</si>
  <si>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</si>
  <si>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</si>
  <si>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</si>
  <si>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</si>
  <si>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</si>
  <si>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</si>
  <si>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</si>
  <si>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</si>
  <si>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</si>
  <si>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</si>
  <si>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</si>
  <si>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</si>
  <si>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</si>
  <si>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</si>
  <si>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</si>
  <si>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</si>
  <si>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</si>
  <si>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</si>
  <si>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</si>
  <si>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</si>
  <si>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</si>
  <si>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</si>
  <si>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</si>
  <si>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</si>
  <si>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</si>
  <si>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</si>
  <si>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</si>
  <si>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</si>
  <si>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</si>
  <si>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</si>
  <si>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</si>
  <si>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</si>
  <si>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</si>
  <si>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</si>
  <si>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</si>
  <si>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</si>
  <si>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</si>
  <si>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</si>
  <si>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</si>
  <si>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</si>
  <si>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</si>
  <si>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</si>
  <si>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</si>
  <si>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</si>
  <si>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</si>
  <si>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</si>
  <si>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</si>
  <si>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</si>
  <si>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</si>
  <si>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</si>
  <si>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</si>
  <si>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</si>
  <si>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</si>
  <si>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</si>
  <si>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</si>
  <si>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</si>
  <si>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</si>
  <si>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</si>
  <si>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</si>
  <si>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</si>
  <si>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</si>
  <si>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</si>
  <si>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</si>
  <si>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</si>
  <si>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</si>
  <si>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</si>
  <si>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</si>
  <si>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</si>
  <si>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</si>
  <si>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</si>
  <si>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</si>
  <si>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</si>
  <si>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</si>
  <si>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</si>
  <si>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</si>
  <si>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</si>
  <si>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</si>
  <si>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</si>
  <si>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</si>
  <si>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</si>
  <si>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</si>
  <si>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</si>
  <si>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</si>
  <si>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</si>
  <si>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</si>
  <si>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</si>
  <si>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</si>
  <si>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</si>
  <si>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</si>
  <si>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</si>
  <si>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</si>
  <si>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</si>
  <si>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</si>
  <si>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</si>
  <si>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</si>
  <si>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</si>
  <si>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</si>
  <si>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</si>
  <si>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</si>
  <si>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</si>
  <si>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</si>
  <si>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</si>
  <si>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</si>
  <si>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</si>
  <si>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</si>
  <si>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</si>
  <si>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</si>
  <si>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</si>
  <si>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</si>
  <si>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</si>
  <si>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</si>
  <si>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</si>
  <si>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</si>
  <si>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</si>
  <si>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</si>
  <si>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</si>
  <si>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</si>
  <si>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</si>
  <si>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</si>
  <si>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</si>
  <si>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</si>
  <si>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</si>
  <si>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</si>
  <si>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</si>
  <si>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</si>
  <si>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</si>
  <si>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</si>
  <si>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</si>
  <si>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</si>
  <si>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</si>
  <si>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</si>
  <si>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</si>
  <si>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</si>
  <si>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</si>
  <si>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</si>
  <si>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</si>
  <si>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</si>
  <si>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</si>
  <si>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</si>
  <si>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</si>
  <si>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</si>
  <si>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</si>
  <si>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</si>
  <si>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</si>
  <si>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</si>
  <si>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</si>
  <si>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</si>
  <si>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</si>
  <si>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</si>
  <si>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</si>
  <si>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</si>
  <si>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</si>
  <si>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</si>
  <si>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</si>
  <si>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</si>
  <si>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</si>
  <si>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</si>
  <si>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</si>
  <si>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</si>
  <si>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</si>
  <si>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</si>
  <si>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</si>
  <si>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</si>
  <si>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</si>
  <si>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</si>
  <si>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</si>
  <si>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</si>
  <si>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</si>
  <si>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</si>
  <si>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</si>
  <si>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</si>
  <si>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</si>
  <si>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</si>
  <si>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</si>
  <si>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</si>
  <si>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</si>
  <si>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</si>
  <si>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</si>
  <si>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</si>
  <si>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</si>
  <si>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</si>
  <si>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</si>
  <si>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</si>
  <si>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</si>
  <si>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</si>
  <si>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</si>
  <si>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</si>
  <si>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</si>
  <si>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</si>
  <si>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</si>
  <si>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</si>
  <si>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</si>
  <si>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</si>
  <si>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</si>
  <si>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</si>
  <si>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</si>
  <si>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</si>
  <si>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</si>
  <si>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</si>
  <si>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</si>
  <si>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</si>
  <si>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</si>
  <si>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</si>
  <si>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</si>
  <si>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</si>
  <si>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</si>
  <si>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</si>
  <si>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</si>
  <si>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</si>
  <si>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</si>
  <si>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</si>
  <si>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</si>
  <si>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</si>
  <si>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</si>
  <si>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</si>
  <si>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</si>
  <si>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</si>
  <si>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</si>
  <si>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</si>
  <si>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</si>
  <si>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</si>
  <si>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</si>
  <si>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</si>
  <si>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</si>
  <si>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</si>
  <si>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</si>
  <si>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</si>
  <si>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</si>
  <si>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</si>
  <si>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</si>
  <si>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</si>
  <si>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</si>
  <si>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</si>
  <si>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</si>
  <si>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</si>
  <si>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</si>
  <si>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</si>
  <si>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</si>
  <si>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</si>
  <si>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</si>
  <si>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</si>
  <si>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</si>
  <si>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</si>
  <si>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</si>
  <si>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</si>
  <si>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</si>
  <si>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</si>
  <si>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</si>
  <si>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</si>
  <si>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</si>
  <si>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</si>
  <si>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</si>
  <si>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</si>
  <si>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</si>
  <si>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</si>
  <si>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</si>
  <si>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</si>
  <si>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</si>
  <si>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</si>
  <si>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</si>
  <si>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</si>
  <si>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</si>
  <si>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</si>
  <si>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</si>
  <si>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</si>
  <si>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</si>
  <si>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</si>
  <si>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</si>
  <si>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</si>
  <si>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</si>
  <si>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</si>
  <si>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</si>
  <si>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</si>
  <si>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</si>
  <si>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</si>
  <si>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</si>
  <si>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</si>
  <si>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</si>
  <si>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</si>
  <si>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</si>
  <si>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</si>
  <si>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</si>
  <si>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</si>
  <si>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</si>
  <si>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</si>
  <si>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</si>
  <si>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</si>
  <si>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</si>
  <si>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</si>
  <si>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</si>
  <si>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</si>
  <si>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</si>
  <si>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</si>
  <si>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</si>
  <si>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</si>
  <si>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</si>
  <si>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</si>
  <si>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</si>
  <si>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</si>
  <si>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</si>
  <si>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</si>
  <si>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</si>
  <si>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</si>
  <si>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</si>
  <si>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</si>
  <si>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</si>
  <si>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</si>
  <si>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</si>
  <si>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</si>
  <si>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</si>
  <si>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</si>
  <si>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</si>
  <si>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</si>
  <si>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</si>
  <si>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</si>
  <si>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</si>
  <si>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</si>
  <si>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</si>
  <si>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</si>
  <si>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</si>
  <si>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</si>
  <si>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</si>
  <si>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</si>
  <si>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</si>
  <si>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</si>
  <si>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</si>
  <si>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</si>
  <si>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</si>
  <si>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</si>
  <si>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</si>
  <si>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</si>
  <si>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</si>
  <si>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</si>
  <si>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</si>
  <si>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</si>
  <si>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</si>
  <si>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</si>
  <si>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</si>
  <si>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</si>
  <si>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</si>
  <si>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</si>
  <si>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</si>
  <si>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</si>
  <si>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</si>
  <si>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</si>
  <si>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</si>
  <si>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</si>
  <si>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</si>
  <si>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</si>
  <si>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</si>
  <si>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</si>
  <si>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</si>
  <si>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</si>
  <si>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</si>
  <si>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</si>
  <si>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</si>
  <si>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</si>
  <si>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</si>
  <si>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</si>
  <si>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</si>
  <si>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</si>
  <si>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</si>
  <si>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</si>
  <si>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</si>
  <si>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</si>
  <si>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</si>
  <si>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</si>
  <si>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</si>
  <si>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</si>
  <si>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</si>
  <si>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</si>
  <si>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</si>
  <si>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</si>
  <si>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</si>
  <si>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</si>
  <si>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</si>
  <si>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</si>
  <si>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</si>
  <si>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</si>
  <si>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</si>
  <si>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</si>
  <si>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</si>
  <si>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</si>
  <si>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</si>
  <si>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</si>
  <si>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</si>
  <si>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</si>
  <si>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</si>
  <si>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</si>
  <si>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</si>
  <si>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</si>
  <si>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</si>
  <si>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</si>
  <si>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</si>
  <si>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</si>
  <si>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</si>
  <si>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</si>
  <si>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</si>
  <si>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</si>
  <si>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</si>
  <si>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</si>
  <si>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</si>
  <si>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</si>
  <si>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</si>
  <si>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</si>
  <si>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</si>
  <si>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</si>
  <si>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</si>
  <si>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</si>
  <si>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</si>
  <si>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</si>
  <si>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</si>
  <si>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</si>
  <si>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</si>
  <si>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</si>
  <si>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</si>
  <si>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</si>
  <si>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</si>
  <si>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</si>
  <si>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</si>
  <si>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</si>
  <si>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</si>
  <si>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</si>
  <si>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</si>
  <si>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</si>
  <si>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</si>
  <si>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</si>
  <si>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</si>
  <si>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</si>
  <si>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</si>
  <si>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</si>
  <si>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</si>
  <si>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</si>
  <si>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</si>
  <si>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</si>
  <si>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</si>
  <si>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</si>
  <si>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</si>
  <si>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</si>
  <si>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</si>
  <si>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</si>
  <si>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</si>
  <si>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</si>
  <si>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</si>
  <si>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</si>
  <si>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</si>
  <si>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</si>
  <si>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</si>
  <si>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</si>
  <si>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</si>
  <si>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</si>
  <si>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</si>
  <si>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</si>
  <si>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</si>
  <si>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</si>
  <si>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</si>
  <si>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</si>
  <si>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</si>
  <si>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</si>
  <si>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</si>
  <si>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</si>
  <si>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</si>
  <si>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</si>
  <si>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</si>
  <si>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</si>
  <si>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</si>
  <si>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</si>
  <si>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</si>
  <si>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</si>
  <si>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</si>
  <si>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</si>
  <si>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</si>
  <si>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</si>
  <si>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</si>
  <si>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</si>
  <si>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</si>
  <si>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</si>
  <si>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</si>
  <si>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</si>
  <si>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</si>
  <si>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</si>
  <si>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</si>
  <si>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</si>
  <si>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</si>
  <si>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</si>
  <si>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</si>
  <si>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</si>
  <si>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</si>
  <si>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</si>
  <si>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</si>
  <si>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</si>
  <si>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</si>
  <si>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</si>
  <si>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</si>
  <si>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</si>
  <si>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</si>
  <si>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</si>
  <si>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</si>
  <si>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</si>
  <si>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</si>
  <si>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</si>
  <si>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</si>
  <si>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</si>
  <si>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</si>
  <si>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</si>
  <si>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</si>
  <si>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</si>
  <si>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</si>
  <si>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</si>
  <si>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</si>
  <si>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</si>
  <si>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</si>
  <si>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</si>
  <si>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</si>
  <si>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</si>
  <si>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</si>
  <si>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</si>
  <si>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</si>
  <si>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</si>
  <si>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</si>
  <si>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</si>
  <si>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</si>
  <si>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</si>
  <si>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</si>
  <si>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</si>
  <si>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</si>
  <si>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</si>
  <si>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</si>
  <si>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</si>
  <si>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</si>
  <si>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</si>
  <si>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</si>
  <si>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</si>
  <si>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</si>
  <si>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</si>
  <si>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</si>
  <si>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</si>
  <si>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</si>
  <si>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</si>
  <si>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</si>
  <si>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</si>
  <si>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</si>
  <si>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</si>
  <si>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</si>
  <si>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</si>
  <si>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</si>
  <si>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</si>
  <si>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</si>
  <si>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</si>
  <si>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</si>
  <si>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</si>
  <si>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</si>
  <si>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</si>
  <si>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</si>
  <si>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</si>
  <si>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</si>
  <si>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</si>
  <si>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</si>
  <si>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</si>
  <si>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</si>
  <si>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</si>
  <si>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</si>
  <si>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</si>
  <si>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</si>
  <si>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</si>
  <si>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</si>
  <si>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</si>
  <si>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</si>
  <si>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</si>
  <si>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</si>
  <si>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</si>
  <si>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</si>
  <si>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</si>
  <si>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</si>
  <si>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</si>
  <si>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</si>
  <si>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</si>
  <si>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</si>
  <si>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</si>
  <si>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</si>
  <si>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</si>
  <si>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</si>
  <si>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</si>
  <si>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</si>
  <si>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</si>
  <si>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</si>
  <si>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</si>
  <si>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</si>
  <si>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</si>
  <si>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</si>
  <si>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</si>
  <si>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</si>
  <si>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</si>
  <si>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</si>
  <si>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</si>
  <si>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</si>
  <si>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</si>
  <si>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</si>
  <si>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</si>
  <si>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</si>
  <si>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</si>
  <si>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</si>
  <si>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</si>
  <si>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</si>
  <si>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</si>
  <si>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</si>
  <si>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</si>
  <si>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</si>
  <si>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</si>
  <si>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</si>
  <si>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</si>
  <si>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</si>
  <si>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</si>
  <si>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</si>
  <si>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</si>
  <si>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</si>
  <si>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</si>
  <si>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</si>
  <si>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</si>
  <si>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</si>
  <si>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</si>
  <si>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</si>
  <si>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</si>
  <si>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</si>
  <si>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</si>
  <si>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</si>
  <si>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</si>
  <si>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</si>
  <si>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</si>
  <si>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</si>
  <si>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</si>
  <si>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</si>
  <si>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</si>
  <si>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</si>
  <si>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</si>
  <si>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</si>
  <si>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</si>
  <si>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</si>
  <si>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</si>
  <si>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</si>
  <si>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</si>
  <si>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</si>
  <si>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</si>
  <si>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</si>
  <si>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</si>
  <si>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</si>
  <si>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</si>
  <si>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</si>
  <si>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</si>
  <si>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</si>
  <si>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</si>
  <si>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</si>
  <si>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</si>
  <si>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</si>
  <si>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</si>
  <si>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</si>
  <si>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</si>
  <si>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</si>
  <si>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</si>
  <si>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</si>
  <si>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</si>
  <si>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</si>
  <si>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</si>
  <si>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</si>
  <si>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</si>
  <si>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</si>
  <si>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</si>
  <si>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</si>
  <si>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</si>
  <si>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</si>
  <si>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</si>
  <si>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</si>
  <si>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</si>
  <si>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</si>
  <si>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</si>
  <si>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</si>
  <si>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</si>
  <si>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</si>
  <si>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</si>
  <si>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</si>
  <si>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</si>
  <si>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</si>
  <si>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</si>
  <si>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</si>
  <si>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</si>
  <si>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</si>
  <si>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</si>
  <si>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</si>
  <si>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</si>
  <si>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</si>
  <si>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</si>
  <si>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</si>
  <si>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</si>
  <si>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</si>
  <si>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</si>
  <si>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</si>
  <si>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</si>
  <si>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</si>
  <si>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</si>
  <si>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</si>
  <si>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</si>
  <si>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</si>
  <si>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</si>
  <si>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</si>
  <si>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</si>
  <si>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</si>
  <si>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</si>
  <si>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</si>
  <si>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</si>
  <si>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</si>
  <si>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</si>
  <si>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</si>
  <si>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</si>
  <si>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</si>
  <si>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</si>
  <si>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</si>
  <si>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</si>
  <si>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</si>
  <si>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</si>
  <si>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</si>
  <si>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</si>
  <si>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</si>
  <si>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</si>
  <si>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</si>
  <si>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</si>
  <si>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</si>
  <si>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</si>
  <si>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</si>
  <si>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</si>
  <si>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</si>
  <si>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</si>
  <si>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</si>
  <si>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</si>
  <si>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</si>
  <si>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</si>
  <si>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</si>
  <si>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</si>
  <si>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</si>
  <si>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</si>
  <si>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</si>
  <si>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</si>
  <si>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</si>
  <si>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</si>
  <si>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</si>
  <si>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</si>
  <si>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</si>
  <si>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</si>
  <si>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</si>
  <si>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</si>
  <si>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</si>
  <si>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</si>
  <si>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</si>
  <si>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</si>
  <si>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</si>
  <si>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</si>
  <si>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</si>
  <si>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</si>
  <si>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</si>
  <si>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</si>
  <si>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</si>
  <si>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</si>
  <si>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</si>
  <si>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</si>
  <si>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</si>
  <si>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</si>
  <si>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</si>
  <si>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</si>
  <si>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</si>
  <si>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</si>
  <si>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</si>
  <si>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</si>
  <si>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</si>
  <si>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</si>
  <si>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</si>
  <si>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</si>
  <si>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</si>
  <si>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</si>
  <si>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</si>
  <si>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</si>
  <si>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</si>
  <si>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</si>
  <si>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</si>
  <si>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</si>
  <si>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</si>
  <si>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</si>
  <si>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</si>
  <si>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</si>
  <si>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</si>
  <si>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</si>
  <si>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</si>
  <si>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</si>
  <si>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</si>
  <si>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</si>
  <si>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</si>
  <si>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</si>
  <si>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</si>
  <si>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</si>
  <si>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</si>
  <si>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</si>
  <si>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</si>
  <si>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</si>
  <si>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</si>
  <si>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</si>
  <si>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</si>
  <si>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</si>
  <si>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</si>
  <si>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</si>
  <si>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</si>
  <si>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</si>
  <si>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</si>
  <si>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</si>
  <si>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</si>
  <si>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</si>
  <si>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</si>
  <si>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</si>
  <si>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</si>
  <si>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</si>
  <si>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</si>
  <si>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</si>
  <si>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</si>
  <si>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</si>
  <si>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</si>
  <si>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</si>
  <si>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</si>
  <si>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</si>
  <si>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</si>
  <si>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</si>
  <si>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</si>
  <si>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</si>
  <si>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</si>
  <si>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</si>
  <si>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</si>
  <si>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</si>
  <si>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</si>
  <si>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</si>
  <si>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</si>
  <si>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</si>
  <si>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</si>
  <si>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</si>
  <si>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</si>
  <si>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</si>
  <si>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</si>
  <si>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</si>
  <si>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</si>
  <si>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</si>
  <si>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</si>
  <si>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</si>
  <si>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</si>
  <si>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</si>
  <si>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</si>
  <si>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</si>
  <si>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</si>
  <si>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</si>
  <si>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</si>
  <si>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</si>
  <si>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</si>
  <si>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</si>
  <si>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</si>
  <si>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</si>
  <si>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</si>
  <si>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</si>
  <si>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</si>
  <si>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</si>
  <si>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</si>
  <si>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</si>
  <si>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</si>
  <si>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</si>
  <si>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</si>
  <si>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</si>
  <si>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</si>
  <si>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</si>
  <si>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</si>
  <si>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</si>
  <si>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</si>
  <si>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</si>
  <si>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</si>
  <si>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</si>
  <si>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</si>
  <si>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</si>
  <si>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</si>
  <si>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</si>
  <si>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</si>
  <si>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</si>
  <si>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</si>
  <si>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</si>
  <si>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</si>
  <si>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</si>
  <si>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</si>
  <si>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</si>
  <si>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</si>
  <si>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</si>
  <si>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</si>
  <si>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</si>
  <si>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</si>
  <si>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</si>
  <si>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</si>
  <si>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</si>
  <si>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</si>
  <si>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</si>
  <si>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</si>
  <si>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</si>
  <si>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</si>
  <si>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</si>
  <si>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</si>
  <si>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</si>
  <si>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</si>
  <si>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</si>
  <si>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</si>
  <si>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</si>
  <si>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</si>
  <si>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</si>
  <si>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</si>
  <si>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</si>
  <si>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</si>
  <si>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</si>
  <si>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</si>
  <si>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</si>
  <si>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</si>
  <si>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</si>
  <si>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</si>
  <si>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</si>
  <si>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</si>
  <si>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</si>
  <si>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</si>
  <si>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</si>
  <si>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</si>
  <si>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</si>
  <si>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</si>
  <si>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</si>
  <si>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</si>
  <si>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</si>
  <si>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</si>
  <si>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</si>
  <si>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</si>
  <si>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</si>
  <si>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</si>
  <si>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</si>
  <si>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</si>
  <si>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</si>
  <si>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</si>
  <si>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</si>
  <si>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</si>
  <si>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</si>
  <si>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</si>
  <si>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</si>
  <si>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</si>
  <si>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</si>
  <si>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</si>
  <si>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</si>
  <si>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</si>
  <si>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</si>
  <si>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</si>
  <si>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</si>
  <si>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</si>
  <si>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</si>
  <si>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</si>
  <si>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</si>
  <si>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</si>
  <si>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</si>
  <si>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</si>
  <si>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</si>
  <si>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</si>
  <si>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</si>
  <si>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</si>
  <si>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</si>
  <si>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</si>
  <si>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</si>
  <si>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</si>
  <si>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</si>
  <si>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</si>
  <si>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</si>
  <si>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</si>
  <si>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</si>
  <si>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</si>
  <si>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</si>
  <si>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</si>
  <si>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</si>
  <si>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</si>
  <si>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</si>
  <si>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</si>
  <si>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</si>
  <si>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</si>
  <si>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</si>
  <si>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</si>
  <si>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</si>
  <si>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</si>
  <si>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</si>
  <si>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</si>
  <si>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</si>
  <si>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</si>
  <si>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</si>
  <si>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</si>
  <si>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</si>
  <si>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</si>
  <si>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</si>
  <si>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</si>
  <si>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</si>
  <si>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</si>
  <si>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</si>
  <si>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</si>
  <si>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</si>
  <si>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</si>
  <si>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</si>
  <si>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</si>
  <si>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</si>
  <si>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</si>
  <si>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</si>
  <si>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</si>
  <si>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</si>
  <si>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</si>
  <si>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</si>
  <si>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</si>
  <si>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</si>
  <si>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</si>
  <si>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</si>
  <si>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</si>
  <si>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</si>
  <si>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</si>
  <si>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</si>
  <si>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</si>
  <si>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</si>
  <si>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</si>
  <si>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</si>
  <si>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</si>
  <si>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</si>
  <si>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</si>
  <si>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</si>
  <si>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</si>
  <si>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</si>
  <si>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</si>
  <si>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</si>
  <si>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</si>
  <si>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</si>
  <si>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</si>
  <si>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</si>
  <si>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</si>
  <si>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</si>
  <si>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</si>
  <si>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</si>
  <si>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</si>
  <si>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</si>
  <si>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</si>
  <si>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</si>
  <si>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</si>
  <si>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</si>
  <si>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</si>
  <si>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</si>
  <si>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</si>
  <si>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</si>
  <si>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</si>
  <si>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</si>
  <si>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</si>
  <si>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</si>
  <si>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</si>
  <si>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</si>
  <si>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</si>
  <si>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</si>
  <si>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</si>
  <si>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</si>
  <si>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</si>
  <si>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</si>
  <si>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</si>
  <si>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</si>
  <si>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</si>
  <si>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</si>
  <si>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</si>
  <si>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</si>
  <si>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</si>
  <si>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</si>
  <si>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</si>
  <si>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</si>
  <si>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</si>
  <si>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</si>
  <si>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</si>
  <si>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</si>
  <si>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</si>
  <si>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</si>
  <si>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</si>
  <si>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</si>
  <si>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</si>
  <si>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</si>
  <si>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</si>
  <si>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</si>
  <si>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</si>
  <si>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</si>
  <si>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</si>
  <si>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</si>
  <si>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</si>
  <si>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</si>
  <si>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</si>
  <si>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</si>
  <si>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</si>
  <si>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</si>
  <si>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</si>
  <si>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</si>
  <si>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</si>
  <si>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</si>
  <si>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</si>
  <si>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</si>
  <si>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</si>
  <si>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</si>
  <si>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</si>
  <si>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</si>
  <si>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</si>
  <si>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</si>
  <si>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</si>
  <si>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</si>
  <si>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</si>
  <si>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</si>
  <si>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</si>
  <si>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</si>
  <si>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</si>
  <si>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</si>
  <si>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</si>
  <si>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</si>
  <si>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</si>
  <si>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</si>
  <si>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</si>
  <si>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</si>
  <si>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</si>
  <si>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</si>
  <si>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</si>
  <si>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</si>
  <si>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</si>
  <si>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</si>
  <si>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</si>
  <si>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</si>
  <si>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</si>
  <si>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</si>
  <si>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</si>
  <si>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</si>
  <si>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</si>
  <si>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</si>
  <si>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</si>
  <si>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</si>
  <si>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</si>
  <si>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</si>
  <si>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</si>
  <si>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</si>
  <si>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</si>
  <si>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</si>
  <si>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</si>
  <si>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</si>
  <si>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</si>
  <si>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</si>
  <si>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</si>
  <si>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</si>
  <si>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</si>
  <si>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</si>
  <si>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</si>
  <si>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</si>
  <si>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</si>
  <si>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</si>
  <si>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</si>
  <si>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</si>
  <si>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</si>
  <si>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</si>
  <si>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</si>
  <si>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</si>
  <si>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</si>
  <si>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</si>
  <si>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</si>
  <si>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</si>
  <si>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</si>
  <si>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</si>
  <si>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</si>
  <si>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</si>
  <si>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</si>
  <si>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</si>
  <si>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</si>
  <si>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</si>
  <si>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</si>
  <si>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</si>
  <si>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</si>
  <si>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</si>
  <si>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</si>
  <si>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</si>
  <si>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</si>
  <si>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</si>
  <si>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</si>
  <si>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</si>
  <si>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</si>
  <si>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</si>
  <si>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</si>
  <si>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</si>
  <si>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</si>
  <si>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</si>
  <si>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</si>
  <si>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</si>
  <si>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</si>
  <si>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</si>
  <si>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</si>
  <si>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</si>
  <si>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</si>
  <si>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</si>
  <si>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</si>
  <si>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</si>
  <si>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</si>
  <si>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</si>
  <si>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</si>
  <si>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</si>
  <si>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</si>
  <si>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</si>
  <si>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</si>
  <si>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</si>
  <si>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</si>
  <si>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</si>
  <si>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</si>
  <si>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</si>
  <si>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</si>
  <si>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</si>
  <si>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</si>
  <si>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</si>
  <si>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</si>
  <si>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</si>
  <si>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</si>
  <si>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</si>
  <si>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</si>
  <si>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</si>
  <si>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</si>
  <si>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</si>
  <si>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</si>
  <si>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</si>
  <si>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</si>
  <si>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</si>
  <si>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</si>
  <si>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</si>
  <si>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</si>
  <si>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</si>
  <si>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</si>
  <si>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</si>
  <si>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</si>
  <si>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</si>
  <si>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</si>
  <si>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</si>
  <si>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</si>
  <si>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</si>
  <si>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</si>
  <si>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</si>
  <si>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</si>
  <si>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</si>
  <si>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</si>
  <si>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</si>
  <si>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</si>
  <si>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</si>
  <si>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</si>
  <si>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</si>
  <si>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</si>
  <si>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</si>
  <si>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</si>
  <si>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</si>
  <si>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</si>
  <si>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</si>
  <si>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</si>
  <si>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</si>
  <si>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</si>
  <si>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</si>
  <si>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</si>
  <si>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</si>
  <si>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</si>
  <si>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</si>
  <si>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</si>
  <si>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</si>
  <si>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</si>
  <si>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</si>
  <si>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</si>
  <si>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</si>
  <si>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</si>
  <si>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</si>
  <si>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</si>
  <si>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</si>
  <si>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</si>
  <si>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</si>
  <si>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</si>
  <si>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</si>
  <si>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</si>
  <si>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</si>
  <si>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</si>
  <si>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</si>
  <si>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</si>
  <si>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</si>
  <si>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</si>
  <si>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</si>
  <si>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</si>
  <si>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</si>
  <si>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</si>
  <si>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</si>
  <si>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</si>
  <si>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</si>
  <si>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</si>
  <si>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</si>
  <si>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</si>
  <si>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</si>
  <si>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</si>
  <si>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</si>
  <si>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</si>
  <si>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</si>
  <si>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</si>
  <si>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</si>
  <si>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</si>
  <si>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</si>
  <si>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</si>
  <si>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</si>
  <si>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</si>
  <si>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</si>
  <si>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</si>
  <si>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</si>
  <si>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</si>
  <si>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</si>
  <si>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</si>
  <si>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</si>
  <si>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</si>
  <si>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</si>
  <si>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</si>
  <si>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</si>
  <si>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</si>
  <si>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</si>
  <si>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</si>
  <si>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</si>
  <si>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</si>
  <si>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</si>
  <si>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</si>
  <si>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</si>
  <si>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</si>
  <si>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</si>
  <si>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</si>
  <si>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</si>
  <si>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</si>
  <si>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</si>
  <si>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</si>
  <si>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</si>
  <si>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</si>
  <si>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</si>
  <si>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</si>
  <si>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</si>
  <si>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</si>
  <si>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</si>
  <si>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</si>
  <si>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</si>
  <si>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</si>
  <si>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</si>
  <si>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</si>
  <si>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</si>
  <si>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</si>
  <si>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</si>
  <si>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</si>
  <si>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</si>
  <si>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</si>
  <si>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</si>
  <si>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</si>
  <si>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</si>
  <si>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</si>
  <si>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</si>
  <si>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</si>
  <si>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</si>
  <si>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</si>
  <si>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</si>
  <si>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</si>
  <si>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</si>
  <si>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</si>
  <si>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</si>
  <si>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</si>
  <si>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</si>
  <si>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</si>
  <si>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</si>
  <si>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</si>
  <si>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</si>
  <si>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</si>
  <si>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</si>
  <si>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</si>
  <si>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</si>
  <si>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</si>
  <si>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</si>
  <si>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</si>
  <si>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</si>
  <si>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</si>
  <si>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</si>
  <si>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</si>
  <si>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</si>
  <si>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</si>
  <si>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</si>
  <si>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</si>
  <si>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</si>
  <si>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</si>
  <si>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</si>
  <si>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</si>
  <si>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</si>
  <si>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</si>
  <si>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</si>
  <si>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</si>
  <si>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</si>
  <si>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</si>
  <si>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</si>
  <si>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</si>
  <si>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</si>
  <si>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</si>
  <si>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</si>
  <si>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</si>
  <si>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</si>
  <si>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</si>
  <si>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</si>
  <si>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</si>
  <si>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</si>
  <si>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</si>
  <si>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</si>
  <si>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</si>
  <si>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</si>
  <si>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</si>
  <si>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</si>
  <si>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</si>
  <si>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</si>
  <si>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</si>
  <si>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</si>
  <si>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</si>
  <si>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</si>
  <si>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</si>
  <si>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</si>
  <si>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</si>
  <si>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</si>
  <si>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</si>
  <si>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</si>
  <si>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</si>
  <si>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</si>
  <si>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</si>
  <si>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</si>
  <si>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</si>
  <si>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</si>
  <si>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</si>
  <si>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</si>
  <si>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</si>
  <si>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</si>
  <si>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</si>
  <si>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</si>
  <si>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</si>
  <si>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</si>
  <si>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</si>
  <si>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</si>
  <si>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</si>
  <si>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</si>
  <si>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</si>
  <si>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</si>
  <si>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</si>
  <si>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</si>
  <si>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</si>
  <si>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</si>
  <si>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</si>
  <si>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</si>
  <si>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</si>
  <si>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</si>
  <si>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</si>
  <si>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</si>
  <si>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</si>
  <si>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</si>
  <si>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</si>
  <si>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</si>
  <si>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</si>
  <si>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</si>
  <si>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</si>
  <si>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</si>
  <si>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</si>
  <si>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</si>
  <si>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</si>
  <si>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</si>
  <si>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</si>
  <si>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</si>
  <si>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</si>
  <si>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</si>
  <si>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</si>
  <si>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</si>
  <si>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</si>
  <si>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</si>
  <si>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</si>
  <si>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</si>
  <si>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</si>
  <si>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</si>
  <si>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</si>
  <si>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</si>
  <si>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</si>
  <si>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</si>
  <si>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</si>
  <si>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</si>
  <si>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</si>
  <si>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</si>
  <si>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</si>
  <si>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</si>
  <si>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</si>
  <si>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</si>
  <si>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</si>
  <si>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</si>
  <si>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</si>
  <si>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</si>
  <si>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</si>
  <si>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</si>
  <si>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</si>
  <si>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</si>
  <si>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</si>
  <si>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</si>
  <si>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</si>
  <si>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</si>
  <si>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</si>
  <si>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</si>
  <si>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</si>
  <si>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</si>
  <si>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</si>
  <si>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</si>
  <si>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</si>
  <si>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</si>
  <si>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</si>
  <si>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</si>
  <si>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</si>
  <si>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</si>
  <si>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</si>
  <si>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</si>
  <si>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</si>
  <si>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</si>
  <si>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</si>
  <si>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</si>
  <si>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</si>
  <si>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</si>
  <si>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</si>
  <si>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</si>
  <si>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</si>
  <si>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</si>
  <si>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</si>
  <si>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</si>
  <si>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</si>
  <si>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</si>
  <si>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</si>
  <si>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</si>
  <si>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</si>
  <si>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</si>
  <si>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</si>
  <si>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</si>
  <si>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</si>
  <si>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</si>
  <si>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</si>
  <si>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</si>
  <si>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</si>
  <si>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</si>
  <si>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</si>
  <si>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</si>
  <si>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</si>
  <si>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</si>
  <si>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</si>
  <si>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</si>
  <si>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</si>
  <si>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</si>
  <si>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</si>
  <si>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</si>
  <si>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</si>
  <si>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</si>
  <si>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</si>
  <si>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</si>
  <si>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</si>
  <si>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</si>
  <si>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</si>
  <si>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</si>
  <si>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</si>
  <si>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</si>
  <si>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</si>
  <si>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</si>
  <si>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</si>
  <si>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</si>
  <si>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</si>
  <si>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</si>
  <si>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</si>
  <si>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</si>
  <si>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</si>
  <si>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</si>
  <si>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</si>
  <si>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</si>
  <si>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</si>
  <si>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</si>
  <si>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</si>
  <si>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</si>
  <si>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</si>
  <si>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</si>
  <si>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</si>
  <si>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</si>
  <si>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</si>
  <si>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</si>
  <si>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</si>
  <si>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</si>
  <si>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</si>
  <si>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</si>
  <si>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</si>
  <si>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</si>
  <si>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</si>
  <si>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</si>
  <si>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</si>
  <si>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</si>
  <si>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</si>
  <si>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</si>
  <si>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</si>
  <si>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</si>
  <si>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</si>
  <si>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</si>
  <si>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</si>
  <si>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</si>
  <si>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</si>
  <si>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</si>
  <si>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</si>
  <si>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</si>
  <si>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</si>
  <si>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</si>
  <si>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</si>
  <si>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</si>
  <si>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</si>
  <si>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</si>
  <si>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</si>
  <si>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</si>
  <si>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</si>
  <si>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</si>
  <si>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</si>
  <si>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</si>
  <si>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</si>
  <si>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</si>
  <si>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</si>
  <si>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</si>
  <si>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</si>
  <si>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</si>
  <si>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</si>
  <si>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</si>
  <si>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</si>
  <si>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</si>
  <si>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</si>
  <si>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</si>
  <si>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</si>
  <si>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</si>
  <si>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</si>
  <si>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</si>
  <si>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</si>
  <si>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</si>
  <si>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</si>
  <si>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</si>
  <si>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</si>
  <si>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</si>
  <si>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</si>
  <si>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</si>
  <si>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</si>
  <si>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</si>
  <si>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</si>
  <si>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</si>
  <si>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</si>
  <si>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</si>
  <si>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</si>
  <si>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</si>
  <si>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</si>
  <si>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</si>
  <si>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</si>
  <si>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</si>
  <si>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</si>
  <si>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</si>
  <si>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</si>
  <si>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</si>
  <si>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</si>
  <si>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</si>
  <si>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</si>
  <si>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</si>
  <si>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</si>
  <si>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</si>
  <si>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</si>
  <si>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</si>
  <si>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</si>
  <si>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</si>
  <si>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</si>
  <si>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</si>
  <si>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</si>
  <si>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</si>
  <si>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</si>
  <si>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</si>
  <si>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</si>
  <si>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</si>
  <si>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</si>
  <si>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</si>
  <si>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</si>
  <si>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</si>
  <si>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</si>
  <si>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</si>
  <si>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</si>
  <si>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</si>
  <si>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</si>
  <si>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</si>
  <si>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</si>
  <si>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</si>
  <si>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</si>
  <si>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</si>
  <si>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</si>
  <si>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</si>
  <si>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</si>
  <si>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</si>
  <si>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</si>
  <si>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</si>
  <si>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</si>
  <si>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</si>
  <si>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</si>
  <si>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</si>
  <si>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</si>
  <si>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</si>
  <si>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</si>
  <si>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</si>
  <si>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</si>
  <si>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</si>
  <si>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</si>
  <si>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</si>
  <si>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</si>
  <si>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</si>
  <si>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</si>
  <si>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</si>
  <si>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</si>
  <si>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</si>
  <si>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</si>
  <si>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</si>
  <si>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</si>
  <si>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</si>
  <si>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</si>
  <si>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</si>
  <si>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</si>
  <si>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</si>
  <si>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</si>
  <si>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</si>
  <si>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</si>
  <si>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</si>
  <si>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</si>
  <si>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</si>
  <si>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</si>
  <si>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</si>
  <si>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</si>
  <si>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</si>
  <si>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</si>
  <si>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</si>
  <si>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</si>
  <si>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</si>
  <si>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</si>
  <si>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</si>
  <si>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</si>
  <si>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</si>
  <si>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</si>
  <si>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</si>
  <si>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</si>
  <si>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</si>
  <si>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</si>
  <si>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</si>
  <si>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</si>
  <si>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</si>
  <si>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</si>
  <si>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</si>
  <si>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</si>
  <si>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</si>
  <si>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</si>
  <si>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</si>
  <si>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</si>
  <si>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</si>
  <si>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</si>
  <si>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</si>
  <si>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</si>
  <si>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</si>
  <si>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</si>
  <si>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</si>
  <si>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</si>
  <si>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</si>
  <si>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</si>
  <si>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</si>
  <si>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</si>
  <si>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</si>
  <si>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</si>
  <si>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</si>
  <si>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</si>
  <si>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</si>
  <si>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</si>
  <si>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</si>
  <si>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</si>
  <si>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</si>
  <si>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</si>
  <si>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</si>
  <si>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</si>
  <si>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</si>
  <si>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</si>
  <si>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</si>
  <si>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</si>
  <si>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</si>
  <si>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</si>
  <si>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</si>
  <si>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</si>
  <si>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</si>
  <si>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</si>
  <si>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</si>
  <si>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</si>
  <si>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</si>
  <si>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</si>
  <si>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</si>
  <si>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</si>
  <si>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</si>
  <si>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</si>
  <si>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</si>
  <si>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</si>
  <si>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</si>
  <si>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</si>
  <si>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</si>
  <si>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</si>
  <si>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</si>
  <si>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</si>
  <si>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</si>
  <si>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</si>
  <si>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</si>
  <si>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</si>
  <si>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</si>
  <si>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</si>
  <si>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</si>
  <si>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</si>
  <si>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</si>
  <si>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</si>
  <si>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</si>
  <si>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</si>
  <si>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</si>
  <si>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</si>
  <si>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</si>
  <si>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</si>
  <si>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</si>
  <si>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</si>
  <si>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</si>
  <si>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</si>
  <si>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</si>
  <si>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</si>
  <si>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</si>
  <si>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</si>
  <si>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</si>
  <si>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</si>
  <si>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</si>
  <si>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</si>
  <si>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</si>
  <si>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</si>
  <si>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</si>
  <si>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</si>
  <si>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</si>
  <si>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</si>
  <si>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</si>
  <si>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</si>
  <si>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</si>
  <si>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</si>
  <si>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</si>
  <si>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</si>
  <si>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</si>
  <si>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</si>
  <si>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</si>
  <si>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</si>
  <si>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</si>
  <si>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</si>
  <si>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</si>
  <si>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</si>
  <si>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</si>
  <si>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</si>
  <si>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</si>
  <si>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</si>
  <si>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</si>
  <si>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</si>
  <si>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</si>
  <si>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</si>
  <si>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</si>
  <si>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</si>
  <si>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</si>
  <si>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</si>
  <si>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</si>
  <si>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</si>
  <si>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</si>
  <si>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</si>
  <si>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</si>
  <si>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</si>
  <si>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</si>
  <si>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</si>
  <si>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</si>
  <si>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</si>
  <si>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</si>
  <si>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</si>
  <si>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</si>
  <si>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</si>
  <si>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</si>
  <si>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</si>
  <si>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</si>
  <si>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</si>
  <si>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</si>
  <si>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</si>
  <si>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</si>
  <si>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</si>
  <si>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</si>
  <si>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</si>
  <si>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</si>
  <si>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</si>
  <si>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</si>
  <si>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</si>
  <si>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</si>
  <si>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</si>
  <si>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</si>
  <si>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</si>
  <si>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</si>
  <si>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</si>
  <si>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</si>
  <si>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</si>
  <si>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</si>
  <si>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</si>
  <si>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</si>
  <si>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</si>
  <si>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</si>
  <si>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</si>
  <si>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</si>
  <si>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</si>
  <si>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</si>
  <si>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</si>
  <si>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</si>
  <si>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</si>
  <si>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</si>
  <si>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</si>
  <si>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</si>
  <si>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</si>
  <si>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</si>
  <si>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</si>
  <si>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</si>
  <si>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</si>
  <si>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</si>
  <si>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</si>
  <si>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</si>
  <si>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</si>
  <si>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</si>
  <si>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</si>
  <si>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</si>
  <si>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</si>
  <si>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</si>
  <si>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</si>
  <si>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</si>
  <si>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</si>
  <si>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</si>
  <si>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</si>
  <si>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</si>
  <si>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</si>
  <si>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</si>
  <si>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</si>
  <si>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</si>
  <si>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</si>
  <si>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</si>
  <si>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</si>
  <si>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</si>
  <si>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</si>
  <si>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</si>
  <si>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</si>
  <si>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</si>
  <si>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</si>
  <si>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</si>
  <si>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</si>
  <si>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</si>
  <si>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</si>
  <si>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</si>
  <si>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</si>
  <si>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</si>
  <si>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</si>
  <si>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</si>
  <si>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</si>
  <si>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</si>
  <si>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</si>
  <si>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</si>
  <si>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</si>
  <si>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</si>
  <si>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</si>
  <si>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</si>
  <si>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</si>
  <si>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</si>
  <si>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</si>
  <si>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</si>
  <si>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</si>
  <si>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</si>
  <si>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</si>
  <si>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</si>
  <si>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</si>
  <si>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</si>
  <si>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</si>
  <si>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</si>
  <si>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</si>
  <si>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</si>
  <si>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</si>
  <si>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</si>
  <si>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</si>
  <si>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</si>
  <si>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</si>
  <si>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</si>
  <si>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</si>
  <si>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</si>
  <si>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</si>
  <si>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</si>
  <si>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</si>
  <si>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</si>
  <si>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</si>
  <si>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</si>
  <si>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</si>
  <si>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</si>
  <si>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</si>
  <si>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</si>
  <si>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</si>
  <si>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</si>
  <si>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</si>
  <si>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</si>
  <si>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</si>
  <si>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</si>
  <si>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</si>
  <si>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</si>
  <si>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</si>
  <si>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</si>
  <si>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</si>
  <si>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</si>
  <si>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</si>
  <si>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</si>
  <si>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</si>
  <si>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</si>
  <si>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</si>
  <si>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</si>
  <si>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</si>
  <si>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</si>
  <si>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</si>
  <si>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</si>
  <si>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</si>
  <si>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</si>
  <si>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</si>
  <si>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</si>
  <si>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</si>
  <si>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</si>
  <si>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</si>
  <si>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</si>
  <si>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</si>
  <si>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</si>
  <si>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</si>
  <si>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</si>
  <si>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</si>
  <si>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</si>
  <si>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</si>
  <si>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</si>
  <si>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</si>
  <si>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</si>
  <si>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</si>
  <si>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</si>
  <si>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</si>
  <si>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</si>
  <si>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</si>
  <si>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</si>
  <si>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</si>
  <si>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</si>
  <si>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</si>
  <si>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</si>
  <si>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</si>
  <si>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</si>
  <si>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</si>
  <si>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</si>
  <si>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</si>
  <si>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</si>
  <si>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</si>
  <si>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</si>
  <si>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</si>
  <si>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</si>
  <si>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</si>
  <si>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</si>
  <si>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</si>
  <si>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</si>
  <si>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</si>
  <si>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</si>
  <si>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</si>
  <si>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</si>
  <si>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</si>
  <si>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</si>
  <si>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</si>
  <si>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</si>
  <si>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</si>
  <si>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</si>
  <si>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</si>
  <si>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</si>
  <si>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</si>
  <si>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</si>
  <si>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</si>
  <si>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</si>
  <si>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</si>
  <si>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</si>
  <si>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</si>
  <si>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</si>
  <si>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</si>
  <si>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</si>
  <si>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</si>
  <si>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</si>
  <si>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</si>
  <si>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</si>
  <si>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</si>
  <si>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</si>
  <si>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</si>
  <si>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</si>
  <si>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</si>
  <si>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</si>
  <si>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</si>
  <si>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</si>
  <si>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</si>
  <si>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</si>
  <si>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</si>
  <si>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</si>
  <si>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</si>
  <si>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</si>
  <si>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</si>
  <si>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</si>
  <si>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</si>
  <si>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</si>
  <si>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</si>
  <si>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</si>
  <si>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</si>
  <si>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</si>
  <si>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</si>
  <si>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</si>
  <si>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</si>
  <si>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</si>
  <si>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</si>
  <si>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</si>
  <si>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</si>
  <si>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</si>
  <si>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</si>
  <si>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</si>
  <si>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</si>
  <si>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</si>
  <si>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</si>
  <si>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</si>
  <si>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</si>
  <si>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</si>
  <si>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</si>
  <si>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</si>
  <si>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</si>
  <si>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</si>
  <si>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</si>
  <si>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</si>
  <si>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</si>
  <si>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</si>
  <si>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</si>
  <si>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</si>
  <si>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</si>
  <si>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</si>
  <si>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</si>
  <si>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</si>
  <si>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</si>
  <si>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</si>
  <si>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</si>
  <si>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</si>
  <si>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</si>
  <si>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</si>
  <si>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</si>
  <si>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</si>
  <si>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</si>
  <si>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</si>
  <si>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</si>
  <si>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</si>
  <si>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</si>
  <si>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</si>
  <si>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</si>
  <si>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</si>
  <si>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</si>
  <si>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</si>
  <si>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</si>
  <si>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</si>
  <si>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</si>
  <si>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</si>
  <si>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</si>
  <si>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</si>
  <si>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</si>
  <si>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</si>
  <si>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</si>
  <si>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</si>
  <si>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</si>
  <si>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</si>
  <si>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</si>
  <si>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</si>
  <si>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</si>
  <si>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</si>
  <si>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</si>
  <si>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</si>
  <si>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</si>
  <si>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</si>
  <si>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</si>
  <si>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</si>
  <si>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</si>
  <si>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</si>
  <si>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</si>
  <si>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</si>
  <si>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</si>
  <si>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</si>
  <si>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</si>
  <si>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</si>
  <si>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</si>
  <si>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</si>
  <si>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</si>
  <si>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</si>
  <si>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</si>
  <si>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</si>
  <si>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</si>
  <si>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</si>
  <si>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</si>
  <si>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</si>
  <si>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</si>
  <si>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</si>
  <si>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</si>
  <si>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</si>
  <si>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</si>
  <si>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</si>
  <si>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</si>
  <si>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</si>
  <si>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</si>
  <si>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</si>
  <si>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</si>
  <si>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</si>
  <si>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</si>
  <si>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</si>
  <si>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</si>
  <si>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</si>
  <si>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</si>
  <si>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</si>
  <si>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</si>
  <si>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</si>
  <si>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</si>
  <si>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</si>
  <si>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</si>
  <si>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</si>
  <si>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</si>
  <si>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</si>
  <si>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</si>
  <si>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</si>
  <si>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</si>
  <si>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</si>
  <si>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</si>
  <si>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</si>
  <si>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</si>
  <si>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</si>
  <si>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</si>
  <si>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</si>
  <si>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</si>
  <si>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</si>
  <si>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</si>
  <si>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</si>
  <si>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</si>
  <si>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</si>
  <si>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</si>
  <si>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</si>
  <si>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</si>
  <si>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</si>
  <si>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</si>
  <si>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</si>
  <si>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</si>
  <si>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</si>
  <si>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</si>
  <si>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</si>
  <si>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</si>
  <si>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</si>
  <si>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</si>
  <si>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</si>
  <si>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</si>
  <si>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</si>
  <si>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</si>
  <si>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与房产证证载一致</t>
  </si>
  <si>
    <t>万元</t>
  </si>
  <si>
    <t>总价</t>
  </si>
  <si>
    <t>否</t>
  </si>
  <si>
    <t>利息：取LPR加浮动点数</t>
  </si>
  <si>
    <t>收益法</t>
  </si>
  <si>
    <t>楼层</t>
    <phoneticPr fontId="20" type="noConversion"/>
  </si>
  <si>
    <t>高区</t>
    <phoneticPr fontId="20" type="noConversion"/>
  </si>
  <si>
    <t>中区</t>
    <phoneticPr fontId="20" type="noConversion"/>
  </si>
  <si>
    <t>低区</t>
    <phoneticPr fontId="20" type="noConversion"/>
  </si>
  <si>
    <t>中区</t>
    <phoneticPr fontId="20" type="noConversion"/>
  </si>
  <si>
    <t>平层</t>
  </si>
  <si>
    <t>平层</t>
    <phoneticPr fontId="20" type="noConversion"/>
  </si>
  <si>
    <t>复式</t>
    <phoneticPr fontId="20" type="noConversion"/>
  </si>
  <si>
    <t>未包含在土地购买价格中</t>
  </si>
  <si>
    <t>已包含在土地取得成本中</t>
  </si>
  <si>
    <t>50-60（含）</t>
  </si>
  <si>
    <t>住宅</t>
    <phoneticPr fontId="20" type="noConversion"/>
  </si>
  <si>
    <t>南北</t>
    <phoneticPr fontId="20" type="noConversion"/>
  </si>
  <si>
    <r>
      <t>2</t>
    </r>
    <r>
      <rPr>
        <sz val="11"/>
        <rFont val="宋体"/>
        <family val="3"/>
        <charset val="134"/>
      </rPr>
      <t>层</t>
    </r>
    <phoneticPr fontId="20" type="noConversion"/>
  </si>
  <si>
    <t>普装</t>
    <phoneticPr fontId="20" type="noConversion"/>
  </si>
  <si>
    <t>情况4</t>
  </si>
  <si>
    <t>转让取得</t>
  </si>
  <si>
    <t>个人住宅（满五唯一有凭证）</t>
  </si>
  <si>
    <t>抵押</t>
  </si>
  <si>
    <t>房地产抵押价值</t>
  </si>
  <si>
    <t>珠江帝景</t>
  </si>
  <si>
    <t>平乐园</t>
  </si>
  <si>
    <t>SOHO现代城</t>
  </si>
  <si>
    <t>商业</t>
  </si>
  <si>
    <t>30-40（含）</t>
  </si>
  <si>
    <t>七通</t>
  </si>
  <si>
    <t>双面临街</t>
  </si>
  <si>
    <t>大</t>
  </si>
  <si>
    <t>1层</t>
  </si>
  <si>
    <t>住宅底商</t>
  </si>
  <si>
    <t>不可餐饮</t>
  </si>
  <si>
    <t>标准</t>
  </si>
  <si>
    <r>
      <t>04</t>
    </r>
    <r>
      <rPr>
        <sz val="11"/>
        <rFont val="宋体"/>
        <family val="3"/>
        <charset val="134"/>
      </rPr>
      <t>年</t>
    </r>
  </si>
  <si>
    <t>商业</t>
    <phoneticPr fontId="4" type="noConversion"/>
  </si>
  <si>
    <t>单面临街</t>
  </si>
  <si>
    <t>较好</t>
    <phoneticPr fontId="4" type="noConversion"/>
  </si>
  <si>
    <t>超高</t>
  </si>
  <si>
    <r>
      <t>4.8</t>
    </r>
    <r>
      <rPr>
        <sz val="11"/>
        <rFont val="宋体"/>
        <family val="3"/>
        <charset val="134"/>
      </rPr>
      <t>米</t>
    </r>
    <phoneticPr fontId="4" type="noConversion"/>
  </si>
  <si>
    <t>1-2层</t>
  </si>
  <si>
    <t>超高</t>
    <phoneticPr fontId="4" type="noConversion"/>
  </si>
  <si>
    <t>多面临街</t>
    <phoneticPr fontId="4" type="noConversion"/>
  </si>
  <si>
    <t>双面临街</t>
    <phoneticPr fontId="4" type="noConversion"/>
  </si>
  <si>
    <t>单面临街</t>
    <phoneticPr fontId="4" type="noConversion"/>
  </si>
  <si>
    <t>临街坊路</t>
    <phoneticPr fontId="4" type="noConversion"/>
  </si>
  <si>
    <t>珠江帝景</t>
    <phoneticPr fontId="4" type="noConversion"/>
  </si>
  <si>
    <t>平乐园</t>
    <phoneticPr fontId="4" type="noConversion"/>
  </si>
  <si>
    <t>SOHO现代城</t>
    <phoneticPr fontId="4" type="noConversion"/>
  </si>
  <si>
    <t>好</t>
    <phoneticPr fontId="4" type="noConversion"/>
  </si>
  <si>
    <r>
      <t>04</t>
    </r>
    <r>
      <rPr>
        <sz val="11"/>
        <rFont val="宋体"/>
        <family val="3"/>
        <charset val="134"/>
      </rPr>
      <t>年</t>
    </r>
    <phoneticPr fontId="4" type="noConversion"/>
  </si>
  <si>
    <t>商业</t>
    <phoneticPr fontId="25" type="noConversion"/>
  </si>
  <si>
    <t>一般</t>
    <phoneticPr fontId="4" type="noConversion"/>
  </si>
  <si>
    <t>大</t>
    <phoneticPr fontId="4" type="noConversion"/>
  </si>
  <si>
    <t>较大</t>
    <phoneticPr fontId="4" type="noConversion"/>
  </si>
  <si>
    <r>
      <t>1</t>
    </r>
    <r>
      <rPr>
        <sz val="11"/>
        <color indexed="8"/>
        <rFont val="宋体"/>
        <family val="3"/>
        <charset val="134"/>
      </rPr>
      <t>层</t>
    </r>
    <phoneticPr fontId="4" type="noConversion"/>
  </si>
  <si>
    <t>商业街商铺</t>
    <phoneticPr fontId="4" type="noConversion"/>
  </si>
  <si>
    <t>独栋商业楼</t>
    <phoneticPr fontId="4" type="noConversion"/>
  </si>
  <si>
    <t>写字楼底商</t>
    <phoneticPr fontId="4" type="noConversion"/>
  </si>
  <si>
    <t>住宅底商</t>
    <phoneticPr fontId="4" type="noConversion"/>
  </si>
  <si>
    <t>可餐饮</t>
    <phoneticPr fontId="4" type="noConversion"/>
  </si>
  <si>
    <t>不可餐饮</t>
    <phoneticPr fontId="4" type="noConversion"/>
  </si>
  <si>
    <t>标准</t>
    <phoneticPr fontId="4" type="noConversion"/>
  </si>
  <si>
    <t>较大</t>
  </si>
  <si>
    <r>
      <t>13</t>
    </r>
    <r>
      <rPr>
        <sz val="11"/>
        <rFont val="宋体"/>
        <family val="3"/>
        <charset val="134"/>
      </rPr>
      <t>年</t>
    </r>
    <phoneticPr fontId="4" type="noConversion"/>
  </si>
  <si>
    <r>
      <rPr>
        <sz val="11"/>
        <color indexed="8"/>
        <rFont val="宋体"/>
        <family val="3"/>
        <charset val="134"/>
      </rPr>
      <t>负</t>
    </r>
    <r>
      <rPr>
        <sz val="11"/>
        <color indexed="8"/>
        <rFont val="Arial"/>
        <family val="2"/>
      </rPr>
      <t>1</t>
    </r>
    <r>
      <rPr>
        <sz val="11"/>
        <color indexed="8"/>
        <rFont val="宋体"/>
        <family val="3"/>
        <charset val="134"/>
      </rPr>
      <t>至</t>
    </r>
    <r>
      <rPr>
        <sz val="11"/>
        <color indexed="8"/>
        <rFont val="Arial"/>
        <family val="2"/>
      </rPr>
      <t>1</t>
    </r>
    <r>
      <rPr>
        <sz val="11"/>
        <color indexed="8"/>
        <rFont val="宋体"/>
        <family val="3"/>
        <charset val="134"/>
      </rPr>
      <t>层</t>
    </r>
    <phoneticPr fontId="4" type="noConversion"/>
  </si>
  <si>
    <t>1-2层</t>
    <phoneticPr fontId="4" type="noConversion"/>
  </si>
  <si>
    <t>负1至1层</t>
  </si>
  <si>
    <t>有租约不采用</t>
  </si>
  <si>
    <t>钢混</t>
  </si>
  <si>
    <t>非生产用房</t>
  </si>
  <si>
    <t>比较法-商业</t>
  </si>
  <si>
    <t>售价</t>
    <phoneticPr fontId="146" type="noConversion"/>
  </si>
  <si>
    <t>租金</t>
    <phoneticPr fontId="146" type="noConversion"/>
  </si>
  <si>
    <t>批发零售用地</t>
  </si>
  <si>
    <t>不临58条商业街</t>
  </si>
  <si>
    <t>楼层修正</t>
  </si>
  <si>
    <r>
      <t>5.5</t>
    </r>
    <r>
      <rPr>
        <sz val="11"/>
        <color indexed="8"/>
        <rFont val="宋体"/>
        <family val="3"/>
        <charset val="134"/>
      </rPr>
      <t>米</t>
    </r>
    <phoneticPr fontId="25" type="noConversion"/>
  </si>
  <si>
    <t>10-20（含）</t>
  </si>
  <si>
    <t>20-30（含）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</si>
</sst>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4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19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184" fontId="39" fillId="0" borderId="67" xfId="8" applyNumberFormat="1" applyFont="1" applyFill="1" applyBorder="1" applyAlignment="1" applyProtection="1">
      <alignment horizontal="left" vertical="center" wrapText="1"/>
      <protection locked="0"/>
    </xf>
    <xf numFmtId="49" fontId="39" fillId="2" borderId="9" xfId="8" applyNumberFormat="1" applyFont="1" applyFill="1" applyBorder="1" applyAlignment="1" applyProtection="1">
      <alignment horizontal="left" vertical="center" wrapText="1"/>
      <protection locked="0"/>
    </xf>
    <xf numFmtId="49" fontId="39" fillId="2" borderId="3" xfId="8" applyNumberFormat="1" applyFont="1" applyFill="1" applyBorder="1" applyAlignment="1" applyProtection="1">
      <alignment horizontal="left" vertical="center" wrapText="1"/>
      <protection locked="0"/>
    </xf>
    <xf numFmtId="0" fontId="39" fillId="0" borderId="3" xfId="8" applyNumberFormat="1" applyFont="1" applyFill="1" applyBorder="1" applyAlignment="1" applyProtection="1">
      <alignment horizontal="left" vertical="center" wrapText="1"/>
      <protection locked="0"/>
    </xf>
    <xf numFmtId="0" fontId="46" fillId="0" borderId="19" xfId="8" applyNumberFormat="1" applyFont="1" applyFill="1" applyBorder="1" applyAlignment="1" applyProtection="1">
      <alignment horizontal="left" vertical="center" wrapText="1"/>
      <protection locked="0"/>
    </xf>
    <xf numFmtId="49" fontId="46" fillId="0" borderId="21" xfId="8" applyNumberFormat="1" applyFont="1" applyFill="1" applyBorder="1" applyAlignment="1" applyProtection="1">
      <alignment horizontal="left" vertical="center" wrapText="1"/>
      <protection locked="0"/>
    </xf>
    <xf numFmtId="0" fontId="46" fillId="2" borderId="23" xfId="8" applyNumberFormat="1" applyFont="1" applyFill="1" applyBorder="1" applyAlignment="1" applyProtection="1">
      <alignment horizontal="left" vertical="center" wrapText="1"/>
      <protection locked="0"/>
    </xf>
    <xf numFmtId="49" fontId="46" fillId="0" borderId="25" xfId="8" applyNumberFormat="1" applyFont="1" applyFill="1" applyBorder="1" applyAlignment="1" applyProtection="1">
      <alignment horizontal="left" vertical="center" wrapText="1"/>
      <protection locked="0"/>
    </xf>
    <xf numFmtId="0" fontId="46" fillId="2" borderId="26" xfId="8" applyNumberFormat="1" applyFont="1" applyFill="1" applyBorder="1" applyAlignment="1" applyProtection="1">
      <alignment horizontal="left" vertical="center" wrapText="1"/>
      <protection locked="0"/>
    </xf>
    <xf numFmtId="49" fontId="46" fillId="2" borderId="25" xfId="8" applyNumberFormat="1" applyFont="1" applyFill="1" applyBorder="1" applyAlignment="1" applyProtection="1">
      <alignment horizontal="left" vertical="center" wrapText="1"/>
      <protection locked="0"/>
    </xf>
    <xf numFmtId="49" fontId="46" fillId="0" borderId="27" xfId="8" applyNumberFormat="1" applyFont="1" applyFill="1" applyBorder="1" applyAlignment="1" applyProtection="1">
      <alignment horizontal="left" vertical="center" wrapText="1"/>
      <protection locked="0"/>
    </xf>
    <xf numFmtId="49" fontId="46" fillId="2" borderId="7" xfId="8" applyNumberFormat="1" applyFont="1" applyFill="1" applyBorder="1" applyAlignment="1" applyProtection="1">
      <alignment horizontal="left" vertical="center" wrapText="1"/>
      <protection locked="0"/>
    </xf>
    <xf numFmtId="0" fontId="46" fillId="2" borderId="4" xfId="8" applyFont="1" applyFill="1" applyBorder="1" applyAlignment="1" applyProtection="1">
      <alignment horizontal="left" vertical="center" wrapText="1"/>
      <protection locked="0"/>
    </xf>
    <xf numFmtId="0" fontId="46" fillId="2" borderId="3" xfId="8" applyFont="1" applyFill="1" applyBorder="1" applyAlignment="1" applyProtection="1">
      <alignment horizontal="left" vertical="center" wrapText="1"/>
      <protection locked="0"/>
    </xf>
    <xf numFmtId="9" fontId="39" fillId="0" borderId="19" xfId="8" applyNumberFormat="1" applyFont="1" applyFill="1" applyBorder="1" applyAlignment="1" applyProtection="1">
      <alignment horizontal="left" vertical="center" wrapText="1"/>
      <protection locked="0"/>
    </xf>
    <xf numFmtId="0" fontId="70" fillId="3" borderId="47" xfId="8" applyNumberFormat="1" applyFont="1" applyFill="1" applyBorder="1" applyAlignment="1" applyProtection="1">
      <alignment horizontal="left" vertical="center" wrapText="1"/>
      <protection locked="0"/>
    </xf>
    <xf numFmtId="0" fontId="46" fillId="2" borderId="19" xfId="8" applyNumberFormat="1" applyFont="1" applyFill="1" applyBorder="1" applyAlignment="1" applyProtection="1">
      <alignment horizontal="left" vertical="center" wrapText="1"/>
      <protection locked="0"/>
    </xf>
    <xf numFmtId="0" fontId="39" fillId="2" borderId="23" xfId="8" applyNumberFormat="1" applyFont="1" applyFill="1" applyBorder="1" applyAlignment="1" applyProtection="1">
      <alignment horizontal="left" vertical="center" wrapText="1"/>
      <protection locked="0"/>
    </xf>
    <xf numFmtId="0" fontId="44" fillId="0" borderId="19" xfId="8" applyNumberFormat="1" applyFont="1" applyFill="1" applyBorder="1" applyAlignment="1" applyProtection="1">
      <alignment horizontal="left" vertical="center" wrapText="1"/>
      <protection locked="0"/>
    </xf>
    <xf numFmtId="49" fontId="135" fillId="2" borderId="28" xfId="8" applyNumberFormat="1" applyFont="1" applyFill="1" applyBorder="1" applyAlignment="1" applyProtection="1">
      <alignment horizontal="left" vertical="center" wrapText="1"/>
      <protection locked="0"/>
    </xf>
    <xf numFmtId="0" fontId="92" fillId="0" borderId="19" xfId="8" applyNumberFormat="1" applyFont="1" applyFill="1" applyBorder="1" applyAlignment="1" applyProtection="1">
      <alignment horizontal="left" vertical="center" wrapText="1"/>
      <protection locked="0"/>
    </xf>
    <xf numFmtId="0" fontId="93" fillId="0" borderId="0" xfId="8">
      <alignment vertical="center"/>
    </xf>
    <xf numFmtId="0" fontId="93" fillId="0" borderId="0" xfId="8" applyFont="1">
      <alignmen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221" fillId="0" borderId="7" xfId="8" applyFont="1" applyFill="1" applyBorder="1" applyAlignment="1" applyProtection="1">
      <alignment horizontal="left" vertical="center" wrapText="1"/>
      <protection locked="0"/>
    </xf>
    <xf numFmtId="0" fontId="176" fillId="0" borderId="6" xfId="8"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8" applyFont="1" applyFill="1" applyBorder="1" applyAlignment="1" applyProtection="1">
      <alignment horizontal="left" vertical="center" wrapText="1"/>
      <protection locked="0"/>
    </xf>
    <xf numFmtId="0" fontId="176" fillId="0" borderId="2" xfId="8"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360877</xdr:colOff>
      <xdr:row>11</xdr:row>
      <xdr:rowOff>37881</xdr:rowOff>
    </xdr:to>
    <xdr:pic>
      <xdr:nvPicPr>
        <xdr:cNvPr id="3" name="图片 2">
          <a:extLst>
            <a:ext uri="{FF2B5EF4-FFF2-40B4-BE49-F238E27FC236}">
              <a16:creationId xmlns="" xmlns:a16="http://schemas.microsoft.com/office/drawing/2014/main" id="{00000000-0008-0000-2600-000006000000}"/>
            </a:ext>
          </a:extLst>
        </xdr:cNvPr>
        <xdr:cNvPicPr>
          <a:picLocks noChangeAspect="1"/>
        </xdr:cNvPicPr>
      </xdr:nvPicPr>
      <xdr:blipFill>
        <a:blip xmlns:r="http://schemas.openxmlformats.org/officeDocument/2006/relationships" r:embed="rId1"/>
        <a:stretch>
          <a:fillRect/>
        </a:stretch>
      </xdr:blipFill>
      <xdr:spPr>
        <a:xfrm>
          <a:off x="0" y="4972050"/>
          <a:ext cx="8590477" cy="1752381"/>
        </a:xfrm>
        <a:prstGeom prst="rect">
          <a:avLst/>
        </a:prstGeom>
      </xdr:spPr>
    </xdr:pic>
    <xdr:clientData/>
  </xdr:twoCellAnchor>
  <xdr:twoCellAnchor editAs="oneCell">
    <xdr:from>
      <xdr:col>0</xdr:col>
      <xdr:colOff>0</xdr:colOff>
      <xdr:row>12</xdr:row>
      <xdr:rowOff>0</xdr:rowOff>
    </xdr:from>
    <xdr:to>
      <xdr:col>12</xdr:col>
      <xdr:colOff>341829</xdr:colOff>
      <xdr:row>22</xdr:row>
      <xdr:rowOff>9310</xdr:rowOff>
    </xdr:to>
    <xdr:pic>
      <xdr:nvPicPr>
        <xdr:cNvPr id="4" name="图片 3">
          <a:extLst>
            <a:ext uri="{FF2B5EF4-FFF2-40B4-BE49-F238E27FC236}">
              <a16:creationId xmlns="" xmlns:a16="http://schemas.microsoft.com/office/drawing/2014/main" id="{00000000-0008-0000-2600-000007000000}"/>
            </a:ext>
          </a:extLst>
        </xdr:cNvPr>
        <xdr:cNvPicPr>
          <a:picLocks noChangeAspect="1"/>
        </xdr:cNvPicPr>
      </xdr:nvPicPr>
      <xdr:blipFill>
        <a:blip xmlns:r="http://schemas.openxmlformats.org/officeDocument/2006/relationships" r:embed="rId2"/>
        <a:stretch>
          <a:fillRect/>
        </a:stretch>
      </xdr:blipFill>
      <xdr:spPr>
        <a:xfrm>
          <a:off x="0" y="6858000"/>
          <a:ext cx="8571429" cy="1723810"/>
        </a:xfrm>
        <a:prstGeom prst="rect">
          <a:avLst/>
        </a:prstGeom>
      </xdr:spPr>
    </xdr:pic>
    <xdr:clientData/>
  </xdr:twoCellAnchor>
  <xdr:twoCellAnchor editAs="oneCell">
    <xdr:from>
      <xdr:col>0</xdr:col>
      <xdr:colOff>19050</xdr:colOff>
      <xdr:row>22</xdr:row>
      <xdr:rowOff>161925</xdr:rowOff>
    </xdr:from>
    <xdr:to>
      <xdr:col>12</xdr:col>
      <xdr:colOff>170403</xdr:colOff>
      <xdr:row>32</xdr:row>
      <xdr:rowOff>75997</xdr:rowOff>
    </xdr:to>
    <xdr:pic>
      <xdr:nvPicPr>
        <xdr:cNvPr id="5" name="图片 4">
          <a:extLst>
            <a:ext uri="{FF2B5EF4-FFF2-40B4-BE49-F238E27FC236}">
              <a16:creationId xmlns="" xmlns:a16="http://schemas.microsoft.com/office/drawing/2014/main" id="{00000000-0008-0000-2600-000008000000}"/>
            </a:ext>
          </a:extLst>
        </xdr:cNvPr>
        <xdr:cNvPicPr>
          <a:picLocks noChangeAspect="1"/>
        </xdr:cNvPicPr>
      </xdr:nvPicPr>
      <xdr:blipFill>
        <a:blip xmlns:r="http://schemas.openxmlformats.org/officeDocument/2006/relationships" r:embed="rId3"/>
        <a:stretch>
          <a:fillRect/>
        </a:stretch>
      </xdr:blipFill>
      <xdr:spPr>
        <a:xfrm>
          <a:off x="19050" y="8734425"/>
          <a:ext cx="8380953" cy="1628572"/>
        </a:xfrm>
        <a:prstGeom prst="rect">
          <a:avLst/>
        </a:prstGeom>
      </xdr:spPr>
    </xdr:pic>
    <xdr:clientData/>
  </xdr:twoCellAnchor>
  <xdr:twoCellAnchor editAs="oneCell">
    <xdr:from>
      <xdr:col>0</xdr:col>
      <xdr:colOff>0</xdr:colOff>
      <xdr:row>33</xdr:row>
      <xdr:rowOff>0</xdr:rowOff>
    </xdr:from>
    <xdr:to>
      <xdr:col>12</xdr:col>
      <xdr:colOff>265639</xdr:colOff>
      <xdr:row>42</xdr:row>
      <xdr:rowOff>75998</xdr:rowOff>
    </xdr:to>
    <xdr:pic>
      <xdr:nvPicPr>
        <xdr:cNvPr id="6" name="图片 5">
          <a:extLst>
            <a:ext uri="{FF2B5EF4-FFF2-40B4-BE49-F238E27FC236}">
              <a16:creationId xmlns="" xmlns:a16="http://schemas.microsoft.com/office/drawing/2014/main" id="{00000000-0008-0000-2600-000009000000}"/>
            </a:ext>
          </a:extLst>
        </xdr:cNvPr>
        <xdr:cNvPicPr>
          <a:picLocks noChangeAspect="1"/>
        </xdr:cNvPicPr>
      </xdr:nvPicPr>
      <xdr:blipFill>
        <a:blip xmlns:r="http://schemas.openxmlformats.org/officeDocument/2006/relationships" r:embed="rId4"/>
        <a:stretch>
          <a:fillRect/>
        </a:stretch>
      </xdr:blipFill>
      <xdr:spPr>
        <a:xfrm>
          <a:off x="0" y="10458450"/>
          <a:ext cx="8495239" cy="1619048"/>
        </a:xfrm>
        <a:prstGeom prst="rect">
          <a:avLst/>
        </a:prstGeom>
      </xdr:spPr>
    </xdr:pic>
    <xdr:clientData/>
  </xdr:twoCellAnchor>
  <xdr:twoCellAnchor editAs="oneCell">
    <xdr:from>
      <xdr:col>0</xdr:col>
      <xdr:colOff>0</xdr:colOff>
      <xdr:row>43</xdr:row>
      <xdr:rowOff>0</xdr:rowOff>
    </xdr:from>
    <xdr:to>
      <xdr:col>12</xdr:col>
      <xdr:colOff>256115</xdr:colOff>
      <xdr:row>62</xdr:row>
      <xdr:rowOff>75784</xdr:rowOff>
    </xdr:to>
    <xdr:pic>
      <xdr:nvPicPr>
        <xdr:cNvPr id="7" name="图片 6">
          <a:extLst>
            <a:ext uri="{FF2B5EF4-FFF2-40B4-BE49-F238E27FC236}">
              <a16:creationId xmlns="" xmlns:a16="http://schemas.microsoft.com/office/drawing/2014/main" id="{00000000-0008-0000-2600-00000A000000}"/>
            </a:ext>
          </a:extLst>
        </xdr:cNvPr>
        <xdr:cNvPicPr>
          <a:picLocks noChangeAspect="1"/>
        </xdr:cNvPicPr>
      </xdr:nvPicPr>
      <xdr:blipFill>
        <a:blip xmlns:r="http://schemas.openxmlformats.org/officeDocument/2006/relationships" r:embed="rId5"/>
        <a:stretch>
          <a:fillRect/>
        </a:stretch>
      </xdr:blipFill>
      <xdr:spPr>
        <a:xfrm>
          <a:off x="0" y="12172950"/>
          <a:ext cx="8485715" cy="3333334"/>
        </a:xfrm>
        <a:prstGeom prst="rect">
          <a:avLst/>
        </a:prstGeom>
      </xdr:spPr>
    </xdr:pic>
    <xdr:clientData/>
  </xdr:twoCellAnchor>
  <xdr:twoCellAnchor editAs="oneCell">
    <xdr:from>
      <xdr:col>0</xdr:col>
      <xdr:colOff>0</xdr:colOff>
      <xdr:row>63</xdr:row>
      <xdr:rowOff>0</xdr:rowOff>
    </xdr:from>
    <xdr:to>
      <xdr:col>12</xdr:col>
      <xdr:colOff>122782</xdr:colOff>
      <xdr:row>73</xdr:row>
      <xdr:rowOff>37881</xdr:rowOff>
    </xdr:to>
    <xdr:pic>
      <xdr:nvPicPr>
        <xdr:cNvPr id="8" name="图片 7">
          <a:extLst>
            <a:ext uri="{FF2B5EF4-FFF2-40B4-BE49-F238E27FC236}">
              <a16:creationId xmlns="" xmlns:a16="http://schemas.microsoft.com/office/drawing/2014/main" id="{00000000-0008-0000-2600-00000B000000}"/>
            </a:ext>
          </a:extLst>
        </xdr:cNvPr>
        <xdr:cNvPicPr>
          <a:picLocks noChangeAspect="1"/>
        </xdr:cNvPicPr>
      </xdr:nvPicPr>
      <xdr:blipFill>
        <a:blip xmlns:r="http://schemas.openxmlformats.org/officeDocument/2006/relationships" r:embed="rId6"/>
        <a:stretch>
          <a:fillRect/>
        </a:stretch>
      </xdr:blipFill>
      <xdr:spPr>
        <a:xfrm>
          <a:off x="0" y="15601950"/>
          <a:ext cx="8352382" cy="1752381"/>
        </a:xfrm>
        <a:prstGeom prst="rect">
          <a:avLst/>
        </a:prstGeom>
      </xdr:spPr>
    </xdr:pic>
    <xdr:clientData/>
  </xdr:twoCellAnchor>
  <xdr:twoCellAnchor editAs="oneCell">
    <xdr:from>
      <xdr:col>0</xdr:col>
      <xdr:colOff>0</xdr:colOff>
      <xdr:row>74</xdr:row>
      <xdr:rowOff>0</xdr:rowOff>
    </xdr:from>
    <xdr:to>
      <xdr:col>5</xdr:col>
      <xdr:colOff>123381</xdr:colOff>
      <xdr:row>92</xdr:row>
      <xdr:rowOff>132948</xdr:rowOff>
    </xdr:to>
    <xdr:pic>
      <xdr:nvPicPr>
        <xdr:cNvPr id="9" name="图片 8">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7"/>
        <a:stretch>
          <a:fillRect/>
        </a:stretch>
      </xdr:blipFill>
      <xdr:spPr>
        <a:xfrm>
          <a:off x="0" y="17487900"/>
          <a:ext cx="3552381" cy="3219048"/>
        </a:xfrm>
        <a:prstGeom prst="rect">
          <a:avLst/>
        </a:prstGeom>
      </xdr:spPr>
    </xdr:pic>
    <xdr:clientData/>
  </xdr:twoCellAnchor>
  <xdr:twoCellAnchor editAs="oneCell">
    <xdr:from>
      <xdr:col>0</xdr:col>
      <xdr:colOff>1</xdr:colOff>
      <xdr:row>94</xdr:row>
      <xdr:rowOff>0</xdr:rowOff>
    </xdr:from>
    <xdr:to>
      <xdr:col>11</xdr:col>
      <xdr:colOff>467775</xdr:colOff>
      <xdr:row>118</xdr:row>
      <xdr:rowOff>28575</xdr:rowOff>
    </xdr:to>
    <xdr:pic>
      <xdr:nvPicPr>
        <xdr:cNvPr id="10" name="图片 9">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8"/>
        <a:stretch>
          <a:fillRect/>
        </a:stretch>
      </xdr:blipFill>
      <xdr:spPr>
        <a:xfrm>
          <a:off x="1" y="20916900"/>
          <a:ext cx="8011574" cy="4143375"/>
        </a:xfrm>
        <a:prstGeom prst="rect">
          <a:avLst/>
        </a:prstGeom>
      </xdr:spPr>
    </xdr:pic>
    <xdr:clientData/>
  </xdr:twoCellAnchor>
  <xdr:twoCellAnchor editAs="oneCell">
    <xdr:from>
      <xdr:col>0</xdr:col>
      <xdr:colOff>0</xdr:colOff>
      <xdr:row>120</xdr:row>
      <xdr:rowOff>0</xdr:rowOff>
    </xdr:from>
    <xdr:to>
      <xdr:col>11</xdr:col>
      <xdr:colOff>653979</xdr:colOff>
      <xdr:row>145</xdr:row>
      <xdr:rowOff>27943</xdr:rowOff>
    </xdr:to>
    <xdr:pic>
      <xdr:nvPicPr>
        <xdr:cNvPr id="11" name="图片 10">
          <a:extLst>
            <a:ext uri="{FF2B5EF4-FFF2-40B4-BE49-F238E27FC236}">
              <a16:creationId xmlns="" xmlns:a16="http://schemas.microsoft.com/office/drawing/2014/main" id="{00000000-0008-0000-2600-000005000000}"/>
            </a:ext>
          </a:extLst>
        </xdr:cNvPr>
        <xdr:cNvPicPr>
          <a:picLocks noChangeAspect="1"/>
        </xdr:cNvPicPr>
      </xdr:nvPicPr>
      <xdr:blipFill>
        <a:blip xmlns:r="http://schemas.openxmlformats.org/officeDocument/2006/relationships" r:embed="rId9"/>
        <a:stretch>
          <a:fillRect/>
        </a:stretch>
      </xdr:blipFill>
      <xdr:spPr>
        <a:xfrm>
          <a:off x="0" y="25374600"/>
          <a:ext cx="8197779" cy="4314193"/>
        </a:xfrm>
        <a:prstGeom prst="rect">
          <a:avLst/>
        </a:prstGeom>
      </xdr:spPr>
    </xdr:pic>
    <xdr:clientData/>
  </xdr:twoCellAnchor>
  <xdr:twoCellAnchor editAs="oneCell">
    <xdr:from>
      <xdr:col>0</xdr:col>
      <xdr:colOff>0</xdr:colOff>
      <xdr:row>147</xdr:row>
      <xdr:rowOff>19049</xdr:rowOff>
    </xdr:from>
    <xdr:to>
      <xdr:col>11</xdr:col>
      <xdr:colOff>656151</xdr:colOff>
      <xdr:row>171</xdr:row>
      <xdr:rowOff>170824</xdr:rowOff>
    </xdr:to>
    <xdr:pic>
      <xdr:nvPicPr>
        <xdr:cNvPr id="12" name="图片 11">
          <a:extLst>
            <a:ext uri="{FF2B5EF4-FFF2-40B4-BE49-F238E27FC236}">
              <a16:creationId xmlns="" xmlns:a16="http://schemas.microsoft.com/office/drawing/2014/main" id="{00000000-0008-0000-2600-00000C000000}"/>
            </a:ext>
          </a:extLst>
        </xdr:cNvPr>
        <xdr:cNvPicPr>
          <a:picLocks noChangeAspect="1"/>
        </xdr:cNvPicPr>
      </xdr:nvPicPr>
      <xdr:blipFill>
        <a:blip xmlns:r="http://schemas.openxmlformats.org/officeDocument/2006/relationships" r:embed="rId10"/>
        <a:stretch>
          <a:fillRect/>
        </a:stretch>
      </xdr:blipFill>
      <xdr:spPr>
        <a:xfrm>
          <a:off x="0" y="30022799"/>
          <a:ext cx="8199951" cy="4266575"/>
        </a:xfrm>
        <a:prstGeom prst="rect">
          <a:avLst/>
        </a:prstGeom>
      </xdr:spPr>
    </xdr:pic>
    <xdr:clientData/>
  </xdr:twoCellAnchor>
  <xdr:twoCellAnchor editAs="oneCell">
    <xdr:from>
      <xdr:col>0</xdr:col>
      <xdr:colOff>0</xdr:colOff>
      <xdr:row>173</xdr:row>
      <xdr:rowOff>0</xdr:rowOff>
    </xdr:from>
    <xdr:to>
      <xdr:col>8</xdr:col>
      <xdr:colOff>418362</xdr:colOff>
      <xdr:row>199</xdr:row>
      <xdr:rowOff>170872</xdr:rowOff>
    </xdr:to>
    <xdr:pic>
      <xdr:nvPicPr>
        <xdr:cNvPr id="13" name="图片 12">
          <a:extLst>
            <a:ext uri="{FF2B5EF4-FFF2-40B4-BE49-F238E27FC236}">
              <a16:creationId xmlns="" xmlns:a16="http://schemas.microsoft.com/office/drawing/2014/main" id="{00000000-0008-0000-2600-00000D000000}"/>
            </a:ext>
          </a:extLst>
        </xdr:cNvPr>
        <xdr:cNvPicPr>
          <a:picLocks noChangeAspect="1"/>
        </xdr:cNvPicPr>
      </xdr:nvPicPr>
      <xdr:blipFill>
        <a:blip xmlns:r="http://schemas.openxmlformats.org/officeDocument/2006/relationships" r:embed="rId11"/>
        <a:stretch>
          <a:fillRect/>
        </a:stretch>
      </xdr:blipFill>
      <xdr:spPr>
        <a:xfrm>
          <a:off x="0" y="34461450"/>
          <a:ext cx="5904762" cy="4628572"/>
        </a:xfrm>
        <a:prstGeom prst="rect">
          <a:avLst/>
        </a:prstGeom>
      </xdr:spPr>
    </xdr:pic>
    <xdr:clientData/>
  </xdr:twoCellAnchor>
  <xdr:twoCellAnchor editAs="oneCell">
    <xdr:from>
      <xdr:col>12</xdr:col>
      <xdr:colOff>66675</xdr:colOff>
      <xdr:row>93</xdr:row>
      <xdr:rowOff>57151</xdr:rowOff>
    </xdr:from>
    <xdr:to>
      <xdr:col>22</xdr:col>
      <xdr:colOff>581025</xdr:colOff>
      <xdr:row>112</xdr:row>
      <xdr:rowOff>171231</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296275" y="20802601"/>
          <a:ext cx="7372350" cy="33716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199;&#22823;&#26395;&#36335;&#21333;&#22871;&#26087;&#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199;&#22823;&#26395;&#363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收益法-酒店模型"/>
      <sheetName val="基准地价修正"/>
      <sheetName val="比较法-住宅"/>
      <sheetName val="比较法-商业"/>
      <sheetName val="收益法"/>
      <sheetName val="比较法-办公"/>
      <sheetName val="比较法-工业"/>
      <sheetName val="比较法-车位"/>
      <sheetName val="比较法-仓储"/>
      <sheetName val="土地比较法-住宅、综合"/>
      <sheetName val="土地比较法-工业"/>
      <sheetName val="比较法-办公更新"/>
      <sheetName val="因素修正幅度"/>
      <sheetName val="基准地价修正-因素"/>
      <sheetName val="区片价"/>
      <sheetName val="修正"/>
      <sheetName val="容积率修正"/>
      <sheetName val="地价"/>
      <sheetName val="存贷款利率"/>
      <sheetName val="典型户型修正"/>
      <sheetName val="Sheet1"/>
    </sheetNames>
    <sheetDataSet>
      <sheetData sheetId="0"/>
      <sheetData sheetId="1"/>
      <sheetData sheetId="2"/>
      <sheetData sheetId="3"/>
      <sheetData sheetId="4"/>
      <sheetData sheetId="5"/>
      <sheetData sheetId="6"/>
      <sheetData sheetId="7">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收益法-酒店模型</v>
          </cell>
        </row>
        <row r="21">
          <cell r="B21" t="str">
            <v>比较法-办公更新</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sheetData sheetId="10"/>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sheetData sheetId="13"/>
      <sheetData sheetId="14"/>
      <sheetData sheetId="15"/>
      <sheetData sheetId="16"/>
      <sheetData sheetId="17"/>
      <sheetData sheetId="18"/>
      <sheetData sheetId="19"/>
      <sheetData sheetId="20">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1">
        <row r="61">
          <cell r="A61" t="str">
            <v>交易情况</v>
          </cell>
          <cell r="C61" t="str">
            <v>正常</v>
          </cell>
        </row>
        <row r="63">
          <cell r="B63" t="str">
            <v>用途</v>
          </cell>
          <cell r="C63" t="str">
            <v>商业</v>
          </cell>
        </row>
        <row r="86">
          <cell r="B86" t="str">
            <v>临街状况</v>
          </cell>
          <cell r="C86" t="str">
            <v>多面临街</v>
          </cell>
          <cell r="D86" t="str">
            <v>双面临街</v>
          </cell>
          <cell r="E86" t="str">
            <v>单面临街</v>
          </cell>
          <cell r="F86" t="str">
            <v>临街坊路</v>
          </cell>
        </row>
        <row r="90">
          <cell r="B90" t="str">
            <v>人流量</v>
          </cell>
          <cell r="C90" t="str">
            <v>大</v>
          </cell>
          <cell r="D90" t="str">
            <v>较大</v>
          </cell>
          <cell r="E90" t="str">
            <v>一般</v>
          </cell>
        </row>
        <row r="92">
          <cell r="B92" t="str">
            <v>楼层</v>
          </cell>
          <cell r="C92" t="str">
            <v>1层</v>
          </cell>
          <cell r="D92" t="str">
            <v>1-2层</v>
          </cell>
          <cell r="E92" t="str">
            <v>1-3层</v>
          </cell>
        </row>
        <row r="100">
          <cell r="B100" t="str">
            <v>商业类型</v>
          </cell>
          <cell r="C100" t="str">
            <v>商业街商铺</v>
          </cell>
          <cell r="D100" t="str">
            <v>独栋商业楼</v>
          </cell>
          <cell r="E100" t="str">
            <v>写字楼底商</v>
          </cell>
          <cell r="F100" t="str">
            <v>住宅底商</v>
          </cell>
        </row>
        <row r="105">
          <cell r="B105" t="str">
            <v>建筑结构</v>
          </cell>
        </row>
        <row r="107">
          <cell r="B107" t="str">
            <v>公共部分装修</v>
          </cell>
        </row>
        <row r="112">
          <cell r="B112" t="str">
            <v>市政基础设施</v>
          </cell>
        </row>
        <row r="114">
          <cell r="B114" t="str">
            <v>业态</v>
          </cell>
          <cell r="C114" t="str">
            <v>可餐饮</v>
          </cell>
          <cell r="D114" t="str">
            <v>不可餐饮</v>
          </cell>
        </row>
        <row r="116">
          <cell r="B116" t="str">
            <v>层高</v>
          </cell>
          <cell r="C116" t="str">
            <v>超高</v>
          </cell>
          <cell r="D116" t="str">
            <v>标准</v>
          </cell>
        </row>
        <row r="120">
          <cell r="B120" t="str">
            <v>进深比</v>
          </cell>
        </row>
        <row r="122">
          <cell r="B122" t="str">
            <v>内部装修</v>
          </cell>
        </row>
      </sheetData>
      <sheetData sheetId="22"/>
      <sheetData sheetId="23">
        <row r="62">
          <cell r="A62" t="str">
            <v>交易情况</v>
          </cell>
          <cell r="C62" t="str">
            <v>正常</v>
          </cell>
        </row>
        <row r="64">
          <cell r="B64" t="str">
            <v>用途</v>
          </cell>
          <cell r="C64" t="str">
            <v>商住</v>
          </cell>
        </row>
        <row r="87">
          <cell r="B87" t="str">
            <v>毗邻道路的类型与等级</v>
          </cell>
        </row>
        <row r="89">
          <cell r="B89" t="str">
            <v>楼层</v>
          </cell>
        </row>
        <row r="91">
          <cell r="B91" t="str">
            <v>朝向</v>
          </cell>
        </row>
        <row r="101">
          <cell r="B101" t="str">
            <v>建筑类型</v>
          </cell>
          <cell r="C101" t="str">
            <v>商住楼</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sheetData sheetId="30"/>
      <sheetData sheetId="31"/>
      <sheetData sheetId="32"/>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sheetData sheetId="35"/>
      <sheetData sheetId="36"/>
      <sheetData sheetId="37">
        <row r="8">
          <cell r="B8" t="str">
            <v>朝向</v>
          </cell>
          <cell r="T8">
            <v>1</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cell r="C20">
            <v>1</v>
          </cell>
          <cell r="D20" t="str">
            <v>地下1</v>
          </cell>
        </row>
      </sheetData>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结果表"/>
      <sheetName val="成本法"/>
      <sheetName val="假设开发法"/>
      <sheetName val="收益法-酒店模型"/>
      <sheetName val="基准地价修正"/>
      <sheetName val="比较法-住宅"/>
      <sheetName val="比较法-商业"/>
      <sheetName val="收益法"/>
      <sheetName val="比较法-办公"/>
      <sheetName val="比较法-工业"/>
      <sheetName val="比较法-车位"/>
      <sheetName val="比较法-仓储"/>
      <sheetName val="土地比较法-住宅、综合"/>
      <sheetName val="土地比较法-工业"/>
      <sheetName val="比较法-办公更新"/>
      <sheetName val="因素修正幅度"/>
      <sheetName val="基准地价修正-因素"/>
      <sheetName val="区片价"/>
      <sheetName val="修正"/>
      <sheetName val="容积率修正"/>
      <sheetName val="地价"/>
      <sheetName val="存贷款利率"/>
      <sheetName val="典型户型修正"/>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2">
          <cell r="C12">
            <v>362.84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估价对象为北京市房地产，为XX所有。根据《》[]，估价对象建筑面积为362.84平方米。根据《》[]，估价对象（分摊）出让国有建设用地使用权面积为平方米。估价对象用途为。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2022年2月24日</v>
      </c>
    </row>
    <row r="10" spans="1:2">
      <c r="A10" s="1181" t="s">
        <v>1047</v>
      </c>
      <c r="B10" s="1168" t="str">
        <f>'预评函-1'!A13</f>
        <v>本次估价的“房地产价值”是指在正常市场情况下，在价值时点2022年2月24日，估价对象规划用途为，假定未设立法定优先受偿款下的房地产市场价值。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362.84</v>
      </c>
    </row>
    <row r="19" spans="1:2">
      <c r="A19" s="1181" t="s">
        <v>1056</v>
      </c>
      <c r="B19" s="1168">
        <f ca="1">'预评函-2（1）'!D7</f>
        <v>1701</v>
      </c>
    </row>
    <row r="20" spans="1:2">
      <c r="A20" s="1181" t="s">
        <v>1094</v>
      </c>
      <c r="B20" s="1168" t="str">
        <f>'预评函-2（1）'!C7</f>
        <v>总价（万元）</v>
      </c>
    </row>
    <row r="21" spans="1:2">
      <c r="A21" s="1181" t="s">
        <v>1057</v>
      </c>
      <c r="B21" s="1168">
        <f ca="1">'预评函-2（1）'!D9</f>
        <v>46880</v>
      </c>
    </row>
    <row r="22" spans="1:2">
      <c r="A22" s="1181" t="s">
        <v>1058</v>
      </c>
      <c r="B22" s="1168" t="str">
        <f ca="1">'预评函-2（1）'!D8</f>
        <v>壹仟柒佰零壹万元整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1701</v>
      </c>
    </row>
    <row r="30" spans="1:2">
      <c r="A30" s="1181" t="s">
        <v>1064</v>
      </c>
      <c r="B30" s="1168" t="str">
        <f ca="1">'预评函-2（1）'!D16</f>
        <v>壹仟柒佰零壹万元整</v>
      </c>
    </row>
    <row r="31" spans="1:2">
      <c r="A31" s="1181" t="s">
        <v>1065</v>
      </c>
      <c r="B31" s="1168" t="str">
        <f>'预评函-2（1）'!D18</f>
        <v>——</v>
      </c>
    </row>
    <row r="32" spans="1:2">
      <c r="A32" s="1181" t="s">
        <v>1066</v>
      </c>
      <c r="B32" s="1168" t="e">
        <f>'预评函-2（1）'!D19</f>
        <v>#VALUE!</v>
      </c>
    </row>
    <row r="33" spans="1:2">
      <c r="A33" s="1181" t="s">
        <v>1067</v>
      </c>
      <c r="B33" s="1168">
        <f ca="1">'预评函-2（1）'!D21</f>
        <v>1616</v>
      </c>
    </row>
    <row r="34" spans="1:2">
      <c r="A34" s="1181" t="s">
        <v>1068</v>
      </c>
      <c r="B34" s="1168">
        <f ca="1">'预评函-2（1）'!D23</f>
        <v>44538</v>
      </c>
    </row>
    <row r="35" spans="1:2">
      <c r="A35" s="1181" t="s">
        <v>1069</v>
      </c>
      <c r="B35" s="1168" t="str">
        <f ca="1">'预评函-2（1）'!D22</f>
        <v>壹仟陆佰壹拾陆万元整</v>
      </c>
    </row>
    <row r="36" spans="1:2">
      <c r="A36" s="1181" t="s">
        <v>1070</v>
      </c>
      <c r="B36" s="1168">
        <f>'预评函-2（2）'!C4</f>
        <v>0</v>
      </c>
    </row>
    <row r="37" spans="1:2">
      <c r="A37" s="1181" t="s">
        <v>1071</v>
      </c>
      <c r="B37" s="1168">
        <f ca="1">'预评函-2（2）'!D4</f>
        <v>1534</v>
      </c>
    </row>
    <row r="38" spans="1:2">
      <c r="A38" s="1181" t="s">
        <v>1072</v>
      </c>
      <c r="B38" s="1168">
        <f ca="1">'预评函-2（2）'!E4</f>
        <v>42278</v>
      </c>
    </row>
    <row r="39" spans="1:2">
      <c r="A39" s="1181" t="s">
        <v>1073</v>
      </c>
      <c r="B39" s="1168" t="str">
        <f ca="1">'预评函-2（2）'!D5</f>
        <v>壹仟伍佰叁拾肆万元整</v>
      </c>
    </row>
    <row r="40" spans="1:2">
      <c r="A40" s="1181" t="s">
        <v>1074</v>
      </c>
      <c r="B40" s="1168">
        <f ca="1">'预评函-2（2）'!F4</f>
        <v>167</v>
      </c>
    </row>
    <row r="41" spans="1:2">
      <c r="A41" s="1181" t="s">
        <v>1075</v>
      </c>
      <c r="B41" s="1168">
        <f ca="1">'预评函-2（2）'!G4</f>
        <v>4603</v>
      </c>
    </row>
    <row r="42" spans="1:2" s="1178" customFormat="1" ht="15.75" thickBot="1">
      <c r="A42" s="1182" t="s">
        <v>1076</v>
      </c>
      <c r="B42" s="1170" t="str">
        <f ca="1">'预评函-2（2）'!F5</f>
        <v>壹佰陆拾柒万元整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4.抵押净值</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46880</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抵押净值</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5" thickBot="1">
      <c r="A1" s="2555" t="s">
        <v>1471</v>
      </c>
      <c r="B1" s="2556" t="str">
        <f>IF(B6="北京市","北京市",C6)&amp;IF(E12="房屋所有权证",B29,E29)&amp;D5&amp;"预评估"</f>
        <v>北京市房地产抵押价值预评估</v>
      </c>
      <c r="C1" s="823"/>
      <c r="D1" s="823"/>
      <c r="E1" s="823"/>
      <c r="F1" s="1396" t="s">
        <v>1472</v>
      </c>
      <c r="G1" s="1162"/>
      <c r="I1" s="2884" t="str">
        <f>IF(B6="北京市","北京市",C6)&amp;IF(E12="房屋所有权证",B29,E29)&amp;"房地产"</f>
        <v>北京市房地产</v>
      </c>
      <c r="J1" s="800"/>
      <c r="K1" s="2886"/>
      <c r="L1" s="2886"/>
      <c r="M1" s="2886"/>
      <c r="N1" s="800"/>
      <c r="O1" s="800"/>
      <c r="P1" s="800"/>
      <c r="Q1" s="800"/>
    </row>
    <row r="2" spans="1:17" ht="13.5" thickTop="1">
      <c r="A2" s="1397" t="s">
        <v>1473</v>
      </c>
      <c r="B2" s="2557"/>
      <c r="C2" s="2856" t="s">
        <v>1474</v>
      </c>
      <c r="D2" s="2557">
        <v>44616</v>
      </c>
      <c r="E2" s="824"/>
      <c r="F2" s="824"/>
      <c r="G2" s="1163"/>
      <c r="H2" s="2868"/>
    </row>
    <row r="3" spans="1:17" ht="13.5" thickBot="1">
      <c r="A3" s="2558" t="s">
        <v>1475</v>
      </c>
      <c r="B3" s="2559"/>
      <c r="C3" s="2560">
        <f>SUMIF(注册房地产估价师,B3,估价师及机构信息!B3:B16)</f>
        <v>0</v>
      </c>
      <c r="D3" s="2559"/>
      <c r="E3" s="2561">
        <f>SUMIF(注册房地产估价师,D3,估价师及机构信息!B3:B16)</f>
        <v>0</v>
      </c>
      <c r="F3" s="825"/>
      <c r="G3" s="1164"/>
      <c r="H3" s="2868"/>
    </row>
    <row r="4" spans="1:17" ht="13.5" customHeight="1" thickTop="1">
      <c r="A4" s="1397" t="s">
        <v>1476</v>
      </c>
      <c r="B4" s="1398" t="s">
        <v>2660</v>
      </c>
      <c r="C4" s="2857" t="s">
        <v>1477</v>
      </c>
      <c r="D4" s="1399" t="s">
        <v>3005</v>
      </c>
      <c r="E4" s="824"/>
      <c r="F4" s="824"/>
      <c r="G4" s="1163"/>
    </row>
    <row r="5" spans="1:17">
      <c r="A5" s="1400" t="s">
        <v>1478</v>
      </c>
      <c r="B5" s="1401" t="s">
        <v>2661</v>
      </c>
      <c r="C5" s="2858" t="s">
        <v>1479</v>
      </c>
      <c r="D5" s="1403" t="s">
        <v>3006</v>
      </c>
      <c r="E5" s="2859" t="s">
        <v>1480</v>
      </c>
      <c r="F5" s="1403" t="s">
        <v>3006</v>
      </c>
      <c r="G5" s="1404" t="s">
        <v>1165</v>
      </c>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1481</v>
      </c>
      <c r="B6" s="2562" t="s">
        <v>2979</v>
      </c>
      <c r="C6" s="2563" t="s">
        <v>2662</v>
      </c>
      <c r="D6" s="2564" t="s">
        <v>1482</v>
      </c>
      <c r="E6" s="811"/>
      <c r="F6" s="811"/>
      <c r="G6" s="830"/>
      <c r="I6" s="800" t="str">
        <f>IF(COUNTIF(B5,"*上海银行*"),"上海银行","")</f>
        <v/>
      </c>
      <c r="J6" s="800"/>
      <c r="K6" s="2886"/>
      <c r="L6" s="2886"/>
      <c r="M6" s="2886"/>
      <c r="N6" s="800"/>
      <c r="O6" s="800"/>
      <c r="P6" s="800"/>
      <c r="Q6" s="800"/>
    </row>
    <row r="7" spans="1:17" ht="13.5" thickBot="1">
      <c r="A7" s="2861" t="s">
        <v>1483</v>
      </c>
      <c r="B7" s="2565" t="s">
        <v>2980</v>
      </c>
      <c r="C7" s="1495" t="str">
        <f>IF(B7="自然人","姓名","名称")</f>
        <v>姓名</v>
      </c>
      <c r="D7" s="1408" t="s">
        <v>2661</v>
      </c>
      <c r="E7" s="825"/>
      <c r="F7" s="825"/>
      <c r="G7" s="1164"/>
    </row>
    <row r="8" spans="1:17" ht="13.5" thickTop="1">
      <c r="A8" s="3406" t="s">
        <v>1484</v>
      </c>
      <c r="B8" s="1409" t="s">
        <v>1485</v>
      </c>
      <c r="C8" s="3418"/>
      <c r="D8" s="3419"/>
      <c r="E8" s="2566" t="s">
        <v>1486</v>
      </c>
      <c r="F8" s="2567" t="s">
        <v>1487</v>
      </c>
      <c r="G8" s="2568" t="str">
        <f>C6</f>
        <v>XX</v>
      </c>
    </row>
    <row r="9" spans="1:17" ht="25.5">
      <c r="A9" s="3406"/>
      <c r="B9" s="259" t="s">
        <v>1488</v>
      </c>
      <c r="C9" s="1401"/>
      <c r="D9" s="1410" t="s">
        <v>2981</v>
      </c>
      <c r="E9" s="2862" t="s">
        <v>1489</v>
      </c>
      <c r="F9" s="2569" t="s">
        <v>87</v>
      </c>
      <c r="G9" s="2570"/>
    </row>
    <row r="10" spans="1:17" ht="13.5" thickBot="1">
      <c r="A10" s="3406"/>
      <c r="B10" s="259" t="s">
        <v>1490</v>
      </c>
      <c r="C10" s="3420"/>
      <c r="D10" s="3421"/>
      <c r="E10" s="2863" t="s">
        <v>1491</v>
      </c>
      <c r="F10" s="2571" t="s">
        <v>292</v>
      </c>
      <c r="G10" s="2572"/>
    </row>
    <row r="11" spans="1:17" ht="13.5" thickBot="1">
      <c r="A11" s="3406"/>
      <c r="B11" s="1412" t="s">
        <v>1492</v>
      </c>
      <c r="C11" s="3422"/>
      <c r="D11" s="3423"/>
      <c r="E11" s="811"/>
      <c r="F11" s="811"/>
      <c r="G11" s="830"/>
    </row>
    <row r="12" spans="1:17" ht="13.5" thickBot="1">
      <c r="A12" s="3409" t="s">
        <v>2768</v>
      </c>
      <c r="B12" s="2864" t="s">
        <v>1493</v>
      </c>
      <c r="C12" s="808">
        <v>362.84</v>
      </c>
      <c r="D12" s="1413" t="s">
        <v>1494</v>
      </c>
      <c r="E12" s="1414"/>
      <c r="F12" s="1415"/>
      <c r="G12" s="830"/>
    </row>
    <row r="13" spans="1:17" ht="21" customHeight="1" thickBot="1">
      <c r="A13" s="3410"/>
      <c r="B13" s="2865" t="s">
        <v>1495</v>
      </c>
      <c r="C13" s="809"/>
      <c r="D13" s="1416" t="s">
        <v>1496</v>
      </c>
      <c r="E13" s="1417"/>
      <c r="F13" s="811"/>
      <c r="G13" s="830"/>
      <c r="I13" s="3395" t="s">
        <v>1497</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5" thickBot="1">
      <c r="A14" s="2573"/>
      <c r="B14" s="2879" t="s">
        <v>2769</v>
      </c>
      <c r="C14" s="2574"/>
      <c r="D14" s="811"/>
      <c r="E14" s="811"/>
      <c r="F14" s="811"/>
      <c r="G14" s="830"/>
      <c r="I14" s="3395"/>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5" thickBot="1">
      <c r="A15" s="2575"/>
      <c r="B15" s="2866" t="s">
        <v>1498</v>
      </c>
      <c r="C15" s="826">
        <v>2.5</v>
      </c>
      <c r="D15" s="825"/>
      <c r="E15" s="825"/>
      <c r="F15" s="825"/>
      <c r="G15" s="1164"/>
      <c r="I15" s="3395"/>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5" thickTop="1" thickBot="1">
      <c r="A16" s="2573" t="s">
        <v>1499</v>
      </c>
      <c r="B16" s="1418" t="s">
        <v>1500</v>
      </c>
      <c r="C16" s="2576"/>
      <c r="D16" s="1411" t="s">
        <v>1501</v>
      </c>
      <c r="E16" s="2577"/>
      <c r="F16" s="1419" t="str">
        <f>IF(AND(C16="是",E16="否"),"是否提供他项权证或相关说明","")</f>
        <v/>
      </c>
      <c r="G16" s="2577"/>
      <c r="J16" s="2868"/>
    </row>
    <row r="17" spans="1:66" ht="13.5" customHeight="1">
      <c r="A17" s="1425" t="s">
        <v>1502</v>
      </c>
      <c r="B17" s="3424" t="s">
        <v>1503</v>
      </c>
      <c r="C17" s="3425"/>
      <c r="D17" s="3426" t="s">
        <v>1504</v>
      </c>
      <c r="E17" s="3427"/>
      <c r="F17" s="1420" t="s">
        <v>1505</v>
      </c>
      <c r="G17" s="1421"/>
      <c r="J17" s="2868"/>
    </row>
    <row r="18" spans="1:66" ht="24">
      <c r="A18" s="1425"/>
      <c r="B18" s="2578"/>
      <c r="C18" s="1404"/>
      <c r="D18" s="1422" t="s">
        <v>1506</v>
      </c>
      <c r="E18" s="1423"/>
      <c r="F18" s="1424"/>
      <c r="G18" s="1287"/>
      <c r="H18" s="2868"/>
      <c r="J18" s="2868"/>
    </row>
    <row r="19" spans="1:66" ht="21.75" customHeight="1" thickBot="1">
      <c r="A19" s="1425"/>
      <c r="B19" s="2579"/>
      <c r="C19" s="1417"/>
      <c r="D19" s="1425"/>
      <c r="E19" s="811"/>
      <c r="F19" s="811"/>
      <c r="G19" s="1287"/>
    </row>
    <row r="20" spans="1:66">
      <c r="A20" s="1421" t="s">
        <v>1507</v>
      </c>
      <c r="B20" s="2580" t="s">
        <v>1508</v>
      </c>
      <c r="C20" s="2581"/>
      <c r="D20" s="2582" t="s">
        <v>1508</v>
      </c>
      <c r="E20" s="2581"/>
      <c r="F20" s="811"/>
      <c r="G20" s="1287"/>
    </row>
    <row r="21" spans="1:66">
      <c r="A21" s="1287"/>
      <c r="B21" s="2583" t="s">
        <v>1509</v>
      </c>
      <c r="C21" s="2851"/>
      <c r="D21" s="1425" t="s">
        <v>1509</v>
      </c>
      <c r="E21" s="2584"/>
      <c r="F21" s="811"/>
      <c r="G21" s="1287"/>
    </row>
    <row r="22" spans="1:66">
      <c r="A22" s="1287"/>
      <c r="B22" s="811" t="s">
        <v>1510</v>
      </c>
      <c r="C22" s="2585"/>
      <c r="D22" s="811" t="s">
        <v>1510</v>
      </c>
      <c r="E22" s="2584"/>
      <c r="F22" s="811"/>
      <c r="G22" s="1287"/>
    </row>
    <row r="23" spans="1:66" s="2850" customFormat="1" ht="16.5" thickBot="1">
      <c r="A23" s="1288"/>
      <c r="B23" s="829" t="s">
        <v>1511</v>
      </c>
      <c r="C23" s="809"/>
      <c r="D23" s="829" t="s">
        <v>1512</v>
      </c>
      <c r="E23" s="2586"/>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05" t="s">
        <v>2767</v>
      </c>
      <c r="B24" s="3405"/>
      <c r="C24" s="3405"/>
      <c r="D24" s="3405"/>
      <c r="E24" s="3405"/>
      <c r="F24" s="3405"/>
      <c r="G24" s="3405"/>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8" t="s">
        <v>1513</v>
      </c>
      <c r="B25" s="811"/>
      <c r="C25" s="811"/>
      <c r="D25" s="811"/>
      <c r="E25" s="811"/>
      <c r="F25" s="811"/>
      <c r="G25" s="1288"/>
      <c r="K25" s="2869"/>
    </row>
    <row r="26" spans="1:66" s="836" customFormat="1" ht="13.5" thickBot="1">
      <c r="A26" s="2587"/>
      <c r="B26" s="807" t="s">
        <v>1514</v>
      </c>
      <c r="C26" s="2587"/>
      <c r="D26" s="807"/>
      <c r="E26" s="2588" t="s">
        <v>1515</v>
      </c>
      <c r="F26" s="2587"/>
      <c r="G26" s="2589" t="s">
        <v>1516</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5" thickBot="1">
      <c r="A27" s="2587"/>
      <c r="B27" s="2590"/>
      <c r="C27" s="2587"/>
      <c r="D27" s="807"/>
      <c r="E27" s="2590"/>
      <c r="F27" s="2587"/>
      <c r="G27" s="2591"/>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1517</v>
      </c>
      <c r="B28" s="801"/>
      <c r="C28" s="3412" t="s">
        <v>1517</v>
      </c>
      <c r="D28" s="3413"/>
      <c r="E28" s="801"/>
      <c r="F28" s="803" t="s">
        <v>1517</v>
      </c>
      <c r="G28" s="801"/>
      <c r="K28" s="2869"/>
    </row>
    <row r="29" spans="1:66">
      <c r="A29" s="804" t="s">
        <v>1518</v>
      </c>
      <c r="B29" s="798"/>
      <c r="C29" s="3414" t="s">
        <v>1519</v>
      </c>
      <c r="D29" s="3415"/>
      <c r="E29" s="798"/>
      <c r="F29" s="804" t="s">
        <v>1519</v>
      </c>
      <c r="G29" s="798"/>
      <c r="K29" s="2869"/>
    </row>
    <row r="30" spans="1:66">
      <c r="A30" s="804" t="s">
        <v>1520</v>
      </c>
      <c r="B30" s="798"/>
      <c r="C30" s="3414" t="s">
        <v>1520</v>
      </c>
      <c r="D30" s="3415"/>
      <c r="E30" s="798"/>
      <c r="F30" s="804" t="s">
        <v>1521</v>
      </c>
      <c r="G30" s="798"/>
      <c r="K30" s="2869"/>
    </row>
    <row r="31" spans="1:66">
      <c r="A31" s="804" t="s">
        <v>1522</v>
      </c>
      <c r="B31" s="798"/>
      <c r="C31" s="3402" t="s">
        <v>1523</v>
      </c>
      <c r="D31" s="811"/>
      <c r="E31" s="2592" t="str">
        <f>E32&amp;" "&amp;E33&amp;" "&amp;E34&amp;" "&amp;E35</f>
        <v xml:space="preserve">   </v>
      </c>
      <c r="F31" s="804" t="s">
        <v>1524</v>
      </c>
      <c r="G31" s="798"/>
    </row>
    <row r="32" spans="1:66">
      <c r="A32" s="804" t="s">
        <v>1525</v>
      </c>
      <c r="B32" s="798"/>
      <c r="C32" s="3403"/>
      <c r="D32" s="259" t="s">
        <v>1526</v>
      </c>
      <c r="E32" s="798"/>
      <c r="F32" s="804" t="s">
        <v>1527</v>
      </c>
      <c r="G32" s="798"/>
    </row>
    <row r="33" spans="1:7" ht="24.75" thickBot="1">
      <c r="A33" s="805" t="s">
        <v>1528</v>
      </c>
      <c r="B33" s="802"/>
      <c r="C33" s="3403"/>
      <c r="D33" s="259" t="s">
        <v>1529</v>
      </c>
      <c r="E33" s="798"/>
      <c r="F33" s="804" t="s">
        <v>1530</v>
      </c>
      <c r="G33" s="798"/>
    </row>
    <row r="34" spans="1:7">
      <c r="A34" s="803" t="s">
        <v>1531</v>
      </c>
      <c r="B34" s="801"/>
      <c r="C34" s="3403"/>
      <c r="D34" s="259" t="s">
        <v>1532</v>
      </c>
      <c r="E34" s="798"/>
      <c r="F34" s="804" t="s">
        <v>1533</v>
      </c>
      <c r="G34" s="798"/>
    </row>
    <row r="35" spans="1:7" ht="13.5" thickBot="1">
      <c r="A35" s="804" t="s">
        <v>1534</v>
      </c>
      <c r="B35" s="798"/>
      <c r="C35" s="3404"/>
      <c r="D35" s="259" t="s">
        <v>1535</v>
      </c>
      <c r="E35" s="798"/>
      <c r="F35" s="805" t="s">
        <v>1536</v>
      </c>
      <c r="G35" s="2593"/>
    </row>
    <row r="36" spans="1:7">
      <c r="A36" s="804" t="s">
        <v>1493</v>
      </c>
      <c r="B36" s="798"/>
      <c r="C36" s="3414" t="s">
        <v>1537</v>
      </c>
      <c r="D36" s="3415"/>
      <c r="E36" s="798"/>
      <c r="F36" s="2594" t="s">
        <v>1538</v>
      </c>
      <c r="G36" s="801"/>
    </row>
    <row r="37" spans="1:7" ht="13.5" thickBot="1">
      <c r="A37" s="804" t="s">
        <v>1539</v>
      </c>
      <c r="B37" s="798"/>
      <c r="C37" s="3416" t="s">
        <v>1540</v>
      </c>
      <c r="D37" s="3417"/>
      <c r="E37" s="802"/>
      <c r="F37" s="1433" t="s">
        <v>1541</v>
      </c>
      <c r="G37" s="798"/>
    </row>
    <row r="38" spans="1:7" ht="13.5" thickBot="1">
      <c r="A38" s="804" t="s">
        <v>1542</v>
      </c>
      <c r="B38" s="798"/>
      <c r="C38" s="3400" t="s">
        <v>1543</v>
      </c>
      <c r="D38" s="1413" t="s">
        <v>1527</v>
      </c>
      <c r="E38" s="801"/>
      <c r="F38" s="805" t="s">
        <v>1544</v>
      </c>
      <c r="G38" s="802"/>
    </row>
    <row r="39" spans="1:7">
      <c r="A39" s="804" t="s">
        <v>1545</v>
      </c>
      <c r="B39" s="798"/>
      <c r="C39" s="3407"/>
      <c r="D39" s="259" t="s">
        <v>1534</v>
      </c>
      <c r="E39" s="798"/>
      <c r="F39" s="803" t="s">
        <v>1546</v>
      </c>
      <c r="G39" s="801"/>
    </row>
    <row r="40" spans="1:7">
      <c r="A40" s="804" t="s">
        <v>1547</v>
      </c>
      <c r="B40" s="798"/>
      <c r="C40" s="3407" t="s">
        <v>1548</v>
      </c>
      <c r="D40" s="259" t="s">
        <v>1493</v>
      </c>
      <c r="E40" s="798"/>
      <c r="F40" s="804" t="s">
        <v>1549</v>
      </c>
      <c r="G40" s="798"/>
    </row>
    <row r="41" spans="1:7" ht="24.75" customHeight="1" thickBot="1">
      <c r="A41" s="805" t="s">
        <v>1550</v>
      </c>
      <c r="B41" s="802"/>
      <c r="C41" s="3408"/>
      <c r="D41" s="1416" t="s">
        <v>1495</v>
      </c>
      <c r="E41" s="802"/>
      <c r="F41" s="805" t="s">
        <v>1551</v>
      </c>
      <c r="G41" s="802"/>
    </row>
    <row r="42" spans="1:7">
      <c r="A42" s="806" t="s">
        <v>1552</v>
      </c>
      <c r="B42" s="2595"/>
      <c r="C42" s="3396" t="s">
        <v>1552</v>
      </c>
      <c r="D42" s="3397"/>
      <c r="E42" s="2595"/>
      <c r="F42" s="803" t="s">
        <v>1553</v>
      </c>
      <c r="G42" s="2595"/>
    </row>
    <row r="43" spans="1:7">
      <c r="A43" s="821" t="s">
        <v>1554</v>
      </c>
      <c r="B43" s="2596"/>
      <c r="C43" s="1425"/>
      <c r="D43" s="2583"/>
      <c r="E43" s="2596"/>
      <c r="F43" s="821"/>
      <c r="G43" s="2596"/>
    </row>
    <row r="44" spans="1:7">
      <c r="A44" s="821" t="s">
        <v>1508</v>
      </c>
      <c r="B44" s="822"/>
      <c r="C44" s="1425"/>
      <c r="D44" s="1491" t="s">
        <v>1508</v>
      </c>
      <c r="E44" s="822"/>
      <c r="F44" s="821" t="s">
        <v>1508</v>
      </c>
      <c r="G44" s="822"/>
    </row>
    <row r="45" spans="1:7">
      <c r="A45" s="821" t="s">
        <v>1509</v>
      </c>
      <c r="B45" s="822"/>
      <c r="C45" s="1425"/>
      <c r="D45" s="2583" t="s">
        <v>1509</v>
      </c>
      <c r="E45" s="822"/>
      <c r="F45" s="821" t="s">
        <v>1509</v>
      </c>
      <c r="G45" s="822"/>
    </row>
    <row r="46" spans="1:7">
      <c r="A46" s="821" t="s">
        <v>1510</v>
      </c>
      <c r="B46" s="822"/>
      <c r="C46" s="1425"/>
      <c r="D46" s="2583" t="s">
        <v>1510</v>
      </c>
      <c r="E46" s="822"/>
      <c r="F46" s="821" t="s">
        <v>1510</v>
      </c>
      <c r="G46" s="822"/>
    </row>
    <row r="47" spans="1:7">
      <c r="A47" s="821" t="s">
        <v>1511</v>
      </c>
      <c r="B47" s="822"/>
      <c r="C47" s="1425"/>
      <c r="D47" s="2583" t="s">
        <v>1511</v>
      </c>
      <c r="E47" s="822"/>
      <c r="F47" s="821" t="s">
        <v>1511</v>
      </c>
      <c r="G47" s="822"/>
    </row>
    <row r="48" spans="1:7">
      <c r="A48" s="821"/>
      <c r="B48" s="822"/>
      <c r="C48" s="1425"/>
      <c r="D48" s="2583"/>
      <c r="E48" s="822"/>
      <c r="F48" s="821"/>
      <c r="G48" s="822"/>
    </row>
    <row r="49" spans="1:66" ht="13.5" thickBot="1">
      <c r="A49" s="805" t="s">
        <v>1555</v>
      </c>
      <c r="B49" s="802"/>
      <c r="C49" s="3398" t="s">
        <v>1555</v>
      </c>
      <c r="D49" s="3399"/>
      <c r="E49" s="820"/>
      <c r="F49" s="805" t="s">
        <v>1556</v>
      </c>
      <c r="G49" s="802"/>
    </row>
    <row r="50" spans="1:66">
      <c r="A50" s="804" t="s">
        <v>1557</v>
      </c>
      <c r="B50" s="819"/>
      <c r="C50" s="3400" t="s">
        <v>1558</v>
      </c>
      <c r="D50" s="3401"/>
      <c r="E50" s="2597"/>
      <c r="F50" s="837"/>
      <c r="G50" s="838"/>
    </row>
    <row r="51" spans="1:66" ht="13.5" thickBot="1">
      <c r="A51" s="804" t="s">
        <v>1559</v>
      </c>
      <c r="B51" s="819"/>
      <c r="C51" s="3408" t="s">
        <v>1560</v>
      </c>
      <c r="D51" s="3411"/>
      <c r="E51" s="802"/>
      <c r="F51" s="811"/>
      <c r="G51" s="830"/>
    </row>
    <row r="52" spans="1:66">
      <c r="A52" s="804" t="s">
        <v>1538</v>
      </c>
      <c r="B52" s="798"/>
      <c r="C52" s="811"/>
      <c r="D52" s="811"/>
      <c r="E52" s="811"/>
      <c r="F52" s="811"/>
      <c r="G52" s="830"/>
    </row>
    <row r="53" spans="1:66" ht="24.75" thickBot="1">
      <c r="A53" s="805" t="s">
        <v>1561</v>
      </c>
      <c r="B53" s="2593"/>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39"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54" customWidth="1"/>
    <col min="2" max="2" width="16.75" style="2599" customWidth="1"/>
    <col min="3" max="3" width="18.25" style="2640" customWidth="1"/>
    <col min="4" max="4" width="34.125" style="2655" customWidth="1"/>
    <col min="5" max="5" width="17.625" style="2655" customWidth="1"/>
    <col min="6" max="6" width="15.5" style="2598" customWidth="1"/>
    <col min="7" max="8" width="9.125" style="2933"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599"/>
  </cols>
  <sheetData>
    <row r="1" spans="1:41" ht="19.5" thickBot="1">
      <c r="A1" s="2887" t="s">
        <v>1562</v>
      </c>
      <c r="B1" s="947"/>
      <c r="D1" s="2598"/>
      <c r="E1" s="2598"/>
    </row>
    <row r="2" spans="1:41" s="2602" customFormat="1" ht="15.75" thickBot="1">
      <c r="A2" s="2888" t="s">
        <v>1563</v>
      </c>
      <c r="B2" s="2889">
        <f>项目基本情况!D2</f>
        <v>44616</v>
      </c>
      <c r="C2" s="1655"/>
      <c r="D2" s="3430" t="s">
        <v>1564</v>
      </c>
      <c r="E2" s="2600"/>
      <c r="F2" s="2601"/>
      <c r="G2" s="2934"/>
      <c r="H2" s="2934"/>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2" customFormat="1" ht="15" customHeight="1" thickBot="1">
      <c r="A3" s="2605" t="s">
        <v>1565</v>
      </c>
      <c r="B3" s="2603" t="s">
        <v>2982</v>
      </c>
      <c r="C3" s="1655"/>
      <c r="D3" s="3431"/>
      <c r="E3" s="2604" t="s">
        <v>2984</v>
      </c>
      <c r="F3" s="2601"/>
      <c r="G3" s="2934"/>
      <c r="H3" s="2934"/>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2" customFormat="1" ht="15" thickBot="1">
      <c r="A4" s="2608" t="s">
        <v>1566</v>
      </c>
      <c r="B4" s="2603" t="s">
        <v>2983</v>
      </c>
      <c r="C4" s="1655"/>
      <c r="D4" s="3431"/>
      <c r="E4" s="2604"/>
      <c r="F4" s="2601"/>
      <c r="G4" s="2934"/>
      <c r="H4" s="2934"/>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2" customFormat="1" ht="15.75" thickBot="1">
      <c r="A5" s="2605" t="s">
        <v>1567</v>
      </c>
      <c r="B5" s="2606">
        <f>项目基本情况!C12</f>
        <v>362.84</v>
      </c>
      <c r="C5" s="1655"/>
      <c r="D5" s="2890" t="s">
        <v>1568</v>
      </c>
      <c r="E5" s="2607">
        <f>B5</f>
        <v>362.84</v>
      </c>
      <c r="F5" s="2601"/>
      <c r="G5" s="2934"/>
      <c r="H5" s="2934"/>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2" customFormat="1" ht="15.75" thickBot="1">
      <c r="A6" s="2608" t="s">
        <v>1569</v>
      </c>
      <c r="B6" s="2609">
        <f>项目基本情况!C13</f>
        <v>0</v>
      </c>
      <c r="C6" s="1655"/>
      <c r="D6" s="2890" t="s">
        <v>1570</v>
      </c>
      <c r="E6" s="2607"/>
      <c r="F6" s="2601"/>
      <c r="G6" s="2934"/>
      <c r="H6" s="2934"/>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6"/>
      <c r="D7" s="2937"/>
      <c r="E7" s="2937"/>
      <c r="F7" s="2934"/>
      <c r="G7" s="2934"/>
      <c r="H7" s="2934"/>
    </row>
    <row r="8" spans="1:41" s="1655" customFormat="1" ht="15" hidden="1">
      <c r="A8" s="2936"/>
      <c r="D8" s="2937"/>
      <c r="E8" s="2937"/>
      <c r="F8" s="2934"/>
      <c r="G8" s="2934"/>
      <c r="H8" s="2934"/>
    </row>
    <row r="9" spans="1:41" s="1655" customFormat="1" ht="15" hidden="1" thickBot="1">
      <c r="C9" s="3056"/>
      <c r="D9" s="2934"/>
      <c r="E9" s="2934"/>
      <c r="F9" s="2934"/>
      <c r="G9" s="2934"/>
      <c r="H9" s="2934"/>
    </row>
    <row r="10" spans="1:41" s="2602" customFormat="1" ht="15" thickBot="1">
      <c r="A10" s="2891" t="s">
        <v>1571</v>
      </c>
      <c r="B10" s="2611" t="s">
        <v>3010</v>
      </c>
      <c r="C10" s="1655"/>
      <c r="D10" s="2888" t="s">
        <v>1572</v>
      </c>
      <c r="E10" s="2892" t="s">
        <v>1573</v>
      </c>
      <c r="F10" s="3057" t="s">
        <v>2778</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5" customFormat="1" ht="14.25">
      <c r="A11" s="2893" t="s">
        <v>1574</v>
      </c>
      <c r="B11" s="2613">
        <v>40</v>
      </c>
      <c r="C11" s="1655"/>
      <c r="D11" s="2894" t="s">
        <v>1575</v>
      </c>
      <c r="E11" s="2614"/>
      <c r="F11" s="1282" t="s">
        <v>1576</v>
      </c>
      <c r="G11" s="1655"/>
      <c r="H11" s="1655"/>
      <c r="I11" s="1655"/>
      <c r="J11" s="1655"/>
      <c r="K11" s="1655"/>
      <c r="L11" s="2676"/>
      <c r="M11" s="2676"/>
      <c r="N11" s="2676"/>
      <c r="O11" s="2676"/>
      <c r="P11" s="2676"/>
      <c r="Q11" s="2676"/>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2" customFormat="1" ht="15">
      <c r="A12" s="2895" t="s">
        <v>1577</v>
      </c>
      <c r="B12" s="2616"/>
      <c r="C12" s="1655"/>
      <c r="D12" s="2895" t="s">
        <v>1578</v>
      </c>
      <c r="E12" s="2617"/>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2" customFormat="1" ht="15" thickBot="1">
      <c r="A13" s="2896" t="s">
        <v>1579</v>
      </c>
      <c r="B13" s="2897">
        <f>IF(B12="",B11-(YEAR($B$2)-B27+B24),ROUNDDOWN(MIN((B12-$B$2)/365,B11),2))</f>
        <v>29</v>
      </c>
      <c r="C13" s="2932"/>
      <c r="D13" s="2898" t="s">
        <v>1580</v>
      </c>
      <c r="E13" s="2618">
        <f>成本法!C9</f>
        <v>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2" customFormat="1" ht="14.25">
      <c r="A14" s="2895" t="s">
        <v>1582</v>
      </c>
      <c r="B14" s="2899">
        <f>IF(ISERROR(ROUND(POWER(1+B15,B11-B13)*(POWER(1+B15,B13)-1)/(POWER(1+B15,B11)-1),3)),0,ROUND(POWER(1+B15,B11-B13)*(POWER(1+B15,B13)-1)/(POWER(1+B15,B11)-1),3))</f>
        <v>0.88200000000000001</v>
      </c>
      <c r="C14" s="1655"/>
      <c r="D14" s="2900" t="s">
        <v>1583</v>
      </c>
      <c r="E14" s="2619">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2" customFormat="1" ht="14.25">
      <c r="A15" s="2895" t="s">
        <v>1584</v>
      </c>
      <c r="B15" s="2620">
        <v>0.05</v>
      </c>
      <c r="C15" s="2528" t="s">
        <v>2779</v>
      </c>
      <c r="D15" s="2895" t="s">
        <v>1585</v>
      </c>
      <c r="E15" s="2901">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2" customFormat="1" ht="15" thickBot="1">
      <c r="A16" s="2895" t="s">
        <v>1586</v>
      </c>
      <c r="B16" s="2620">
        <v>5.5E-2</v>
      </c>
      <c r="C16" s="2528" t="s">
        <v>2780</v>
      </c>
      <c r="D16" s="2902" t="s">
        <v>1587</v>
      </c>
      <c r="E16" s="2621">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2" customFormat="1" ht="15" thickBot="1">
      <c r="A17" s="2902" t="s">
        <v>2777</v>
      </c>
      <c r="B17" s="3055">
        <v>7.0000000000000007E-2</v>
      </c>
      <c r="C17" s="2528" t="s">
        <v>2781</v>
      </c>
      <c r="D17" s="2891" t="s">
        <v>1589</v>
      </c>
      <c r="E17" s="2622">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2" customFormat="1" ht="15" thickBot="1">
      <c r="A18" s="2903" t="s">
        <v>1588</v>
      </c>
      <c r="B18" s="3063"/>
      <c r="C18" s="1655"/>
      <c r="D18" s="2904" t="str">
        <f>IF(B26=0,"建安总额","在建建安")</f>
        <v>建安总额</v>
      </c>
      <c r="E18" s="2905">
        <f>ROUND(B5*E17*IF(B26=0,1,E20),0)</f>
        <v>1269940</v>
      </c>
      <c r="F18" s="2623">
        <f>ROUND(E5*E17*IF(B26=0,1,E20),0)</f>
        <v>1269940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2" customFormat="1" ht="15" thickBot="1">
      <c r="A19" s="1281"/>
      <c r="B19" s="1281"/>
      <c r="C19" s="1655"/>
      <c r="D19" s="2904" t="str">
        <f>IF(B26=0,"——","续建建安")</f>
        <v>——</v>
      </c>
      <c r="E19" s="2905" t="str">
        <f>IF(B26=0,"——",ROUND(B5*E17*(1-E20),0))</f>
        <v>——</v>
      </c>
      <c r="F19" s="2623"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2" customFormat="1" ht="15" thickBot="1">
      <c r="A20" s="2906" t="s">
        <v>1590</v>
      </c>
      <c r="B20" s="1281"/>
      <c r="C20" s="1655"/>
      <c r="D20" s="2908" t="str">
        <f>IF(B26=0,"成新率","工程进度")</f>
        <v>成新率</v>
      </c>
      <c r="E20" s="2625">
        <f>G20</f>
        <v>0.85</v>
      </c>
      <c r="F20" s="947"/>
      <c r="G20" s="3312">
        <f>ROUND(1-(2022-2013)/60,2)</f>
        <v>0.85</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2" customFormat="1" ht="14.25">
      <c r="A21" s="2907" t="s">
        <v>1591</v>
      </c>
      <c r="B21" s="2624">
        <v>0</v>
      </c>
      <c r="C21" s="1655"/>
      <c r="D21" s="2895" t="s">
        <v>1593</v>
      </c>
      <c r="E21" s="2627">
        <v>0.03</v>
      </c>
      <c r="F21" s="2638" t="s">
        <v>2787</v>
      </c>
      <c r="G21" s="3312">
        <v>0.9</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2" customFormat="1" ht="14.25">
      <c r="A22" s="2909" t="s">
        <v>1592</v>
      </c>
      <c r="B22" s="2626">
        <v>2</v>
      </c>
      <c r="C22" s="1655"/>
      <c r="D22" s="2895" t="s">
        <v>1595</v>
      </c>
      <c r="E22" s="2630"/>
      <c r="F22" s="2638" t="s">
        <v>2785</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2" customFormat="1" ht="14.25">
      <c r="A23" s="2910" t="s">
        <v>1594</v>
      </c>
      <c r="B23" s="2629">
        <v>2</v>
      </c>
      <c r="C23" s="1655"/>
      <c r="D23" s="2895" t="s">
        <v>1597</v>
      </c>
      <c r="E23" s="2617">
        <v>200</v>
      </c>
      <c r="F23" s="2638"/>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2" customFormat="1" ht="15" thickBot="1">
      <c r="A24" s="2911" t="s">
        <v>1596</v>
      </c>
      <c r="B24" s="2912">
        <f>B21+B22</f>
        <v>2</v>
      </c>
      <c r="C24" s="1655"/>
      <c r="D24" s="2902" t="s">
        <v>1599</v>
      </c>
      <c r="E24" s="2631">
        <v>1.4999999999999999E-2</v>
      </c>
      <c r="F24" s="2638" t="s">
        <v>2788</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3" t="s">
        <v>1598</v>
      </c>
      <c r="B25" s="2914">
        <f>B21+B23</f>
        <v>2</v>
      </c>
      <c r="C25" s="1655"/>
      <c r="D25" s="2894" t="s">
        <v>1601</v>
      </c>
      <c r="E25" s="2627">
        <v>0.02</v>
      </c>
      <c r="F25" s="2638" t="s">
        <v>2786</v>
      </c>
      <c r="I25" s="2933"/>
    </row>
    <row r="26" spans="1:41" ht="15" thickBot="1">
      <c r="A26" s="2911" t="s">
        <v>1600</v>
      </c>
      <c r="B26" s="2915">
        <f>B22-B23</f>
        <v>0</v>
      </c>
      <c r="D26" s="2895" t="s">
        <v>1603</v>
      </c>
      <c r="E26" s="2630">
        <v>0.02</v>
      </c>
      <c r="F26" s="2638" t="s">
        <v>2786</v>
      </c>
      <c r="G26" s="2934"/>
      <c r="H26" s="2934"/>
      <c r="I26" s="1655"/>
      <c r="J26" s="1655"/>
      <c r="K26" s="1655"/>
      <c r="L26" s="1655"/>
      <c r="M26" s="1655"/>
      <c r="N26" s="1655"/>
    </row>
    <row r="27" spans="1:41" ht="15.75" thickBot="1">
      <c r="A27" s="2916" t="s">
        <v>1602</v>
      </c>
      <c r="B27" s="2632">
        <v>2013</v>
      </c>
      <c r="C27" s="1655"/>
      <c r="D27" s="3122" t="s">
        <v>2985</v>
      </c>
      <c r="E27" s="2917">
        <f ca="1">IF(D27="利息：取LPR",存贷款利率!G1,存贷款利率!G1+F27)</f>
        <v>4.2000000000000003E-2</v>
      </c>
      <c r="F27" s="3123">
        <v>5.0000000000000001E-3</v>
      </c>
      <c r="G27" s="2934"/>
      <c r="H27" s="2934"/>
      <c r="K27" s="1655"/>
      <c r="N27" s="1655"/>
    </row>
    <row r="28" spans="1:41" ht="15" thickBot="1">
      <c r="A28" s="947"/>
      <c r="B28" s="947"/>
      <c r="D28" s="2898" t="s">
        <v>1605</v>
      </c>
      <c r="E28" s="2634">
        <v>0.15</v>
      </c>
      <c r="G28" s="2934"/>
      <c r="H28" s="2934"/>
      <c r="K28" s="1655"/>
      <c r="N28" s="1655"/>
    </row>
    <row r="29" spans="1:41" ht="14.25">
      <c r="A29" s="2918" t="s">
        <v>1604</v>
      </c>
      <c r="B29" s="2633" t="s">
        <v>3053</v>
      </c>
      <c r="D29" s="2900" t="s">
        <v>1606</v>
      </c>
      <c r="E29" s="2919">
        <f>E30+E31</f>
        <v>5.6000000000000001E-2</v>
      </c>
      <c r="F29" s="1280"/>
      <c r="G29" s="2934"/>
      <c r="H29" s="2934"/>
      <c r="K29" s="1655"/>
      <c r="N29" s="1655"/>
    </row>
    <row r="30" spans="1:41" ht="14.25">
      <c r="A30" s="2895" t="str">
        <f>IF(B29="租赁期内按合同租金","合同租金","市场租金")</f>
        <v>市场租金</v>
      </c>
      <c r="B30" s="2635">
        <v>7.5</v>
      </c>
      <c r="D30" s="2902" t="s">
        <v>1608</v>
      </c>
      <c r="E30" s="2636">
        <v>0.05</v>
      </c>
      <c r="F30" s="2921">
        <f>IF(B2&lt;DATE(2016,5,1),0,E30)</f>
        <v>0.05</v>
      </c>
      <c r="G30" s="2934"/>
      <c r="H30" s="2934"/>
      <c r="K30" s="1655"/>
      <c r="N30" s="1655"/>
    </row>
    <row r="31" spans="1:41" ht="14.25">
      <c r="A31" s="2895" t="s">
        <v>1607</v>
      </c>
      <c r="B31" s="2920">
        <f ca="1">存贷款利率!I1</f>
        <v>1.4999999999999999E-2</v>
      </c>
      <c r="D31" s="2902" t="s">
        <v>1610</v>
      </c>
      <c r="E31" s="2922">
        <f>E30*(E32+E33+E34)+E35</f>
        <v>6.000000000000001E-3</v>
      </c>
      <c r="F31" s="1280"/>
      <c r="G31" s="2934"/>
      <c r="H31" s="2934"/>
      <c r="K31" s="1655"/>
      <c r="N31" s="1655"/>
    </row>
    <row r="32" spans="1:41" ht="14.25">
      <c r="A32" s="2895" t="s">
        <v>1609</v>
      </c>
      <c r="B32" s="2620">
        <v>0.03</v>
      </c>
      <c r="D32" s="2902" t="s">
        <v>1612</v>
      </c>
      <c r="E32" s="2637">
        <v>7.0000000000000007E-2</v>
      </c>
      <c r="F32" s="2638" t="s">
        <v>2673</v>
      </c>
      <c r="G32" s="2934"/>
      <c r="H32" s="2934"/>
      <c r="K32" s="1655"/>
      <c r="L32" s="1655"/>
      <c r="M32" s="1655"/>
      <c r="N32" s="1655"/>
    </row>
    <row r="33" spans="1:14" ht="14.25">
      <c r="A33" s="2895" t="s">
        <v>1611</v>
      </c>
      <c r="B33" s="2620">
        <v>0.1</v>
      </c>
      <c r="D33" s="2902" t="s">
        <v>1614</v>
      </c>
      <c r="E33" s="2636">
        <v>0.03</v>
      </c>
      <c r="F33" s="1279" t="s">
        <v>1615</v>
      </c>
      <c r="G33" s="2934"/>
      <c r="H33" s="2934"/>
      <c r="K33" s="1655"/>
      <c r="L33" s="1655"/>
      <c r="M33" s="1655"/>
      <c r="N33" s="1655"/>
    </row>
    <row r="34" spans="1:14" s="2640" customFormat="1" ht="14.25">
      <c r="A34" s="2895" t="s">
        <v>1613</v>
      </c>
      <c r="B34" s="2923">
        <f>收益法!J54</f>
        <v>29</v>
      </c>
      <c r="D34" s="2902" t="s">
        <v>1616</v>
      </c>
      <c r="E34" s="2636">
        <v>0.02</v>
      </c>
      <c r="F34" s="1279" t="s">
        <v>1617</v>
      </c>
      <c r="G34" s="2934"/>
      <c r="H34" s="2934"/>
      <c r="I34" s="1655"/>
      <c r="J34" s="1655"/>
      <c r="K34" s="1655"/>
      <c r="L34" s="1655"/>
      <c r="M34" s="1655"/>
      <c r="N34" s="1655"/>
    </row>
    <row r="35" spans="1:14" s="2640" customFormat="1" ht="15" thickBot="1">
      <c r="A35" s="2902" t="str">
        <f>IF(B29="租赁期内按合同租金","剩余租赁期","——")</f>
        <v>——</v>
      </c>
      <c r="B35" s="2639"/>
      <c r="D35" s="2898" t="s">
        <v>1619</v>
      </c>
      <c r="E35" s="2642"/>
      <c r="F35" s="1282" t="s">
        <v>1620</v>
      </c>
      <c r="G35" s="2934"/>
      <c r="H35" s="2934"/>
      <c r="I35" s="1655"/>
      <c r="J35" s="1655"/>
      <c r="K35" s="1655"/>
      <c r="L35" s="1655"/>
      <c r="M35" s="1655"/>
      <c r="N35" s="1655"/>
    </row>
    <row r="36" spans="1:14" s="2640" customFormat="1" ht="15">
      <c r="A36" s="2924" t="s">
        <v>1618</v>
      </c>
      <c r="B36" s="2925"/>
      <c r="D36" s="2926" t="s">
        <v>1621</v>
      </c>
      <c r="E36" s="2644">
        <v>0.03</v>
      </c>
      <c r="F36" s="1281" t="s">
        <v>1622</v>
      </c>
      <c r="G36" s="2934"/>
      <c r="H36" s="2934"/>
      <c r="I36" s="1655"/>
      <c r="J36" s="1655"/>
      <c r="K36" s="1655"/>
      <c r="L36" s="1655"/>
      <c r="M36" s="1655"/>
      <c r="N36" s="1655"/>
    </row>
    <row r="37" spans="1:14" s="2640" customFormat="1" ht="15" thickBot="1">
      <c r="A37" s="2900" t="str">
        <f>IF(B29="租赁期内按合同租金","租金","——")</f>
        <v>——</v>
      </c>
      <c r="B37" s="2643"/>
      <c r="D37" s="2902" t="s">
        <v>1623</v>
      </c>
      <c r="E37" s="2636">
        <v>5.0000000000000001E-4</v>
      </c>
      <c r="F37" s="1281" t="s">
        <v>1624</v>
      </c>
      <c r="G37" s="2934"/>
      <c r="H37" s="2934"/>
      <c r="I37" s="1655"/>
      <c r="J37" s="1655"/>
      <c r="K37" s="1655"/>
      <c r="L37" s="1655"/>
      <c r="M37" s="1655"/>
      <c r="N37" s="1655"/>
    </row>
    <row r="38" spans="1:14" s="2640" customFormat="1" ht="14.25">
      <c r="A38" s="2895" t="str">
        <f>IF(B29="租赁期内按合同租金","年租金增长率","——")</f>
        <v>——</v>
      </c>
      <c r="B38" s="2620"/>
      <c r="D38" s="2927" t="s">
        <v>1625</v>
      </c>
      <c r="E38" s="2928">
        <v>1.2E-2</v>
      </c>
      <c r="F38" s="1281"/>
      <c r="G38" s="2933"/>
      <c r="H38" s="2933"/>
      <c r="I38" s="2934"/>
      <c r="J38" s="1655"/>
      <c r="K38" s="1655"/>
      <c r="L38" s="1655"/>
      <c r="M38" s="1655"/>
      <c r="N38" s="1655"/>
    </row>
    <row r="39" spans="1:14" s="2640" customFormat="1" ht="15" thickBot="1">
      <c r="A39" s="2895" t="str">
        <f>IF(B29="租赁期内按合同租金","空置率","——")</f>
        <v>——</v>
      </c>
      <c r="B39" s="2620"/>
      <c r="D39" s="2898" t="s">
        <v>1626</v>
      </c>
      <c r="E39" s="2929">
        <v>0.12</v>
      </c>
      <c r="F39" s="1281"/>
      <c r="G39" s="2934"/>
      <c r="H39" s="2934"/>
      <c r="I39" s="1655"/>
      <c r="J39" s="1655"/>
      <c r="K39" s="1655"/>
      <c r="L39" s="1655"/>
      <c r="M39" s="1655"/>
      <c r="N39" s="1655"/>
    </row>
    <row r="40" spans="1:14" ht="14.25">
      <c r="A40" s="2895" t="str">
        <f>IF(B29="租赁期内按合同租金","成新率","——")</f>
        <v>——</v>
      </c>
      <c r="B40" s="2620"/>
      <c r="D40" s="2927" t="s">
        <v>1627</v>
      </c>
      <c r="E40" s="2931">
        <f>SUMIF(D42:D51,E41,E42:E51)</f>
        <v>0</v>
      </c>
      <c r="F40" s="1281"/>
      <c r="G40" s="2934"/>
      <c r="H40" s="2934"/>
      <c r="I40" s="1655"/>
      <c r="J40" s="1655"/>
      <c r="K40" s="1655"/>
      <c r="L40" s="1655"/>
      <c r="M40" s="1655"/>
      <c r="N40" s="1655"/>
    </row>
    <row r="41" spans="1:14" ht="15" thickBot="1">
      <c r="A41" s="2902" t="str">
        <f>IF(B29="租赁期内按合同租金","租赁期外收益期","——")</f>
        <v>——</v>
      </c>
      <c r="B41" s="2930" t="str">
        <f>IF(B29="租赁期内按合同租金",B34-B35,"——")</f>
        <v>——</v>
      </c>
      <c r="D41" s="2895" t="s">
        <v>1629</v>
      </c>
      <c r="E41" s="2646" t="s">
        <v>70</v>
      </c>
      <c r="F41" s="1281" t="s">
        <v>1630</v>
      </c>
      <c r="G41" s="1739" t="s">
        <v>1631</v>
      </c>
      <c r="H41" s="2934"/>
      <c r="I41" s="1655"/>
      <c r="J41" s="1655"/>
      <c r="K41" s="1655"/>
      <c r="L41" s="1655"/>
      <c r="M41" s="1655"/>
      <c r="N41" s="1655"/>
    </row>
    <row r="42" spans="1:14" ht="14.25">
      <c r="A42" s="2894" t="s">
        <v>1628</v>
      </c>
      <c r="B42" s="2645"/>
      <c r="D42" s="2648" t="s">
        <v>1633</v>
      </c>
      <c r="E42" s="2635"/>
      <c r="F42" s="1281">
        <v>30</v>
      </c>
      <c r="G42" s="2934"/>
      <c r="H42" s="2934"/>
      <c r="I42" s="1655"/>
      <c r="J42" s="1655"/>
      <c r="K42" s="1655"/>
      <c r="L42" s="1655"/>
      <c r="M42" s="1655"/>
      <c r="N42" s="1655"/>
    </row>
    <row r="43" spans="1:14" ht="14.25">
      <c r="A43" s="2895" t="s">
        <v>1632</v>
      </c>
      <c r="B43" s="2647">
        <v>365</v>
      </c>
      <c r="D43" s="2648" t="s">
        <v>1635</v>
      </c>
      <c r="E43" s="2635"/>
      <c r="F43" s="1281">
        <v>24</v>
      </c>
      <c r="G43" s="2934"/>
      <c r="H43" s="2934"/>
      <c r="I43" s="1655"/>
      <c r="J43" s="1655"/>
      <c r="K43" s="1655"/>
      <c r="L43" s="1655"/>
      <c r="M43" s="1655"/>
      <c r="N43" s="1655"/>
    </row>
    <row r="44" spans="1:14" ht="14.25">
      <c r="A44" s="2895" t="s">
        <v>1634</v>
      </c>
      <c r="B44" s="2635"/>
      <c r="D44" s="2648" t="s">
        <v>1637</v>
      </c>
      <c r="E44" s="2635"/>
      <c r="F44" s="1281">
        <v>18</v>
      </c>
      <c r="G44" s="2640"/>
      <c r="H44" s="2640"/>
      <c r="I44" s="2934"/>
      <c r="J44" s="1655"/>
      <c r="K44" s="1655"/>
      <c r="L44" s="1655"/>
      <c r="M44" s="1655"/>
      <c r="N44" s="1655"/>
    </row>
    <row r="45" spans="1:14" ht="14.25">
      <c r="A45" s="2895" t="s">
        <v>1636</v>
      </c>
      <c r="B45" s="2649">
        <v>1.4999999999999999E-2</v>
      </c>
      <c r="C45" s="2528" t="s">
        <v>2784</v>
      </c>
      <c r="D45" s="2648" t="s">
        <v>1639</v>
      </c>
      <c r="E45" s="2635"/>
      <c r="F45" s="1281">
        <v>12</v>
      </c>
      <c r="G45" s="2640"/>
      <c r="H45" s="2640"/>
      <c r="M45" s="1655"/>
      <c r="N45" s="1655"/>
    </row>
    <row r="46" spans="1:14" ht="14.25">
      <c r="A46" s="2895" t="s">
        <v>1638</v>
      </c>
      <c r="B46" s="2650">
        <v>1.5E-3</v>
      </c>
      <c r="C46" s="2528" t="s">
        <v>2782</v>
      </c>
      <c r="D46" s="2648" t="s">
        <v>1401</v>
      </c>
      <c r="E46" s="2635"/>
      <c r="F46" s="1281">
        <v>3</v>
      </c>
      <c r="G46" s="2640"/>
      <c r="H46" s="2640"/>
      <c r="M46" s="1655"/>
      <c r="N46" s="1655"/>
    </row>
    <row r="47" spans="1:14" ht="15" thickBot="1">
      <c r="A47" s="2898" t="s">
        <v>1640</v>
      </c>
      <c r="B47" s="2651">
        <v>0.01</v>
      </c>
      <c r="C47" s="2528" t="s">
        <v>2783</v>
      </c>
      <c r="D47" s="2648" t="s">
        <v>1641</v>
      </c>
      <c r="E47" s="2635"/>
      <c r="F47" s="1281">
        <v>1.5</v>
      </c>
      <c r="G47" s="2640"/>
      <c r="H47" s="2640"/>
      <c r="M47" s="1655"/>
      <c r="N47" s="1655"/>
    </row>
    <row r="48" spans="1:14" ht="14.25">
      <c r="A48" s="2640"/>
      <c r="B48" s="2640"/>
      <c r="D48" s="2648" t="s">
        <v>1642</v>
      </c>
      <c r="E48" s="2635"/>
      <c r="F48" s="1281"/>
      <c r="G48" s="2640"/>
      <c r="H48" s="2640"/>
      <c r="M48" s="1655"/>
      <c r="N48" s="1655"/>
    </row>
    <row r="49" spans="1:41" ht="14.25">
      <c r="A49" s="2640"/>
      <c r="B49" s="2640"/>
      <c r="D49" s="2648" t="s">
        <v>1643</v>
      </c>
      <c r="E49" s="2635"/>
      <c r="F49" s="1281"/>
      <c r="G49" s="2640"/>
      <c r="H49" s="2640"/>
      <c r="M49" s="1655"/>
      <c r="N49" s="1655"/>
    </row>
    <row r="50" spans="1:41" ht="14.25">
      <c r="A50" s="2640"/>
      <c r="B50" s="2640"/>
      <c r="D50" s="2648" t="s">
        <v>1644</v>
      </c>
      <c r="E50" s="2635"/>
      <c r="F50" s="1281"/>
      <c r="G50" s="2640"/>
      <c r="H50" s="2640"/>
      <c r="M50" s="1655"/>
      <c r="N50" s="1655"/>
    </row>
    <row r="51" spans="1:41" s="947" customFormat="1" ht="15" thickBot="1">
      <c r="A51" s="2640"/>
      <c r="B51" s="2640"/>
      <c r="C51" s="2640"/>
      <c r="D51" s="2652" t="s">
        <v>1645</v>
      </c>
      <c r="E51" s="2653"/>
      <c r="F51" s="1281"/>
      <c r="G51" s="2640"/>
      <c r="H51" s="2640"/>
      <c r="I51" s="2640"/>
      <c r="J51" s="2640"/>
      <c r="K51" s="2640"/>
      <c r="L51" s="2640"/>
      <c r="M51" s="1655"/>
      <c r="N51" s="1655"/>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4"/>
      <c r="E52" s="2934"/>
      <c r="F52" s="2934"/>
      <c r="G52" s="2934"/>
      <c r="H52" s="2934"/>
      <c r="I52" s="1655"/>
      <c r="J52" s="1655"/>
      <c r="K52" s="1655"/>
      <c r="L52" s="1655"/>
      <c r="M52" s="1655"/>
      <c r="N52" s="1655"/>
    </row>
    <row r="53" spans="1:41" s="2640" customFormat="1" ht="14.25">
      <c r="D53" s="2934"/>
      <c r="E53" s="2934"/>
      <c r="F53" s="2934"/>
      <c r="G53" s="2934"/>
      <c r="H53" s="2934"/>
      <c r="I53" s="1655"/>
      <c r="J53" s="1655"/>
      <c r="K53" s="1655"/>
      <c r="L53" s="1655"/>
      <c r="M53" s="1655"/>
      <c r="N53" s="1655"/>
    </row>
    <row r="54" spans="1:41" s="2640" customFormat="1" ht="14.25">
      <c r="D54" s="2934"/>
      <c r="E54" s="2934"/>
      <c r="F54" s="2934"/>
      <c r="G54" s="2934"/>
      <c r="H54" s="2934"/>
      <c r="I54" s="1655"/>
      <c r="J54" s="1655"/>
      <c r="K54" s="1655"/>
      <c r="L54" s="1655"/>
      <c r="M54" s="1655"/>
      <c r="N54" s="1655"/>
    </row>
    <row r="55" spans="1:41" s="2640" customFormat="1" ht="14.25">
      <c r="D55" s="2934"/>
      <c r="E55" s="2934"/>
      <c r="F55" s="2934"/>
      <c r="G55" s="2934"/>
      <c r="H55" s="2934"/>
      <c r="I55" s="1655"/>
      <c r="J55" s="1655"/>
      <c r="K55" s="1655"/>
      <c r="L55" s="1655"/>
      <c r="M55" s="1655"/>
      <c r="N55" s="1655"/>
    </row>
    <row r="56" spans="1:41" s="2640" customFormat="1" ht="14.25">
      <c r="D56" s="2934"/>
      <c r="E56" s="2934"/>
      <c r="F56" s="2934"/>
      <c r="G56" s="2934"/>
      <c r="H56" s="2934"/>
      <c r="I56" s="1655"/>
      <c r="J56" s="1655"/>
      <c r="K56" s="1655"/>
      <c r="L56" s="1655"/>
      <c r="M56" s="1655"/>
      <c r="N56" s="1655"/>
    </row>
    <row r="57" spans="1:41" s="2640" customFormat="1" ht="14.25">
      <c r="D57" s="2934"/>
      <c r="E57" s="2934"/>
      <c r="F57" s="2934"/>
      <c r="G57" s="2934"/>
      <c r="H57" s="2934"/>
      <c r="I57" s="1655"/>
      <c r="J57" s="1655"/>
      <c r="K57" s="1655"/>
      <c r="L57" s="1655"/>
      <c r="M57" s="1655"/>
      <c r="N57" s="1655"/>
    </row>
    <row r="58" spans="1:41" s="2640" customFormat="1" ht="14.25">
      <c r="D58" s="2934"/>
      <c r="E58" s="2934"/>
      <c r="F58" s="2934"/>
      <c r="G58" s="2934"/>
      <c r="H58" s="2934"/>
      <c r="I58" s="1655"/>
      <c r="J58" s="1655"/>
      <c r="K58" s="1655"/>
      <c r="L58" s="1655"/>
      <c r="M58" s="1655"/>
      <c r="N58" s="1655"/>
    </row>
    <row r="59" spans="1:41" s="2640" customFormat="1" ht="14.25">
      <c r="D59" s="2934"/>
      <c r="E59" s="2934"/>
      <c r="F59" s="2934"/>
      <c r="G59" s="2934"/>
      <c r="H59" s="2934"/>
      <c r="I59" s="1655"/>
      <c r="J59" s="1655"/>
      <c r="K59" s="1655"/>
      <c r="L59" s="1655"/>
      <c r="M59" s="2935"/>
      <c r="N59" s="1655"/>
    </row>
    <row r="60" spans="1:41" s="2640" customFormat="1" ht="14.25">
      <c r="D60" s="2934"/>
      <c r="E60" s="2934"/>
      <c r="F60" s="2934"/>
      <c r="G60" s="2934"/>
      <c r="H60" s="2934"/>
      <c r="I60" s="1655"/>
      <c r="J60" s="1655"/>
      <c r="K60" s="1655"/>
      <c r="L60" s="1655"/>
      <c r="M60" s="1655"/>
      <c r="N60" s="1655"/>
    </row>
    <row r="61" spans="1:41" s="2640" customFormat="1" ht="14.25">
      <c r="D61" s="2934"/>
      <c r="E61" s="2934"/>
      <c r="F61" s="2934"/>
      <c r="G61" s="2934"/>
      <c r="H61" s="2934"/>
      <c r="I61" s="1655"/>
      <c r="J61" s="1655"/>
      <c r="K61" s="1655"/>
      <c r="L61" s="1655"/>
      <c r="M61" s="1655"/>
      <c r="N61" s="1655"/>
    </row>
    <row r="62" spans="1:41" s="2640" customFormat="1" ht="14.25">
      <c r="D62" s="2934"/>
      <c r="E62" s="2934"/>
      <c r="F62" s="2934"/>
      <c r="G62" s="2934"/>
      <c r="H62" s="2934"/>
      <c r="I62" s="1655"/>
      <c r="J62" s="1655"/>
      <c r="K62" s="1655"/>
      <c r="L62" s="1655"/>
      <c r="M62" s="1655"/>
      <c r="N62" s="1655"/>
    </row>
    <row r="63" spans="1:41" s="2640" customFormat="1" ht="14.25">
      <c r="D63" s="2934"/>
      <c r="E63" s="2934"/>
      <c r="F63" s="2934"/>
      <c r="G63" s="2934"/>
      <c r="H63" s="2934"/>
      <c r="I63" s="1655"/>
      <c r="J63" s="1655"/>
      <c r="K63" s="1655"/>
      <c r="L63" s="1655"/>
      <c r="M63" s="1655"/>
      <c r="N63" s="1655"/>
    </row>
    <row r="64" spans="1:41" s="2640" customFormat="1" ht="14.25">
      <c r="D64" s="2934"/>
      <c r="E64" s="2934"/>
      <c r="F64" s="2934"/>
      <c r="G64" s="2934"/>
      <c r="H64" s="2934"/>
      <c r="I64" s="1655"/>
      <c r="J64" s="1655"/>
      <c r="K64" s="1655"/>
      <c r="L64" s="1655"/>
      <c r="M64" s="1655"/>
      <c r="N64" s="1655"/>
    </row>
    <row r="65" spans="1:14" s="2640" customFormat="1" ht="14.25">
      <c r="D65" s="2934"/>
      <c r="E65" s="2934"/>
      <c r="F65" s="2934"/>
      <c r="G65" s="2934"/>
      <c r="H65" s="2934"/>
      <c r="I65" s="1655"/>
      <c r="J65" s="1655"/>
      <c r="K65" s="1655"/>
      <c r="L65" s="1655"/>
      <c r="M65" s="1655"/>
      <c r="N65" s="1655"/>
    </row>
    <row r="66" spans="1:14" s="2640" customFormat="1" ht="14.25">
      <c r="D66" s="2934"/>
      <c r="E66" s="2934"/>
      <c r="F66" s="2934"/>
      <c r="G66" s="2934"/>
      <c r="H66" s="2934"/>
      <c r="I66" s="1655"/>
      <c r="J66" s="1655"/>
      <c r="K66" s="1655"/>
      <c r="L66" s="1655"/>
      <c r="M66" s="1655"/>
      <c r="N66" s="1655"/>
    </row>
    <row r="67" spans="1:14" s="2640" customFormat="1" ht="14.25">
      <c r="A67" s="2938"/>
      <c r="D67" s="2934"/>
      <c r="E67" s="2934"/>
      <c r="F67" s="2934"/>
      <c r="G67" s="2934"/>
      <c r="H67" s="2934"/>
      <c r="I67" s="1655"/>
      <c r="J67" s="1655"/>
      <c r="K67" s="1655"/>
      <c r="L67" s="1655"/>
      <c r="M67" s="1655"/>
      <c r="N67" s="1655"/>
    </row>
    <row r="68" spans="1:14" s="2640" customFormat="1" ht="14.25">
      <c r="A68" s="2938"/>
      <c r="D68" s="2934"/>
      <c r="E68" s="2934"/>
      <c r="F68" s="2934"/>
      <c r="G68" s="2933"/>
      <c r="H68" s="2933"/>
    </row>
    <row r="69" spans="1:14" s="2640" customFormat="1">
      <c r="A69" s="2938"/>
      <c r="D69" s="2933"/>
      <c r="E69" s="2933"/>
      <c r="F69" s="2933"/>
      <c r="G69" s="2933"/>
      <c r="H69" s="2933"/>
    </row>
    <row r="70" spans="1:14" s="2640" customFormat="1">
      <c r="A70" s="2938"/>
      <c r="D70" s="2933"/>
      <c r="E70" s="2933"/>
      <c r="F70" s="2933"/>
      <c r="G70" s="2933"/>
      <c r="H70" s="2933"/>
    </row>
    <row r="71" spans="1:14" s="2640" customFormat="1">
      <c r="A71" s="2938"/>
      <c r="D71" s="2933"/>
      <c r="E71" s="2933"/>
      <c r="F71" s="2933"/>
      <c r="G71" s="2933"/>
      <c r="H71" s="2933"/>
    </row>
    <row r="72" spans="1:14" s="2640" customFormat="1">
      <c r="A72" s="2938"/>
      <c r="D72" s="2933"/>
      <c r="E72" s="2933"/>
      <c r="F72" s="2933"/>
      <c r="G72" s="2933"/>
      <c r="H72" s="2933"/>
    </row>
    <row r="73" spans="1:14" s="2640" customFormat="1">
      <c r="A73" s="2938"/>
      <c r="D73" s="2933"/>
      <c r="E73" s="2933"/>
      <c r="F73" s="2933"/>
      <c r="G73" s="2933"/>
      <c r="H73" s="2933"/>
    </row>
    <row r="74" spans="1:14" s="2640" customFormat="1">
      <c r="A74" s="2938"/>
      <c r="D74" s="2933"/>
      <c r="E74" s="2933"/>
      <c r="F74" s="2933"/>
      <c r="G74" s="2933"/>
      <c r="H74" s="2933"/>
    </row>
    <row r="75" spans="1:14" s="2640" customFormat="1">
      <c r="A75" s="2938"/>
      <c r="D75" s="2933"/>
      <c r="E75" s="2933"/>
      <c r="F75" s="2933"/>
      <c r="G75" s="2933"/>
      <c r="H75" s="2933"/>
    </row>
    <row r="76" spans="1:14" s="2640" customFormat="1">
      <c r="A76" s="2938"/>
      <c r="D76" s="2933"/>
      <c r="E76" s="2933"/>
      <c r="F76" s="2933"/>
      <c r="G76" s="2933"/>
      <c r="H76" s="2933"/>
    </row>
    <row r="77" spans="1:14" s="2640" customFormat="1">
      <c r="A77" s="2938"/>
      <c r="D77" s="2933"/>
      <c r="E77" s="2933"/>
      <c r="F77" s="2933"/>
      <c r="G77" s="2933"/>
      <c r="H77" s="2933"/>
    </row>
    <row r="78" spans="1:14" s="2640" customFormat="1">
      <c r="A78" s="2938"/>
      <c r="D78" s="2933"/>
      <c r="E78" s="2933"/>
      <c r="F78" s="2933"/>
      <c r="G78" s="2933"/>
      <c r="H78" s="2933"/>
    </row>
    <row r="79" spans="1:14" s="2640" customFormat="1">
      <c r="A79" s="2938"/>
      <c r="D79" s="2933"/>
      <c r="E79" s="2933"/>
      <c r="F79" s="2933"/>
      <c r="G79" s="2933"/>
      <c r="H79" s="2933"/>
    </row>
    <row r="80" spans="1:14" s="2640" customFormat="1">
      <c r="A80" s="2938"/>
      <c r="D80" s="2933"/>
      <c r="E80" s="2933"/>
      <c r="F80" s="2933"/>
      <c r="G80" s="2933"/>
      <c r="H80" s="2933"/>
    </row>
    <row r="81" spans="1:8" s="2640" customFormat="1">
      <c r="A81" s="2938"/>
      <c r="D81" s="2933"/>
      <c r="E81" s="2933"/>
      <c r="F81" s="2933"/>
      <c r="G81" s="2933"/>
      <c r="H81" s="2933"/>
    </row>
    <row r="82" spans="1:8" s="2640" customFormat="1">
      <c r="A82" s="2938"/>
      <c r="D82" s="2933"/>
      <c r="E82" s="2933"/>
      <c r="F82" s="2933"/>
      <c r="G82" s="2933"/>
      <c r="H82" s="2933"/>
    </row>
    <row r="83" spans="1:8" s="2640" customFormat="1">
      <c r="A83" s="2938"/>
      <c r="D83" s="2933"/>
      <c r="E83" s="2933"/>
      <c r="F83" s="2933"/>
      <c r="G83" s="2933"/>
      <c r="H83" s="2933"/>
    </row>
    <row r="84" spans="1:8" s="2640" customFormat="1">
      <c r="A84" s="2938"/>
      <c r="D84" s="2933"/>
      <c r="E84" s="2933"/>
      <c r="F84" s="2933"/>
      <c r="G84" s="2933"/>
      <c r="H84" s="2933"/>
    </row>
    <row r="85" spans="1:8" s="2640" customFormat="1">
      <c r="A85" s="2938"/>
      <c r="D85" s="2933"/>
      <c r="E85" s="2933"/>
      <c r="F85" s="2933"/>
      <c r="G85" s="2933"/>
      <c r="H85" s="2933"/>
    </row>
    <row r="86" spans="1:8" s="2640" customFormat="1">
      <c r="A86" s="2938"/>
      <c r="D86" s="2933"/>
      <c r="E86" s="2933"/>
      <c r="F86" s="2933"/>
      <c r="G86" s="2933"/>
      <c r="H86" s="2933"/>
    </row>
    <row r="87" spans="1:8" s="2640" customFormat="1">
      <c r="A87" s="2938"/>
      <c r="D87" s="2933"/>
      <c r="E87" s="2933"/>
      <c r="F87" s="2933"/>
      <c r="G87" s="2933"/>
      <c r="H87" s="2933"/>
    </row>
    <row r="88" spans="1:8" s="2640" customFormat="1">
      <c r="A88" s="2938"/>
      <c r="D88" s="2933"/>
      <c r="E88" s="2933"/>
      <c r="F88" s="2933"/>
      <c r="G88" s="2933"/>
      <c r="H88" s="2933"/>
    </row>
    <row r="89" spans="1:8" s="2640" customFormat="1">
      <c r="A89" s="2938"/>
      <c r="D89" s="2933"/>
      <c r="E89" s="2933"/>
      <c r="F89" s="2933"/>
      <c r="G89" s="2933"/>
      <c r="H89" s="2933"/>
    </row>
    <row r="90" spans="1:8" s="2640" customFormat="1">
      <c r="A90" s="2938"/>
      <c r="D90" s="2933"/>
      <c r="E90" s="2933"/>
      <c r="F90" s="2933"/>
      <c r="G90" s="2933"/>
      <c r="H90" s="2933"/>
    </row>
    <row r="91" spans="1:8" s="2640" customFormat="1">
      <c r="A91" s="2938"/>
      <c r="D91" s="2933"/>
      <c r="E91" s="2933"/>
      <c r="F91" s="2933"/>
      <c r="G91" s="2933"/>
      <c r="H91" s="2933"/>
    </row>
    <row r="92" spans="1:8" s="2640" customFormat="1">
      <c r="A92" s="2938"/>
      <c r="D92" s="2933"/>
      <c r="E92" s="2933"/>
      <c r="F92" s="2933"/>
      <c r="G92" s="2933"/>
      <c r="H92" s="2933"/>
    </row>
    <row r="93" spans="1:8" s="2640" customFormat="1">
      <c r="A93" s="2938"/>
      <c r="D93" s="2933"/>
      <c r="E93" s="2933"/>
      <c r="F93" s="2933"/>
      <c r="G93" s="2933"/>
      <c r="H93" s="2933"/>
    </row>
    <row r="94" spans="1:8" s="2640" customFormat="1">
      <c r="A94" s="2938"/>
      <c r="D94" s="2933"/>
      <c r="E94" s="2933"/>
      <c r="F94" s="2933"/>
      <c r="G94" s="2933"/>
      <c r="H94" s="2933"/>
    </row>
    <row r="95" spans="1:8" s="2640" customFormat="1">
      <c r="A95" s="2938"/>
      <c r="D95" s="2933"/>
      <c r="E95" s="2933"/>
      <c r="F95" s="2933"/>
      <c r="G95" s="2933"/>
      <c r="H95" s="2933"/>
    </row>
    <row r="96" spans="1:8" s="2640" customFormat="1">
      <c r="A96" s="2938"/>
      <c r="D96" s="2933"/>
      <c r="E96" s="2933"/>
      <c r="F96" s="2933"/>
      <c r="G96" s="2933"/>
      <c r="H96" s="2933"/>
    </row>
    <row r="97" spans="1:8" s="2640" customFormat="1">
      <c r="A97" s="2938"/>
      <c r="D97" s="2933"/>
      <c r="E97" s="2933"/>
      <c r="F97" s="2933"/>
      <c r="G97" s="2933"/>
      <c r="H97" s="2933"/>
    </row>
    <row r="98" spans="1:8" s="2640" customFormat="1">
      <c r="A98" s="2938"/>
      <c r="D98" s="2933"/>
      <c r="E98" s="2933"/>
      <c r="F98" s="2933"/>
      <c r="G98" s="2933"/>
      <c r="H98" s="2933"/>
    </row>
    <row r="99" spans="1:8" s="2640" customFormat="1">
      <c r="A99" s="2938"/>
      <c r="D99" s="2933"/>
      <c r="E99" s="2933"/>
      <c r="F99" s="2933"/>
      <c r="G99" s="2933"/>
      <c r="H99" s="2933"/>
    </row>
    <row r="100" spans="1:8" s="2640" customFormat="1">
      <c r="A100" s="2938"/>
      <c r="D100" s="2933"/>
      <c r="E100" s="2933"/>
      <c r="F100" s="2933"/>
      <c r="G100" s="2933"/>
      <c r="H100" s="2933"/>
    </row>
    <row r="101" spans="1:8" s="2640" customFormat="1">
      <c r="A101" s="2938"/>
      <c r="D101" s="2933"/>
      <c r="E101" s="2933"/>
      <c r="F101" s="2933"/>
      <c r="G101" s="2933"/>
      <c r="H101" s="2933"/>
    </row>
    <row r="102" spans="1:8" s="2640" customFormat="1">
      <c r="A102" s="2938"/>
      <c r="D102" s="2933"/>
      <c r="E102" s="2933"/>
      <c r="F102" s="2933"/>
      <c r="G102" s="2933"/>
      <c r="H102" s="2933"/>
    </row>
    <row r="103" spans="1:8" s="2640" customFormat="1">
      <c r="A103" s="2938"/>
      <c r="D103" s="2933"/>
      <c r="E103" s="2933"/>
      <c r="F103" s="2933"/>
      <c r="G103" s="2933"/>
      <c r="H103" s="2933"/>
    </row>
    <row r="104" spans="1:8" s="2640" customFormat="1">
      <c r="A104" s="2938"/>
      <c r="D104" s="2933"/>
      <c r="E104" s="2933"/>
      <c r="F104" s="2933"/>
      <c r="G104" s="2933"/>
      <c r="H104" s="2933"/>
    </row>
    <row r="105" spans="1:8" s="2640" customFormat="1">
      <c r="A105" s="2938"/>
      <c r="D105" s="2933"/>
      <c r="E105" s="2933"/>
      <c r="F105" s="2933"/>
      <c r="G105" s="2933"/>
      <c r="H105" s="2933"/>
    </row>
    <row r="106" spans="1:8" s="2640" customFormat="1">
      <c r="A106" s="2938"/>
      <c r="D106" s="2933"/>
      <c r="E106" s="2933"/>
      <c r="F106" s="2933"/>
      <c r="G106" s="2933"/>
      <c r="H106" s="2933"/>
    </row>
    <row r="107" spans="1:8" s="2640" customFormat="1">
      <c r="A107" s="2938"/>
      <c r="D107" s="2933"/>
      <c r="E107" s="2933"/>
      <c r="F107" s="2933"/>
      <c r="G107" s="2933"/>
      <c r="H107" s="2933"/>
    </row>
    <row r="108" spans="1:8" s="2640" customFormat="1">
      <c r="A108" s="2938"/>
      <c r="D108" s="2933"/>
      <c r="E108" s="2933"/>
      <c r="F108" s="2933"/>
      <c r="G108" s="2933"/>
      <c r="H108" s="2933"/>
    </row>
    <row r="109" spans="1:8" s="2640" customFormat="1">
      <c r="A109" s="2938"/>
      <c r="D109" s="2933"/>
      <c r="E109" s="2933"/>
      <c r="F109" s="2933"/>
      <c r="G109" s="2933"/>
      <c r="H109" s="2933"/>
    </row>
    <row r="110" spans="1:8" s="2640" customFormat="1">
      <c r="A110" s="2938"/>
      <c r="D110" s="2933"/>
      <c r="E110" s="2933"/>
      <c r="F110" s="2933"/>
      <c r="G110" s="2933"/>
      <c r="H110" s="2933"/>
    </row>
    <row r="111" spans="1:8" s="2640" customFormat="1">
      <c r="A111" s="2938"/>
      <c r="D111" s="2933"/>
      <c r="E111" s="2933"/>
      <c r="F111" s="2933"/>
      <c r="G111" s="2933"/>
      <c r="H111" s="2933"/>
    </row>
    <row r="112" spans="1:8" s="2640" customFormat="1">
      <c r="A112" s="2938"/>
      <c r="D112" s="2933"/>
      <c r="E112" s="2933"/>
      <c r="F112" s="2933"/>
      <c r="G112" s="2933"/>
      <c r="H112" s="2933"/>
    </row>
    <row r="113" spans="1:8" s="2640" customFormat="1">
      <c r="A113" s="2938"/>
      <c r="D113" s="2933"/>
      <c r="E113" s="2933"/>
      <c r="F113" s="2933"/>
      <c r="G113" s="2933"/>
      <c r="H113" s="2933"/>
    </row>
    <row r="114" spans="1:8" s="2640" customFormat="1">
      <c r="A114" s="2938"/>
      <c r="D114" s="2933"/>
      <c r="E114" s="2933"/>
      <c r="F114" s="2933"/>
      <c r="G114" s="2933"/>
      <c r="H114" s="2933"/>
    </row>
    <row r="115" spans="1:8" s="2640" customFormat="1">
      <c r="A115" s="2938"/>
      <c r="D115" s="2933"/>
      <c r="E115" s="2933"/>
      <c r="F115" s="2933"/>
      <c r="G115" s="2933"/>
      <c r="H115" s="2933"/>
    </row>
    <row r="116" spans="1:8" s="2640" customFormat="1">
      <c r="A116" s="2938"/>
      <c r="D116" s="2933"/>
      <c r="E116" s="2933"/>
      <c r="F116" s="2933"/>
      <c r="G116" s="2933"/>
      <c r="H116" s="2933"/>
    </row>
    <row r="117" spans="1:8" s="2640" customFormat="1">
      <c r="A117" s="2938"/>
      <c r="D117" s="2933"/>
      <c r="E117" s="2933"/>
      <c r="F117" s="2933"/>
      <c r="G117" s="2933"/>
      <c r="H117" s="2933"/>
    </row>
    <row r="118" spans="1:8" s="2640" customFormat="1">
      <c r="A118" s="2938"/>
      <c r="D118" s="2933"/>
      <c r="E118" s="2933"/>
      <c r="F118" s="2933"/>
      <c r="G118" s="2933"/>
      <c r="H118" s="2933"/>
    </row>
    <row r="119" spans="1:8" s="2640" customFormat="1">
      <c r="A119" s="2938"/>
      <c r="D119" s="2933"/>
      <c r="E119" s="2933"/>
      <c r="F119" s="2933"/>
      <c r="G119" s="2933"/>
      <c r="H119" s="2933"/>
    </row>
    <row r="120" spans="1:8" s="2640" customFormat="1">
      <c r="A120" s="2938"/>
      <c r="D120" s="2933"/>
      <c r="E120" s="2933"/>
      <c r="F120" s="2933"/>
      <c r="G120" s="2933"/>
      <c r="H120" s="2933"/>
    </row>
    <row r="121" spans="1:8" s="2640" customFormat="1">
      <c r="A121" s="2938"/>
      <c r="D121" s="2933"/>
      <c r="E121" s="2933"/>
      <c r="F121" s="2933"/>
      <c r="G121" s="2933"/>
      <c r="H121" s="2933"/>
    </row>
    <row r="122" spans="1:8" s="2640" customFormat="1">
      <c r="A122" s="2938"/>
      <c r="D122" s="2933"/>
      <c r="E122" s="2933"/>
      <c r="F122" s="2933"/>
      <c r="G122" s="2933"/>
      <c r="H122" s="2933"/>
    </row>
    <row r="123" spans="1:8" s="2640" customFormat="1">
      <c r="A123" s="2938"/>
      <c r="D123" s="2933"/>
      <c r="E123" s="2933"/>
      <c r="F123" s="2933"/>
      <c r="G123" s="2933"/>
      <c r="H123" s="2933"/>
    </row>
    <row r="124" spans="1:8" s="2640" customFormat="1">
      <c r="A124" s="2938"/>
      <c r="D124" s="2933"/>
      <c r="E124" s="2933"/>
      <c r="F124" s="2933"/>
      <c r="G124" s="2933"/>
      <c r="H124" s="2933"/>
    </row>
    <row r="125" spans="1:8" s="2640" customFormat="1">
      <c r="A125" s="2938"/>
      <c r="D125" s="2933"/>
      <c r="E125" s="2933"/>
      <c r="F125" s="2933"/>
      <c r="G125" s="2933"/>
      <c r="H125" s="2933"/>
    </row>
    <row r="126" spans="1:8" s="2640" customFormat="1">
      <c r="A126" s="2938"/>
      <c r="D126" s="2933"/>
      <c r="E126" s="2933"/>
      <c r="F126" s="2933"/>
      <c r="G126" s="2933"/>
      <c r="H126" s="2933"/>
    </row>
    <row r="127" spans="1:8" s="2640" customFormat="1">
      <c r="A127" s="2938"/>
      <c r="D127" s="2933"/>
      <c r="E127" s="2933"/>
      <c r="F127" s="2933"/>
      <c r="G127" s="2933"/>
      <c r="H127" s="2933"/>
    </row>
    <row r="128" spans="1:8" s="2640" customFormat="1">
      <c r="A128" s="2938"/>
      <c r="D128" s="2933"/>
      <c r="E128" s="2933"/>
      <c r="F128" s="2933"/>
      <c r="G128" s="2933"/>
      <c r="H128" s="2933"/>
    </row>
    <row r="129" spans="1:8" s="2640" customFormat="1">
      <c r="A129" s="2938"/>
      <c r="D129" s="2933"/>
      <c r="E129" s="2933"/>
      <c r="F129" s="2933"/>
      <c r="G129" s="2933"/>
      <c r="H129" s="2933"/>
    </row>
    <row r="130" spans="1:8" s="2640" customFormat="1">
      <c r="A130" s="2938"/>
      <c r="D130" s="2933"/>
      <c r="E130" s="2933"/>
      <c r="F130" s="2933"/>
      <c r="G130" s="2933"/>
      <c r="H130" s="2933"/>
    </row>
    <row r="131" spans="1:8" s="2640" customFormat="1">
      <c r="A131" s="2938"/>
      <c r="D131" s="2933"/>
      <c r="E131" s="2933"/>
      <c r="F131" s="2933"/>
      <c r="G131" s="2933"/>
      <c r="H131" s="2933"/>
    </row>
    <row r="132" spans="1:8" s="2640" customFormat="1">
      <c r="A132" s="2938"/>
      <c r="D132" s="2933"/>
      <c r="E132" s="2933"/>
      <c r="F132" s="2933"/>
      <c r="G132" s="2933"/>
      <c r="H132" s="2933"/>
    </row>
    <row r="133" spans="1:8" s="2640" customFormat="1">
      <c r="A133" s="2938"/>
      <c r="D133" s="2933"/>
      <c r="E133" s="2933"/>
      <c r="F133" s="2933"/>
      <c r="G133" s="2933"/>
      <c r="H133" s="2933"/>
    </row>
    <row r="134" spans="1:8" s="2640" customFormat="1">
      <c r="A134" s="2938"/>
      <c r="D134" s="2933"/>
      <c r="E134" s="2933"/>
      <c r="F134" s="2933"/>
      <c r="G134" s="2933"/>
      <c r="H134" s="2933"/>
    </row>
    <row r="135" spans="1:8" s="2640" customFormat="1">
      <c r="A135" s="2938"/>
      <c r="D135" s="2933"/>
      <c r="E135" s="2933"/>
      <c r="F135" s="2933"/>
      <c r="G135" s="2933"/>
      <c r="H135" s="2933"/>
    </row>
    <row r="136" spans="1:8" s="2640" customFormat="1">
      <c r="A136" s="2938"/>
      <c r="D136" s="2933"/>
      <c r="E136" s="2933"/>
      <c r="F136" s="2933"/>
      <c r="G136" s="2933"/>
      <c r="H136" s="2933"/>
    </row>
    <row r="137" spans="1:8" s="2640" customFormat="1">
      <c r="A137" s="2938"/>
      <c r="D137" s="2933"/>
      <c r="E137" s="2933"/>
      <c r="F137" s="2933"/>
      <c r="G137" s="2933"/>
      <c r="H137" s="2933"/>
    </row>
    <row r="138" spans="1:8" s="2640" customFormat="1">
      <c r="A138" s="2938"/>
      <c r="D138" s="2933"/>
      <c r="E138" s="2933"/>
      <c r="F138" s="2933"/>
      <c r="G138" s="2933"/>
      <c r="H138" s="2933"/>
    </row>
    <row r="139" spans="1:8" s="2640" customFormat="1">
      <c r="A139" s="2938"/>
      <c r="D139" s="2933"/>
      <c r="E139" s="2933"/>
      <c r="F139" s="2933"/>
      <c r="G139" s="2933"/>
      <c r="H139" s="2933"/>
    </row>
    <row r="140" spans="1:8" s="2640" customFormat="1">
      <c r="A140" s="2938"/>
      <c r="D140" s="2933"/>
      <c r="E140" s="2933"/>
      <c r="F140" s="2933"/>
      <c r="G140" s="2933"/>
      <c r="H140" s="2933"/>
    </row>
    <row r="141" spans="1:8" s="2640" customFormat="1">
      <c r="A141" s="2938"/>
      <c r="D141" s="2933"/>
      <c r="E141" s="2933"/>
      <c r="F141" s="2933"/>
      <c r="G141" s="2933"/>
      <c r="H141" s="2933"/>
    </row>
    <row r="142" spans="1:8" s="2640" customFormat="1">
      <c r="A142" s="2938"/>
      <c r="D142" s="2933"/>
      <c r="E142" s="2933"/>
      <c r="F142" s="2933"/>
      <c r="G142" s="2933"/>
      <c r="H142" s="2933"/>
    </row>
    <row r="143" spans="1:8" s="2640" customFormat="1">
      <c r="A143" s="2938"/>
      <c r="D143" s="2933"/>
      <c r="E143" s="2933"/>
      <c r="F143" s="2933"/>
      <c r="G143" s="2933"/>
      <c r="H143" s="2933"/>
    </row>
    <row r="144" spans="1:8" s="2640" customFormat="1">
      <c r="A144" s="2938"/>
      <c r="D144" s="2933"/>
      <c r="E144" s="2933"/>
      <c r="F144" s="2933"/>
      <c r="G144" s="2933"/>
      <c r="H144" s="2933"/>
    </row>
    <row r="145" spans="1:8" s="2640" customFormat="1">
      <c r="A145" s="2938"/>
      <c r="D145" s="2933"/>
      <c r="E145" s="2933"/>
      <c r="F145" s="2933"/>
      <c r="G145" s="2933"/>
      <c r="H145" s="2933"/>
    </row>
    <row r="146" spans="1:8" s="2640" customFormat="1">
      <c r="A146" s="2938"/>
      <c r="D146" s="2933"/>
      <c r="E146" s="2933"/>
      <c r="F146" s="2933"/>
      <c r="G146" s="2933"/>
      <c r="H146" s="2933"/>
    </row>
    <row r="147" spans="1:8" s="2640" customFormat="1">
      <c r="A147" s="2938"/>
      <c r="D147" s="2933"/>
      <c r="E147" s="2933"/>
      <c r="F147" s="2933"/>
      <c r="G147" s="2933"/>
      <c r="H147" s="2933"/>
    </row>
    <row r="148" spans="1:8" s="2640" customFormat="1">
      <c r="A148" s="2938"/>
      <c r="D148" s="2933"/>
      <c r="E148" s="2933"/>
      <c r="F148" s="2933"/>
      <c r="G148" s="2933"/>
      <c r="H148" s="2933"/>
    </row>
    <row r="149" spans="1:8" s="2640" customFormat="1">
      <c r="A149" s="2938"/>
      <c r="D149" s="2933"/>
      <c r="E149" s="2933"/>
      <c r="F149" s="2933"/>
      <c r="G149" s="2933"/>
      <c r="H149" s="2933"/>
    </row>
    <row r="150" spans="1:8" s="2640" customFormat="1">
      <c r="A150" s="2938"/>
      <c r="D150" s="2933"/>
      <c r="E150" s="2933"/>
      <c r="F150" s="2933"/>
      <c r="G150" s="2933"/>
      <c r="H150" s="2933"/>
    </row>
    <row r="151" spans="1:8" s="2640" customFormat="1">
      <c r="A151" s="2938"/>
      <c r="D151" s="2933"/>
      <c r="E151" s="2933"/>
      <c r="F151" s="2933"/>
      <c r="G151" s="2933"/>
      <c r="H151" s="2933"/>
    </row>
    <row r="152" spans="1:8" s="2640" customFormat="1">
      <c r="A152" s="2938"/>
      <c r="D152" s="2933"/>
      <c r="E152" s="2933"/>
      <c r="F152" s="2933"/>
      <c r="G152" s="2933"/>
      <c r="H152" s="2933"/>
    </row>
    <row r="153" spans="1:8" s="2640" customFormat="1">
      <c r="A153" s="2938"/>
      <c r="D153" s="2933"/>
      <c r="E153" s="2933"/>
      <c r="F153" s="2933"/>
      <c r="G153" s="2933"/>
      <c r="H153" s="2933"/>
    </row>
    <row r="154" spans="1:8" s="2640" customFormat="1">
      <c r="A154" s="2938"/>
      <c r="D154" s="2933"/>
      <c r="E154" s="2933"/>
      <c r="F154" s="2933"/>
      <c r="G154" s="2933"/>
      <c r="H154" s="2933"/>
    </row>
    <row r="155" spans="1:8" s="2640" customFormat="1">
      <c r="A155" s="2938"/>
      <c r="D155" s="2933"/>
      <c r="E155" s="2933"/>
      <c r="F155" s="2933"/>
      <c r="G155" s="2933"/>
      <c r="H155" s="2933"/>
    </row>
    <row r="156" spans="1:8" s="2640" customFormat="1">
      <c r="A156" s="2938"/>
      <c r="D156" s="2933"/>
      <c r="E156" s="2933"/>
      <c r="F156" s="2933"/>
      <c r="G156" s="2933"/>
      <c r="H156" s="2933"/>
    </row>
    <row r="157" spans="1:8" s="2640" customFormat="1">
      <c r="A157" s="2938"/>
      <c r="D157" s="2933"/>
      <c r="E157" s="2933"/>
      <c r="F157" s="2933"/>
      <c r="G157" s="2933"/>
      <c r="H157" s="2933"/>
    </row>
    <row r="158" spans="1:8">
      <c r="A158" s="2938"/>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ColWidth="9" defaultRowHeight="14.25"/>
  <cols>
    <col min="1" max="1" width="14.75" style="2602" customWidth="1"/>
    <col min="2" max="2" width="24.5" style="2615" customWidth="1"/>
    <col min="3" max="3" width="28.375" style="2676" customWidth="1"/>
    <col min="4" max="4" width="2.625" style="2676" customWidth="1"/>
    <col min="5" max="5" width="5.875" style="2676" customWidth="1"/>
    <col min="6" max="6" width="27" style="2615"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2"/>
  </cols>
  <sheetData>
    <row r="1" spans="1:29" s="2661" customFormat="1" ht="19.5" thickBot="1">
      <c r="A1" s="3432" t="s">
        <v>1646</v>
      </c>
      <c r="B1" s="3433"/>
      <c r="C1" s="3433"/>
      <c r="D1" s="3433"/>
      <c r="E1" s="3433"/>
      <c r="F1" s="3433"/>
      <c r="G1" s="3433"/>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599" customFormat="1" ht="13.5" thickBot="1">
      <c r="A2" s="3064"/>
      <c r="B2" s="3065"/>
      <c r="C2" s="3066" t="s">
        <v>2789</v>
      </c>
      <c r="D2" s="3067"/>
      <c r="E2" s="3064"/>
      <c r="F2" s="3068"/>
      <c r="G2" s="3066" t="s">
        <v>2790</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599" customFormat="1" ht="36">
      <c r="A3" s="3070" t="s">
        <v>2791</v>
      </c>
      <c r="B3" s="3071" t="s">
        <v>2792</v>
      </c>
      <c r="C3" s="3072" t="s">
        <v>2793</v>
      </c>
      <c r="D3" s="3073"/>
      <c r="E3" s="3074" t="s">
        <v>2791</v>
      </c>
      <c r="F3" s="3075" t="s">
        <v>2794</v>
      </c>
      <c r="G3" s="3076" t="s">
        <v>2795</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599" customFormat="1" ht="24.75">
      <c r="A4" s="3074"/>
      <c r="B4" s="3058" t="s">
        <v>2796</v>
      </c>
      <c r="C4" s="3077" t="s">
        <v>2797</v>
      </c>
      <c r="D4" s="3073"/>
      <c r="E4" s="3078"/>
      <c r="F4" s="3060" t="s">
        <v>2798</v>
      </c>
      <c r="G4" s="3079" t="s">
        <v>2799</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599" customFormat="1" ht="24.75">
      <c r="A5" s="3074"/>
      <c r="B5" s="3058" t="s">
        <v>2800</v>
      </c>
      <c r="C5" s="3077" t="s">
        <v>2801</v>
      </c>
      <c r="D5" s="3073"/>
      <c r="E5" s="3078"/>
      <c r="F5" s="3058" t="s">
        <v>2802</v>
      </c>
      <c r="G5" s="3079" t="s">
        <v>2803</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599" customFormat="1" ht="36">
      <c r="A6" s="3074"/>
      <c r="B6" s="3058" t="s">
        <v>2804</v>
      </c>
      <c r="C6" s="3079" t="s">
        <v>2799</v>
      </c>
      <c r="D6" s="3073"/>
      <c r="E6" s="3078"/>
      <c r="F6" s="3058" t="s">
        <v>2805</v>
      </c>
      <c r="G6" s="3079" t="s">
        <v>2806</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599" customFormat="1" ht="24.75" thickBot="1">
      <c r="A7" s="3074"/>
      <c r="B7" s="3058" t="s">
        <v>2802</v>
      </c>
      <c r="C7" s="3079" t="s">
        <v>2803</v>
      </c>
      <c r="D7" s="2947"/>
      <c r="E7" s="3080"/>
      <c r="F7" s="3081" t="s">
        <v>2807</v>
      </c>
      <c r="G7" s="3082" t="s">
        <v>2808</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599" customFormat="1" ht="12.75">
      <c r="A8" s="3074"/>
      <c r="B8" s="3058" t="s">
        <v>2805</v>
      </c>
      <c r="C8" s="3079" t="s">
        <v>2806</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599" customFormat="1" ht="24">
      <c r="A9" s="3074"/>
      <c r="B9" s="3058" t="s">
        <v>2809</v>
      </c>
      <c r="C9" s="3077" t="s">
        <v>2810</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0" customFormat="1" ht="13.5" thickBot="1">
      <c r="A10" s="3083"/>
      <c r="B10" s="3062" t="s">
        <v>2811</v>
      </c>
      <c r="C10" s="3084"/>
      <c r="D10" s="3073"/>
      <c r="E10" s="3073"/>
      <c r="F10" s="2942"/>
      <c r="G10" s="2942"/>
      <c r="H10" s="1468"/>
      <c r="I10" s="3085"/>
      <c r="J10" s="3086"/>
      <c r="K10" s="1468"/>
      <c r="L10" s="3085"/>
      <c r="M10" s="3086"/>
      <c r="N10" s="1468"/>
      <c r="O10" s="3085"/>
      <c r="P10" s="3086"/>
      <c r="Q10" s="1468"/>
      <c r="R10" s="3085"/>
      <c r="S10" s="3069"/>
      <c r="T10" s="3069"/>
      <c r="U10" s="3069"/>
      <c r="V10" s="3069"/>
      <c r="W10" s="3069"/>
      <c r="X10" s="3069"/>
      <c r="Y10" s="3069"/>
      <c r="Z10" s="3069"/>
      <c r="AA10" s="3069"/>
      <c r="AB10" s="3069"/>
      <c r="AC10" s="3069"/>
    </row>
    <row r="11" spans="1:29" s="2640" customFormat="1" ht="12.75">
      <c r="A11" s="3087"/>
      <c r="B11" s="2947"/>
      <c r="C11" s="3073"/>
      <c r="D11" s="3073"/>
      <c r="E11" s="3073"/>
      <c r="F11" s="2947"/>
      <c r="G11" s="3088"/>
      <c r="H11" s="1468"/>
      <c r="I11" s="3085"/>
      <c r="J11" s="3086"/>
      <c r="K11" s="1468"/>
      <c r="L11" s="3085"/>
      <c r="M11" s="3086"/>
      <c r="N11" s="1468"/>
      <c r="O11" s="3085"/>
      <c r="P11" s="3086"/>
      <c r="Q11" s="1468"/>
      <c r="R11" s="3085"/>
      <c r="S11" s="3069"/>
      <c r="T11" s="3069"/>
      <c r="U11" s="3069"/>
      <c r="V11" s="3069"/>
      <c r="W11" s="3069"/>
      <c r="X11" s="3069"/>
      <c r="Y11" s="3069"/>
      <c r="Z11" s="3069"/>
      <c r="AA11" s="3069"/>
      <c r="AB11" s="3069"/>
      <c r="AC11" s="3069"/>
    </row>
    <row r="12" spans="1:29" s="2661" customFormat="1" ht="18">
      <c r="A12" s="2610"/>
      <c r="B12" s="2665"/>
      <c r="C12" s="2664"/>
      <c r="D12" s="2666"/>
      <c r="E12" s="2664"/>
      <c r="F12" s="2665"/>
      <c r="G12" s="1808"/>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1652</v>
      </c>
      <c r="B13" s="2666"/>
      <c r="C13" s="2666"/>
      <c r="D13" s="2662"/>
      <c r="E13" s="2666"/>
      <c r="F13" s="2666"/>
      <c r="G13" s="2666"/>
    </row>
    <row r="14" spans="1:29" s="2599" customFormat="1" ht="13.5" thickBot="1">
      <c r="A14" s="3089"/>
      <c r="B14" s="3089"/>
      <c r="C14" s="3090" t="s">
        <v>2812</v>
      </c>
      <c r="D14" s="3073"/>
      <c r="E14" s="3091"/>
      <c r="F14" s="3091"/>
      <c r="G14" s="3066" t="s">
        <v>2813</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599" customFormat="1" ht="38.25">
      <c r="A15" s="3095" t="s">
        <v>2814</v>
      </c>
      <c r="B15" s="3096" t="s">
        <v>2792</v>
      </c>
      <c r="C15" s="3097" t="str">
        <f>C3</f>
        <v>估价对象周边居住用地比例、居住小区规模和社区发展完善程度，综合评价居住社区成熟度一般</v>
      </c>
      <c r="D15" s="3073"/>
      <c r="E15" s="3098" t="s">
        <v>2815</v>
      </c>
      <c r="F15" s="3096" t="s">
        <v>2816</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599" customFormat="1" ht="25.5">
      <c r="A16" s="3100"/>
      <c r="B16" s="2539" t="s">
        <v>2796</v>
      </c>
      <c r="C16" s="3101" t="str">
        <f>C4</f>
        <v>估价对象位于XX商圈，周边商业氛围成熟，人流量大，商业繁华度好</v>
      </c>
      <c r="D16" s="3073"/>
      <c r="E16" s="3102"/>
      <c r="F16" s="3059" t="s">
        <v>2798</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599" customFormat="1" ht="25.5">
      <c r="A17" s="3100"/>
      <c r="B17" s="2539" t="s">
        <v>2800</v>
      </c>
      <c r="C17" s="3101" t="str">
        <f>C5</f>
        <v>估价对象位于XX商圈，周边办公楼项目较多，入驻率高，办公集聚程度较好</v>
      </c>
      <c r="D17" s="2947"/>
      <c r="E17" s="3102"/>
      <c r="F17" s="3059" t="s">
        <v>2817</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599" customFormat="1" ht="38.25">
      <c r="A18" s="3100"/>
      <c r="B18" s="3059" t="s">
        <v>2804</v>
      </c>
      <c r="C18" s="3103" t="str">
        <f>C6</f>
        <v>估价对象周边道路状况、公共交通通达情况、停车便捷程度，综合评价交通便捷度较好</v>
      </c>
      <c r="D18" s="2947"/>
      <c r="E18" s="3102"/>
      <c r="F18" s="3059" t="s">
        <v>2807</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599" customFormat="1" ht="12.75">
      <c r="A19" s="3100"/>
      <c r="B19" s="3059" t="s">
        <v>2818</v>
      </c>
      <c r="C19" s="3104"/>
      <c r="D19" s="3073"/>
      <c r="E19" s="3102"/>
      <c r="F19" s="3058" t="s">
        <v>2802</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599" customFormat="1" ht="25.5">
      <c r="A20" s="3100"/>
      <c r="B20" s="3059" t="s">
        <v>2819</v>
      </c>
      <c r="C20" s="3101" t="str">
        <f>C9</f>
        <v>区域自然环境：；人文环境；综合评价环境状况一般</v>
      </c>
      <c r="D20" s="2947"/>
      <c r="E20" s="3102"/>
      <c r="F20" s="3058" t="s">
        <v>2805</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599" customFormat="1" ht="25.5">
      <c r="A21" s="3100"/>
      <c r="B21" s="3058" t="s">
        <v>2802</v>
      </c>
      <c r="C21" s="3103" t="str">
        <f>C7</f>
        <v>估价对象所在区域公共配套设施齐备情况</v>
      </c>
      <c r="D21" s="3073"/>
      <c r="E21" s="3102"/>
      <c r="F21" s="3059" t="s">
        <v>2820</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599" customFormat="1" ht="12.75">
      <c r="A22" s="3100"/>
      <c r="B22" s="3058" t="s">
        <v>2805</v>
      </c>
      <c r="C22" s="3103" t="str">
        <f>C8</f>
        <v>估价对象所在区域基础设施水平</v>
      </c>
      <c r="D22" s="3073"/>
      <c r="E22" s="3102"/>
      <c r="F22" s="3059" t="s">
        <v>2811</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2820</v>
      </c>
      <c r="C23" s="3105"/>
      <c r="D23" s="3092"/>
      <c r="E23" s="3107"/>
      <c r="F23" s="3061" t="s">
        <v>2821</v>
      </c>
      <c r="G23" s="3108"/>
      <c r="H23" s="3092"/>
      <c r="I23" s="3093"/>
      <c r="J23" s="3092"/>
      <c r="K23" s="3092"/>
      <c r="L23" s="3093"/>
      <c r="M23" s="3092"/>
      <c r="N23" s="3092"/>
      <c r="O23" s="3093"/>
      <c r="P23" s="3092"/>
      <c r="Q23" s="3092"/>
      <c r="R23" s="3094"/>
    </row>
    <row r="24" spans="1:29" s="3069" customFormat="1" ht="13.5" thickBot="1">
      <c r="A24" s="3109"/>
      <c r="B24" s="3061" t="s">
        <v>2822</v>
      </c>
      <c r="C24" s="3110">
        <f>C10</f>
        <v>0</v>
      </c>
      <c r="D24" s="3092"/>
      <c r="E24" s="3111"/>
      <c r="F24" s="3111"/>
      <c r="G24" s="3112"/>
      <c r="H24" s="3092"/>
      <c r="I24" s="3093"/>
      <c r="J24" s="3092"/>
      <c r="K24" s="3092"/>
      <c r="L24" s="3093"/>
      <c r="M24" s="3092"/>
      <c r="N24" s="3092"/>
      <c r="O24" s="3093"/>
      <c r="P24" s="3092"/>
      <c r="Q24" s="3092"/>
      <c r="R24" s="3094"/>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48" customWidth="1"/>
    <col min="2" max="16384" width="14.625" style="2548"/>
  </cols>
  <sheetData>
    <row r="1" spans="1:9" ht="16.5">
      <c r="A1" s="2546" t="s">
        <v>1155</v>
      </c>
      <c r="B1" s="2546">
        <f>SUM(B14:B23)</f>
        <v>362.84</v>
      </c>
      <c r="C1" s="1604"/>
      <c r="D1" s="1604"/>
      <c r="E1" s="1604"/>
      <c r="F1" s="1604"/>
      <c r="G1" s="2547"/>
    </row>
    <row r="2" spans="1:9" ht="16.5">
      <c r="A2" s="2546" t="s">
        <v>1156</v>
      </c>
      <c r="B2" s="2546">
        <f>SUM(C14:C23)</f>
        <v>0</v>
      </c>
      <c r="C2" s="1604"/>
      <c r="D2" s="1604"/>
      <c r="E2" s="1604"/>
      <c r="F2" s="1604"/>
      <c r="G2" s="2547"/>
    </row>
    <row r="3" spans="1:9" ht="16.5">
      <c r="A3" s="2546" t="s">
        <v>1157</v>
      </c>
      <c r="B3" s="2549">
        <f>项目基本情况!D2</f>
        <v>44616</v>
      </c>
      <c r="C3" s="1604"/>
      <c r="D3" s="1604"/>
      <c r="E3" s="1604"/>
      <c r="F3" s="1604"/>
      <c r="G3" s="2547"/>
    </row>
    <row r="4" spans="1:9" ht="33">
      <c r="A4" s="2546" t="s">
        <v>1158</v>
      </c>
      <c r="B4" s="2546" t="s">
        <v>1159</v>
      </c>
      <c r="C4" s="2546" t="s">
        <v>1160</v>
      </c>
      <c r="D4" s="2546" t="s">
        <v>1161</v>
      </c>
      <c r="E4" s="1604"/>
      <c r="F4" s="2547"/>
      <c r="G4" s="2547"/>
    </row>
    <row r="5" spans="1:9" ht="16.5">
      <c r="A5" s="2546" t="s">
        <v>1162</v>
      </c>
      <c r="B5" s="2546">
        <f>SUM(D14:D23)</f>
        <v>0</v>
      </c>
      <c r="C5" s="2546">
        <f>ROUND(B5*10000/$B$1,0)</f>
        <v>0</v>
      </c>
      <c r="D5" s="2546" t="e">
        <f>ROUND(B5*10000/$B$2,0)</f>
        <v>#DIV/0!</v>
      </c>
      <c r="E5" s="1604"/>
      <c r="F5" s="2547"/>
      <c r="G5" s="2547"/>
    </row>
    <row r="6" spans="1:9" ht="16.5">
      <c r="A6" s="2546" t="s">
        <v>1163</v>
      </c>
      <c r="B6" s="2546">
        <f>SUM(G14:G23)</f>
        <v>0</v>
      </c>
      <c r="C6" s="2546">
        <f t="shared" ref="C6:C8" si="0">ROUND(B6*10000/$B$1,0)</f>
        <v>0</v>
      </c>
      <c r="D6" s="2546" t="e">
        <f t="shared" ref="D6:D8" si="1">ROUND(B6*10000/$B$2,0)</f>
        <v>#DIV/0!</v>
      </c>
      <c r="E6" s="1604"/>
      <c r="F6" s="2547"/>
      <c r="G6" s="2547"/>
    </row>
    <row r="7" spans="1:9" ht="16.5">
      <c r="A7" s="2546" t="s">
        <v>1164</v>
      </c>
      <c r="B7" s="2546">
        <f>SUM(H14:H23)</f>
        <v>0</v>
      </c>
      <c r="C7" s="2546">
        <f>ROUND(B7*10000/$B$1,0)</f>
        <v>0</v>
      </c>
      <c r="D7" s="2546" t="e">
        <f t="shared" si="1"/>
        <v>#DIV/0!</v>
      </c>
      <c r="E7" s="1604"/>
      <c r="F7" s="2547"/>
      <c r="G7" s="2547"/>
    </row>
    <row r="8" spans="1:9" ht="16.5">
      <c r="A8" s="2546" t="s">
        <v>1165</v>
      </c>
      <c r="B8" s="2546">
        <f>SUM(I14:I23)</f>
        <v>0</v>
      </c>
      <c r="C8" s="2546">
        <f t="shared" si="0"/>
        <v>0</v>
      </c>
      <c r="D8" s="2546" t="e">
        <f t="shared" si="1"/>
        <v>#DIV/0!</v>
      </c>
      <c r="E8" s="1604"/>
      <c r="F8" s="2547"/>
      <c r="G8" s="2547"/>
    </row>
    <row r="9" spans="1:9" ht="16.5">
      <c r="A9" s="2546" t="s">
        <v>1166</v>
      </c>
      <c r="B9" s="2550"/>
      <c r="C9" s="1604"/>
      <c r="D9" s="1604"/>
      <c r="E9" s="1604"/>
      <c r="F9" s="2547"/>
      <c r="G9" s="2547"/>
    </row>
    <row r="10" spans="1:9" ht="16.5">
      <c r="A10" s="2546" t="s">
        <v>1167</v>
      </c>
      <c r="B10" s="2550"/>
      <c r="C10" s="1604"/>
      <c r="D10" s="1604"/>
      <c r="E10" s="1604"/>
      <c r="F10" s="2547"/>
      <c r="G10" s="2547"/>
    </row>
    <row r="11" spans="1:9" ht="16.5">
      <c r="A11" s="2546" t="s">
        <v>1183</v>
      </c>
      <c r="B11" s="2550"/>
      <c r="C11" s="1604"/>
      <c r="D11" s="1604"/>
      <c r="E11" s="1604"/>
      <c r="F11" s="2547"/>
      <c r="G11" s="2547"/>
    </row>
    <row r="12" spans="1:9" ht="16.5">
      <c r="A12" s="1604"/>
      <c r="B12" s="1604"/>
      <c r="C12" s="1604"/>
      <c r="D12" s="1604"/>
      <c r="E12" s="1604"/>
      <c r="F12" s="2547"/>
      <c r="G12" s="2547"/>
    </row>
    <row r="13" spans="1:9" ht="33">
      <c r="A13" s="2551" t="s">
        <v>1182</v>
      </c>
      <c r="B13" s="2552" t="s">
        <v>1155</v>
      </c>
      <c r="C13" s="2552" t="s">
        <v>1156</v>
      </c>
      <c r="D13" s="2552" t="s">
        <v>1168</v>
      </c>
      <c r="E13" s="2546" t="s">
        <v>1160</v>
      </c>
      <c r="F13" s="2546" t="s">
        <v>1161</v>
      </c>
      <c r="G13" s="2552" t="s">
        <v>1169</v>
      </c>
      <c r="H13" s="2552" t="s">
        <v>1170</v>
      </c>
      <c r="I13" s="2552" t="s">
        <v>1171</v>
      </c>
    </row>
    <row r="14" spans="1:9" ht="16.5">
      <c r="A14" s="2852" t="s">
        <v>1181</v>
      </c>
      <c r="B14" s="2882">
        <f>项目基本情况!C12</f>
        <v>362.84</v>
      </c>
      <c r="C14" s="2882">
        <f>项目基本情况!C13</f>
        <v>0</v>
      </c>
      <c r="D14" s="2882">
        <f>IF('数据-取费表'!B3="万元",IF(A14="估价对象1（结果表）",结果表!H121,'结果表 (1修多)'!H125),IF(A14="估价对象1（结果表）",结果表!H121,'结果表 (1修多)'!H125)/10000)</f>
        <v>0</v>
      </c>
      <c r="E14" s="2882">
        <f>ROUND(D14*10000/B14,0)</f>
        <v>0</v>
      </c>
      <c r="F14" s="2882" t="e">
        <f>ROUND(D14*10000/C14,0)</f>
        <v>#DIV/0!</v>
      </c>
      <c r="G14" s="2882">
        <f>IF('数据-取费表'!B3="万元",IF(A14="估价对象1（结果表）",结果表!D125,'结果表 (1修多)'!D129),IF(A14="估价对象1（结果表）",结果表!D125,'结果表 (1修多)'!D129)/10000)</f>
        <v>0</v>
      </c>
      <c r="H14" s="2882" t="str">
        <f>IF('数据-取费表'!B3="万元",IF(A14="估价对象1（结果表）",结果表!D127,'结果表 (1修多)'!D131),IF(A14="估价对象1（结果表）",结果表!D127,'结果表 (1修多)'!D131)/10000)</f>
        <v>——</v>
      </c>
      <c r="I14" s="2882">
        <f>IF('数据-取费表'!B3="万元",IF(A14="估价对象1（结果表）",结果表!D129,'结果表 (1修多)'!D133),IF(A14="估价对象1（结果表）",结果表!D129,'结果表 (1修多)'!D133)/10000)</f>
        <v>0</v>
      </c>
    </row>
    <row r="15" spans="1:9" ht="16.5">
      <c r="A15" s="2553" t="s">
        <v>1172</v>
      </c>
      <c r="B15" s="2554"/>
      <c r="C15" s="2554"/>
      <c r="D15" s="2554"/>
      <c r="E15" s="2882" t="e">
        <f t="shared" ref="E15:E23" si="2">ROUND(D15*10000/B15,0)</f>
        <v>#DIV/0!</v>
      </c>
      <c r="F15" s="2882" t="e">
        <f t="shared" ref="F15:F23" si="3">ROUND(D15*10000/C15,0)</f>
        <v>#DIV/0!</v>
      </c>
      <c r="G15" s="1275"/>
      <c r="H15" s="1275"/>
      <c r="I15" s="2554"/>
    </row>
    <row r="16" spans="1:9" ht="16.5">
      <c r="A16" s="2553" t="s">
        <v>1173</v>
      </c>
      <c r="B16" s="2554"/>
      <c r="C16" s="2554"/>
      <c r="D16" s="2554"/>
      <c r="E16" s="2882" t="e">
        <f t="shared" si="2"/>
        <v>#DIV/0!</v>
      </c>
      <c r="F16" s="2882" t="e">
        <f t="shared" si="3"/>
        <v>#DIV/0!</v>
      </c>
      <c r="G16" s="1275"/>
      <c r="H16" s="1275"/>
      <c r="I16" s="2554"/>
    </row>
    <row r="17" spans="1:9" ht="16.5">
      <c r="A17" s="2553" t="s">
        <v>1174</v>
      </c>
      <c r="B17" s="2554"/>
      <c r="C17" s="2554"/>
      <c r="D17" s="2554"/>
      <c r="E17" s="2882" t="e">
        <f t="shared" si="2"/>
        <v>#DIV/0!</v>
      </c>
      <c r="F17" s="2882" t="e">
        <f t="shared" si="3"/>
        <v>#DIV/0!</v>
      </c>
      <c r="G17" s="1275"/>
      <c r="H17" s="1275"/>
      <c r="I17" s="2554"/>
    </row>
    <row r="18" spans="1:9" ht="16.5">
      <c r="A18" s="2553" t="s">
        <v>1175</v>
      </c>
      <c r="B18" s="2554"/>
      <c r="C18" s="2554"/>
      <c r="D18" s="2554"/>
      <c r="E18" s="2882" t="e">
        <f t="shared" si="2"/>
        <v>#DIV/0!</v>
      </c>
      <c r="F18" s="2882" t="e">
        <f t="shared" si="3"/>
        <v>#DIV/0!</v>
      </c>
      <c r="G18" s="2554"/>
      <c r="H18" s="2554"/>
      <c r="I18" s="2554"/>
    </row>
    <row r="19" spans="1:9" ht="16.5">
      <c r="A19" s="2553" t="s">
        <v>1176</v>
      </c>
      <c r="B19" s="2554"/>
      <c r="C19" s="2554"/>
      <c r="D19" s="2554"/>
      <c r="E19" s="2882" t="e">
        <f t="shared" si="2"/>
        <v>#DIV/0!</v>
      </c>
      <c r="F19" s="2882" t="e">
        <f t="shared" si="3"/>
        <v>#DIV/0!</v>
      </c>
      <c r="G19" s="2554"/>
      <c r="H19" s="2554"/>
      <c r="I19" s="2554"/>
    </row>
    <row r="20" spans="1:9" ht="16.5">
      <c r="A20" s="2553" t="s">
        <v>1177</v>
      </c>
      <c r="B20" s="2554"/>
      <c r="C20" s="2554"/>
      <c r="D20" s="2554"/>
      <c r="E20" s="2882" t="e">
        <f t="shared" si="2"/>
        <v>#DIV/0!</v>
      </c>
      <c r="F20" s="2882" t="e">
        <f t="shared" si="3"/>
        <v>#DIV/0!</v>
      </c>
      <c r="G20" s="2554"/>
      <c r="H20" s="2554"/>
      <c r="I20" s="2554"/>
    </row>
    <row r="21" spans="1:9" ht="16.5">
      <c r="A21" s="2553" t="s">
        <v>1178</v>
      </c>
      <c r="B21" s="2554"/>
      <c r="C21" s="2554"/>
      <c r="D21" s="2554"/>
      <c r="E21" s="2882" t="e">
        <f t="shared" si="2"/>
        <v>#DIV/0!</v>
      </c>
      <c r="F21" s="2882" t="e">
        <f t="shared" si="3"/>
        <v>#DIV/0!</v>
      </c>
      <c r="G21" s="2554"/>
      <c r="H21" s="2554"/>
      <c r="I21" s="2554"/>
    </row>
    <row r="22" spans="1:9" ht="16.5">
      <c r="A22" s="2553" t="s">
        <v>1179</v>
      </c>
      <c r="B22" s="2554"/>
      <c r="C22" s="2554"/>
      <c r="D22" s="2554"/>
      <c r="E22" s="2882" t="e">
        <f t="shared" si="2"/>
        <v>#DIV/0!</v>
      </c>
      <c r="F22" s="2882" t="e">
        <f t="shared" si="3"/>
        <v>#DIV/0!</v>
      </c>
      <c r="G22" s="2554"/>
      <c r="H22" s="2554"/>
      <c r="I22" s="2554"/>
    </row>
    <row r="23" spans="1:9" ht="16.5">
      <c r="A23" s="2553" t="s">
        <v>1180</v>
      </c>
      <c r="B23" s="2554"/>
      <c r="C23" s="2554"/>
      <c r="D23" s="2554"/>
      <c r="E23" s="2883" t="e">
        <f t="shared" si="2"/>
        <v>#DIV/0!</v>
      </c>
      <c r="F23" s="2883" t="e">
        <f t="shared" si="3"/>
        <v>#DIV/0!</v>
      </c>
      <c r="G23" s="2554"/>
      <c r="H23" s="2554"/>
      <c r="I23" s="255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12" zoomScaleNormal="100" zoomScaleSheetLayoutView="100" zoomScalePageLayoutView="80" workbookViewId="0">
      <selection activeCell="G19" sqref="G19:G20"/>
    </sheetView>
  </sheetViews>
  <sheetFormatPr defaultColWidth="12.625" defaultRowHeight="21.75" customHeight="1"/>
  <cols>
    <col min="1" max="2" width="12.625" style="1432"/>
    <col min="3" max="4" width="12.625" style="1432" customWidth="1"/>
    <col min="5" max="9" width="12.625" style="1432"/>
    <col min="10" max="10" width="3.6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89" t="str">
        <f>项目基本情况!B1</f>
        <v>北京市房地产抵押价值预评估</v>
      </c>
      <c r="B2" s="3489"/>
      <c r="C2" s="3489"/>
      <c r="D2" s="3489"/>
      <c r="E2" s="3489"/>
      <c r="F2" s="3489"/>
      <c r="G2" s="3489"/>
      <c r="H2" s="3489"/>
      <c r="I2" s="3489"/>
      <c r="J2" s="2809"/>
    </row>
    <row r="3" spans="1:15" ht="12.75">
      <c r="A3" s="3492" t="s">
        <v>1654</v>
      </c>
      <c r="B3" s="3493"/>
      <c r="C3" s="3493"/>
      <c r="D3" s="3493"/>
      <c r="E3" s="3493"/>
      <c r="F3" s="3493"/>
      <c r="G3" s="3493"/>
      <c r="H3" s="3493"/>
      <c r="I3" s="3493"/>
      <c r="J3" s="2810"/>
    </row>
    <row r="4" spans="1:15" ht="14.25">
      <c r="A4" s="2678" t="s">
        <v>1655</v>
      </c>
      <c r="B4" s="2678" t="s">
        <v>1656</v>
      </c>
      <c r="C4" s="2679" t="s">
        <v>3056</v>
      </c>
      <c r="D4" s="2679" t="s">
        <v>2986</v>
      </c>
      <c r="E4" s="3438" t="s">
        <v>1657</v>
      </c>
      <c r="F4" s="3476"/>
      <c r="G4" s="3476"/>
      <c r="H4" s="3476"/>
      <c r="I4" s="3477"/>
      <c r="J4" s="2811"/>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69" t="s">
        <v>1658</v>
      </c>
      <c r="B5" s="3469">
        <v>25</v>
      </c>
      <c r="C5" s="3478"/>
      <c r="D5" s="3491"/>
      <c r="E5" s="12" t="s">
        <v>1659</v>
      </c>
      <c r="F5" s="2054"/>
      <c r="G5" s="2054"/>
      <c r="H5" s="2054"/>
      <c r="I5" s="2049"/>
      <c r="J5" s="2811"/>
    </row>
    <row r="6" spans="1:15" ht="12.75">
      <c r="A6" s="3469"/>
      <c r="B6" s="3469"/>
      <c r="C6" s="3494"/>
      <c r="D6" s="3491"/>
      <c r="E6" s="12" t="s">
        <v>1660</v>
      </c>
      <c r="F6" s="2054"/>
      <c r="G6" s="2054"/>
      <c r="H6" s="2054"/>
      <c r="I6" s="2049"/>
      <c r="J6" s="2811"/>
    </row>
    <row r="7" spans="1:15" ht="12.75">
      <c r="A7" s="3469"/>
      <c r="B7" s="3469"/>
      <c r="C7" s="3479"/>
      <c r="D7" s="3491"/>
      <c r="E7" s="12" t="s">
        <v>1661</v>
      </c>
      <c r="F7" s="2054"/>
      <c r="G7" s="2054"/>
      <c r="H7" s="2054"/>
      <c r="I7" s="2049"/>
      <c r="J7" s="2811"/>
    </row>
    <row r="8" spans="1:15" ht="12.75">
      <c r="A8" s="3469" t="s">
        <v>1662</v>
      </c>
      <c r="B8" s="3469">
        <v>15</v>
      </c>
      <c r="C8" s="3478"/>
      <c r="D8" s="3491"/>
      <c r="E8" s="12" t="s">
        <v>1663</v>
      </c>
      <c r="F8" s="2054"/>
      <c r="G8" s="2054"/>
      <c r="H8" s="2054"/>
      <c r="I8" s="2049"/>
      <c r="J8" s="2811"/>
    </row>
    <row r="9" spans="1:15" ht="12.75">
      <c r="A9" s="3469"/>
      <c r="B9" s="3469"/>
      <c r="C9" s="3479"/>
      <c r="D9" s="3491"/>
      <c r="E9" s="12" t="s">
        <v>1664</v>
      </c>
      <c r="F9" s="2054"/>
      <c r="G9" s="2054"/>
      <c r="H9" s="2054"/>
      <c r="I9" s="2049"/>
      <c r="J9" s="2811"/>
    </row>
    <row r="10" spans="1:15" ht="12.75">
      <c r="A10" s="3469" t="s">
        <v>1665</v>
      </c>
      <c r="B10" s="3469">
        <v>15</v>
      </c>
      <c r="C10" s="3478"/>
      <c r="D10" s="3491"/>
      <c r="E10" s="12" t="s">
        <v>1666</v>
      </c>
      <c r="F10" s="2054"/>
      <c r="G10" s="2054"/>
      <c r="H10" s="2054"/>
      <c r="I10" s="2049"/>
      <c r="J10" s="2811"/>
    </row>
    <row r="11" spans="1:15" ht="12.75">
      <c r="A11" s="3469"/>
      <c r="B11" s="3469"/>
      <c r="C11" s="3479"/>
      <c r="D11" s="3491"/>
      <c r="E11" s="12" t="s">
        <v>1667</v>
      </c>
      <c r="F11" s="2054"/>
      <c r="G11" s="2054"/>
      <c r="H11" s="2054"/>
      <c r="I11" s="2049"/>
      <c r="J11" s="2811"/>
    </row>
    <row r="12" spans="1:15" ht="12.75">
      <c r="A12" s="3469" t="s">
        <v>1668</v>
      </c>
      <c r="B12" s="3469">
        <v>15</v>
      </c>
      <c r="C12" s="3478"/>
      <c r="D12" s="3491"/>
      <c r="E12" s="12" t="s">
        <v>1669</v>
      </c>
      <c r="F12" s="2054"/>
      <c r="G12" s="2054"/>
      <c r="H12" s="2054"/>
      <c r="I12" s="2049"/>
      <c r="J12" s="2811"/>
    </row>
    <row r="13" spans="1:15" ht="12.75">
      <c r="A13" s="3469"/>
      <c r="B13" s="3469"/>
      <c r="C13" s="3479"/>
      <c r="D13" s="3491"/>
      <c r="E13" s="12" t="s">
        <v>1670</v>
      </c>
      <c r="F13" s="2054"/>
      <c r="G13" s="2054"/>
      <c r="H13" s="2054"/>
      <c r="I13" s="2049"/>
      <c r="J13" s="2811"/>
    </row>
    <row r="14" spans="1:15" ht="12.75">
      <c r="A14" s="3469" t="s">
        <v>1671</v>
      </c>
      <c r="B14" s="3469">
        <v>30</v>
      </c>
      <c r="C14" s="3478">
        <v>5</v>
      </c>
      <c r="D14" s="3491">
        <v>5</v>
      </c>
      <c r="E14" s="12" t="s">
        <v>1672</v>
      </c>
      <c r="F14" s="2054"/>
      <c r="G14" s="2054"/>
      <c r="H14" s="2054"/>
      <c r="I14" s="2049"/>
      <c r="J14" s="2811"/>
    </row>
    <row r="15" spans="1:15" ht="12.75">
      <c r="A15" s="3469"/>
      <c r="B15" s="3469"/>
      <c r="C15" s="3494"/>
      <c r="D15" s="3491"/>
      <c r="E15" s="12" t="s">
        <v>1673</v>
      </c>
      <c r="F15" s="2054"/>
      <c r="G15" s="2054"/>
      <c r="H15" s="2054"/>
      <c r="I15" s="2049"/>
      <c r="J15" s="2811"/>
    </row>
    <row r="16" spans="1:15" ht="12.75">
      <c r="A16" s="3469"/>
      <c r="B16" s="3469"/>
      <c r="C16" s="3479"/>
      <c r="D16" s="3491"/>
      <c r="E16" s="12" t="s">
        <v>1674</v>
      </c>
      <c r="F16" s="2054"/>
      <c r="G16" s="2054"/>
      <c r="H16" s="2054"/>
      <c r="I16" s="2049"/>
      <c r="J16" s="2811"/>
    </row>
    <row r="17" spans="1:36" ht="15">
      <c r="A17" s="2680" t="s">
        <v>1675</v>
      </c>
      <c r="B17" s="2059"/>
      <c r="C17" s="2681">
        <f>SUM(C5:C16)</f>
        <v>5</v>
      </c>
      <c r="D17" s="2681">
        <f>SUM(D5:D16)</f>
        <v>5</v>
      </c>
      <c r="E17" s="2528"/>
      <c r="F17" s="2528"/>
      <c r="G17" s="2528"/>
      <c r="H17" s="2528"/>
      <c r="I17" s="2528"/>
      <c r="J17" s="2812"/>
    </row>
    <row r="18" spans="1:36" ht="30" customHeight="1" thickBot="1">
      <c r="A18" s="2682" t="s">
        <v>1676</v>
      </c>
      <c r="B18" s="2683"/>
      <c r="C18" s="2684">
        <f>ROUND(C17/SUM(C17:D17),2)</f>
        <v>0.5</v>
      </c>
      <c r="D18" s="2684">
        <f>1-C18</f>
        <v>0.5</v>
      </c>
      <c r="E18" s="3487" t="s">
        <v>2758</v>
      </c>
      <c r="F18" s="3488"/>
      <c r="G18" s="3488"/>
      <c r="H18" s="3488"/>
      <c r="I18" s="3488"/>
      <c r="J18" s="2812"/>
    </row>
    <row r="19" spans="1:36" ht="15">
      <c r="A19" s="2685" t="s">
        <v>1677</v>
      </c>
      <c r="B19" s="2686" t="s">
        <v>1678</v>
      </c>
      <c r="C19" s="2687">
        <f ca="1">SUMIF(INDIRECT("'"&amp;C4&amp;"'"&amp;"!A:A"),结果表!B19,INDIRECT("'"&amp;C4&amp;"'"&amp;"!B:B"))</f>
        <v>1795</v>
      </c>
      <c r="D19" s="2688">
        <f ca="1">SUMIF(INDIRECT("'"&amp;D4&amp;"'"&amp;"!A:A"),结果表!B19,INDIRECT("'"&amp;D4&amp;"'"&amp;"!B:B"))</f>
        <v>1606</v>
      </c>
      <c r="E19" s="2685" t="s">
        <v>1679</v>
      </c>
      <c r="F19" s="2686" t="s">
        <v>1678</v>
      </c>
      <c r="G19" s="2689">
        <f ca="1">ROUND(C19*$C$18+D19*$D$18,0)</f>
        <v>1701</v>
      </c>
      <c r="H19" s="2690" t="str">
        <f>'数据-取费表'!B3</f>
        <v>万元</v>
      </c>
      <c r="I19" s="2738"/>
      <c r="J19" s="2813"/>
    </row>
    <row r="20" spans="1:36" ht="15">
      <c r="A20" s="2691"/>
      <c r="B20" s="1663" t="s">
        <v>1680</v>
      </c>
      <c r="C20" s="1884">
        <f ca="1">SUMIF(INDIRECT("'"&amp;C4&amp;"'"&amp;"!A:A"),结果表!B20,INDIRECT("'"&amp;C4&amp;"'"&amp;"!B:B"))</f>
        <v>49467</v>
      </c>
      <c r="D20" s="1887">
        <f ca="1">SUMIF(INDIRECT("'"&amp;D4&amp;"'"&amp;"!A:A"),结果表!B20,INDIRECT("'"&amp;D4&amp;"'"&amp;"!B:B"))</f>
        <v>44256</v>
      </c>
      <c r="E20" s="2691"/>
      <c r="F20" s="1663" t="s">
        <v>1680</v>
      </c>
      <c r="G20" s="2058">
        <f ca="1">ROUND(C20*$C$18+D20*$D$18,0)</f>
        <v>46862</v>
      </c>
      <c r="H20" s="2692" t="s">
        <v>1681</v>
      </c>
      <c r="I20" s="2528"/>
      <c r="J20" s="2812"/>
    </row>
    <row r="21" spans="1:36" ht="15" customHeight="1" thickBot="1">
      <c r="A21" s="2693"/>
      <c r="B21" s="2694"/>
      <c r="C21" s="2694"/>
      <c r="D21" s="2695"/>
      <c r="E21" s="2693"/>
      <c r="F21" s="2694"/>
      <c r="G21" s="2696"/>
      <c r="H21" s="2697"/>
      <c r="I21" s="2528"/>
      <c r="J21" s="2812"/>
    </row>
    <row r="22" spans="1:36" ht="15" thickBot="1">
      <c r="A22" s="2698" t="s">
        <v>1682</v>
      </c>
      <c r="B22" s="2699"/>
      <c r="C22" s="2612"/>
      <c r="D22" s="2700">
        <f ca="1">IF(C19&lt;D19,D19/C19-1,C19/D19-1)</f>
        <v>0.11768368617683689</v>
      </c>
      <c r="E22" s="947"/>
      <c r="F22" s="947"/>
      <c r="G22" s="947"/>
      <c r="H22" s="947"/>
      <c r="I22" s="947"/>
      <c r="J22" s="2812"/>
    </row>
    <row r="23" spans="1:36" ht="13.5" thickBot="1">
      <c r="A23" s="2528"/>
      <c r="B23" s="2528"/>
      <c r="C23" s="2528"/>
      <c r="D23" s="2528"/>
      <c r="E23" s="947"/>
      <c r="F23" s="947"/>
      <c r="G23" s="947"/>
      <c r="H23" s="947"/>
      <c r="I23" s="947"/>
      <c r="J23" s="2812"/>
    </row>
    <row r="24" spans="1:36" ht="21.75" customHeight="1">
      <c r="A24" s="3480" t="s">
        <v>1683</v>
      </c>
      <c r="B24" s="2686" t="s">
        <v>1678</v>
      </c>
      <c r="C24" s="2689">
        <f>D30</f>
        <v>0</v>
      </c>
      <c r="D24" s="2641"/>
      <c r="E24" s="947"/>
      <c r="F24" s="947"/>
      <c r="G24" s="947"/>
      <c r="H24" s="947"/>
      <c r="I24" s="947"/>
      <c r="J24" s="2812"/>
    </row>
    <row r="25" spans="1:36" ht="21.75" customHeight="1">
      <c r="A25" s="3497"/>
      <c r="B25" s="1663" t="s">
        <v>1680</v>
      </c>
      <c r="C25" s="2701">
        <f>IF(B30=0,0,C30)</f>
        <v>0</v>
      </c>
      <c r="D25" s="2702"/>
      <c r="E25" s="947"/>
      <c r="F25" s="947"/>
      <c r="G25" s="947"/>
      <c r="H25" s="947"/>
      <c r="I25" s="947"/>
      <c r="J25" s="2812"/>
    </row>
    <row r="26" spans="1:36" ht="13.5" customHeight="1">
      <c r="A26" s="2703" t="s">
        <v>1684</v>
      </c>
      <c r="B26" s="2704" t="s">
        <v>1685</v>
      </c>
      <c r="C26" s="2704" t="s">
        <v>1686</v>
      </c>
      <c r="D26" s="2705" t="s">
        <v>1687</v>
      </c>
      <c r="E26" s="947"/>
      <c r="F26" s="947"/>
      <c r="G26" s="947"/>
      <c r="H26" s="947"/>
      <c r="I26" s="947"/>
      <c r="J26" s="2812"/>
    </row>
    <row r="27" spans="1:36" ht="14.25">
      <c r="A27" s="2706"/>
      <c r="B27" s="2704">
        <v>0</v>
      </c>
      <c r="C27" s="2704">
        <v>0</v>
      </c>
      <c r="D27" s="2705">
        <f>ROUND(C27*B27/10000,0)</f>
        <v>0</v>
      </c>
      <c r="E27" s="947"/>
      <c r="F27" s="947"/>
      <c r="G27" s="947"/>
      <c r="H27" s="947"/>
      <c r="I27" s="947"/>
      <c r="J27" s="2812"/>
    </row>
    <row r="28" spans="1:36" ht="14.25">
      <c r="A28" s="2703"/>
      <c r="B28" s="2704"/>
      <c r="C28" s="2704"/>
      <c r="D28" s="2705">
        <f t="shared" ref="D28:D29" si="0">ROUND(C28*B28/10000,0)</f>
        <v>0</v>
      </c>
      <c r="E28" s="947"/>
      <c r="F28" s="947"/>
      <c r="G28" s="947"/>
      <c r="H28" s="947"/>
      <c r="I28" s="947"/>
      <c r="J28" s="2812"/>
    </row>
    <row r="29" spans="1:36" ht="14.25">
      <c r="A29" s="2703"/>
      <c r="B29" s="2704"/>
      <c r="C29" s="2704"/>
      <c r="D29" s="2705">
        <f t="shared" si="0"/>
        <v>0</v>
      </c>
      <c r="E29" s="947"/>
      <c r="F29" s="947"/>
      <c r="G29" s="947"/>
      <c r="H29" s="947"/>
      <c r="I29" s="947"/>
      <c r="J29" s="2812"/>
    </row>
    <row r="30" spans="1:36" ht="15" thickBot="1">
      <c r="A30" s="2740" t="s">
        <v>1688</v>
      </c>
      <c r="B30" s="2740"/>
      <c r="C30" s="2740"/>
      <c r="D30" s="2740"/>
      <c r="E30" s="2707" t="s">
        <v>2762</v>
      </c>
      <c r="F30" s="2528"/>
      <c r="G30" s="2528"/>
      <c r="H30" s="2528"/>
      <c r="I30" s="2528"/>
      <c r="J30" s="2812"/>
    </row>
    <row r="31" spans="1:36" s="2805" customFormat="1" ht="26.45" customHeight="1" thickTop="1" thickBot="1">
      <c r="A31" s="2800"/>
      <c r="B31" s="2801"/>
      <c r="C31" s="2801"/>
      <c r="D31" s="2801"/>
      <c r="E31" s="2801"/>
      <c r="F31" s="2801"/>
      <c r="G31" s="2801"/>
      <c r="H31" s="2801"/>
      <c r="I31" s="2802" t="s">
        <v>2763</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1689</v>
      </c>
      <c r="B32" s="2794" t="str">
        <f>'数据-取费表'!B4</f>
        <v>总价</v>
      </c>
      <c r="C32" s="2795">
        <f ca="1">IF(B32="总价",G19-C24,G20-C25)</f>
        <v>1701</v>
      </c>
      <c r="D32" s="2796" t="str">
        <f>IF(B32="楼面单价","元/平方米",H19)</f>
        <v>万元</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8" t="s">
        <v>1690</v>
      </c>
      <c r="B33" s="255"/>
      <c r="C33" s="2709"/>
      <c r="D33" s="2710"/>
      <c r="E33" s="2711" t="s">
        <v>1691</v>
      </c>
      <c r="F33" s="2712" t="str">
        <f>IF(B32="楼面单价","取值（单价）","取值（总价）")</f>
        <v>取值（总价）</v>
      </c>
      <c r="G33" s="947"/>
      <c r="H33" s="947"/>
      <c r="I33" s="947"/>
      <c r="J33" s="2812"/>
    </row>
    <row r="34" spans="1:17" ht="15">
      <c r="A34" s="1436"/>
      <c r="B34" s="2713" t="s">
        <v>1692</v>
      </c>
      <c r="C34" s="2714">
        <f ca="1">IF(D33="自定义",F34,C32-C35)</f>
        <v>1534</v>
      </c>
      <c r="D34" s="2715">
        <f ca="1">IF(D33="自定义",ROUND(C34/C32,3),1-D35)</f>
        <v>0.90200000000000002</v>
      </c>
      <c r="E34" s="1405" t="s">
        <v>1693</v>
      </c>
      <c r="F34" s="2716">
        <v>2000</v>
      </c>
      <c r="G34" s="947"/>
      <c r="H34" s="947"/>
      <c r="I34" s="947"/>
      <c r="J34" s="2812"/>
    </row>
    <row r="35" spans="1:17" ht="15.75" thickBot="1">
      <c r="A35" s="1437"/>
      <c r="B35" s="2717" t="s">
        <v>1694</v>
      </c>
      <c r="C35" s="2718">
        <f ca="1">IF(D33="自定义",F35,ROUND(C32*D35,0))</f>
        <v>167</v>
      </c>
      <c r="D35" s="2719">
        <f ca="1">IF(D33="自定义",ROUND(C35/C32,3),IF(D33="成本法成本比率",成本法!C56,IF(D33="收益法收益比率",收益法!J38,收益法!J41)))</f>
        <v>9.8000000000000004E-2</v>
      </c>
      <c r="E35" s="2720" t="s">
        <v>1695</v>
      </c>
      <c r="F35" s="2721">
        <v>4460</v>
      </c>
      <c r="G35" s="947"/>
      <c r="H35" s="947"/>
      <c r="I35" s="947"/>
      <c r="J35" s="2812"/>
    </row>
    <row r="36" spans="1:17" ht="15.75" thickBot="1">
      <c r="A36" s="3480" t="s">
        <v>1696</v>
      </c>
      <c r="B36" s="1438" t="s">
        <v>1697</v>
      </c>
      <c r="C36" s="2722">
        <v>0</v>
      </c>
      <c r="D36" s="2723"/>
      <c r="E36" s="1650"/>
      <c r="F36" s="1650"/>
      <c r="G36" s="947"/>
      <c r="H36" s="947"/>
      <c r="I36" s="947"/>
      <c r="J36" s="2812"/>
    </row>
    <row r="37" spans="1:17" ht="15.75" thickBot="1">
      <c r="A37" s="3481"/>
      <c r="B37" s="2059" t="s">
        <v>1698</v>
      </c>
      <c r="C37" s="2724">
        <v>0</v>
      </c>
      <c r="D37" s="1281"/>
      <c r="E37" s="1281"/>
      <c r="F37" s="1650"/>
      <c r="G37" s="1281"/>
      <c r="H37" s="1281"/>
      <c r="I37" s="1281"/>
      <c r="J37" s="2816"/>
    </row>
    <row r="38" spans="1:17" ht="15.75" thickBot="1">
      <c r="A38" s="3482"/>
      <c r="B38" s="1439" t="s">
        <v>1699</v>
      </c>
      <c r="C38" s="2725">
        <v>0</v>
      </c>
      <c r="D38" s="2726" t="s">
        <v>1700</v>
      </c>
      <c r="E38" s="1281"/>
      <c r="F38" s="1650"/>
      <c r="G38" s="1281"/>
      <c r="H38" s="1281"/>
      <c r="I38" s="1281"/>
      <c r="J38" s="2816"/>
    </row>
    <row r="39" spans="1:17" ht="15">
      <c r="A39" s="2691" t="s">
        <v>1701</v>
      </c>
      <c r="B39" s="2727" t="s">
        <v>1685</v>
      </c>
      <c r="C39" s="2728" t="s">
        <v>1686</v>
      </c>
      <c r="D39" s="2728" t="s">
        <v>1702</v>
      </c>
      <c r="E39" s="2729" t="s">
        <v>1687</v>
      </c>
      <c r="F39" s="1650"/>
      <c r="G39" s="1281"/>
      <c r="H39" s="1281"/>
      <c r="I39" s="1281"/>
      <c r="J39" s="2816"/>
    </row>
    <row r="40" spans="1:17" ht="14.25">
      <c r="A40" s="2730" t="s">
        <v>1703</v>
      </c>
      <c r="B40" s="2731"/>
      <c r="C40" s="2732"/>
      <c r="D40" s="2732"/>
      <c r="E40" s="2733"/>
      <c r="F40" s="1650"/>
      <c r="G40" s="1281"/>
      <c r="H40" s="1281"/>
      <c r="I40" s="1281"/>
      <c r="J40" s="2816"/>
    </row>
    <row r="41" spans="1:17" ht="14.25">
      <c r="A41" s="2730" t="s">
        <v>1704</v>
      </c>
      <c r="B41" s="2731"/>
      <c r="C41" s="2732"/>
      <c r="D41" s="2732"/>
      <c r="E41" s="2733"/>
      <c r="F41" s="1650"/>
      <c r="G41" s="1281"/>
      <c r="H41" s="1281"/>
      <c r="I41" s="1281"/>
      <c r="J41" s="2816"/>
    </row>
    <row r="42" spans="1:17" ht="15" thickBot="1">
      <c r="A42" s="2734"/>
      <c r="B42" s="2735"/>
      <c r="C42" s="2736"/>
      <c r="D42" s="2736"/>
      <c r="E42" s="2721"/>
      <c r="F42" s="1650"/>
      <c r="G42" s="1281"/>
      <c r="H42" s="1281"/>
      <c r="I42" s="1281"/>
      <c r="J42" s="2816"/>
    </row>
    <row r="43" spans="1:17" ht="12.75">
      <c r="A43" s="2942"/>
      <c r="B43" s="2942"/>
      <c r="C43" s="2942"/>
      <c r="D43" s="2942"/>
      <c r="E43" s="2942"/>
      <c r="F43" s="2941"/>
      <c r="G43" s="2941"/>
      <c r="H43" s="2941"/>
      <c r="I43" s="2628"/>
      <c r="J43" s="2817"/>
    </row>
    <row r="44" spans="1:17" ht="18.75">
      <c r="A44" s="1441" t="s">
        <v>1705</v>
      </c>
      <c r="B44" s="1442"/>
      <c r="C44" s="1442"/>
      <c r="D44" s="1443"/>
      <c r="E44" s="1443"/>
      <c r="F44" s="1444"/>
      <c r="G44" s="1444"/>
      <c r="H44" s="1444"/>
      <c r="I44" s="2806" t="s">
        <v>2757</v>
      </c>
      <c r="J44" s="2818"/>
      <c r="K44" s="1445" t="s">
        <v>1706</v>
      </c>
      <c r="L44" s="1446"/>
      <c r="M44" s="1446"/>
      <c r="N44" s="1446"/>
      <c r="O44" s="1446"/>
      <c r="P44" s="1446"/>
      <c r="Q44" s="1278"/>
    </row>
    <row r="45" spans="1:17" ht="14.25" customHeight="1" thickBot="1">
      <c r="A45" s="3484" t="s">
        <v>1707</v>
      </c>
      <c r="B45" s="3485"/>
      <c r="C45" s="3444"/>
      <c r="D45" s="246">
        <f ca="1">ROUND(I102*F45,0)</f>
        <v>1701</v>
      </c>
      <c r="E45" s="1512" t="s">
        <v>1708</v>
      </c>
      <c r="F45" s="2526">
        <v>1</v>
      </c>
      <c r="G45" s="2527" t="s">
        <v>1709</v>
      </c>
      <c r="H45" s="947"/>
      <c r="I45" s="947"/>
      <c r="J45" s="2812"/>
      <c r="K45" s="3538" t="s">
        <v>2687</v>
      </c>
      <c r="L45" s="3538"/>
      <c r="M45" s="3538"/>
      <c r="N45" s="3538"/>
      <c r="O45" s="3538"/>
      <c r="P45" s="3538"/>
      <c r="Q45" s="1278"/>
    </row>
    <row r="46" spans="1:17" ht="14.25" customHeight="1">
      <c r="A46" s="3473" t="s">
        <v>1711</v>
      </c>
      <c r="B46" s="3474"/>
      <c r="C46" s="3474"/>
      <c r="D46" s="3474"/>
      <c r="E46" s="3474"/>
      <c r="F46" s="3474"/>
      <c r="G46" s="3475"/>
      <c r="H46" s="2944"/>
      <c r="I46" s="947"/>
      <c r="J46" s="2812"/>
      <c r="K46" s="2501">
        <v>1</v>
      </c>
      <c r="L46" s="3539" t="s">
        <v>2688</v>
      </c>
      <c r="M46" s="3539"/>
      <c r="N46" s="3540" t="str">
        <f>项目基本情况!B1</f>
        <v>北京市房地产抵押价值预评估</v>
      </c>
      <c r="O46" s="3540"/>
      <c r="P46" s="3540"/>
      <c r="Q46" s="1278"/>
    </row>
    <row r="47" spans="1:17" ht="12" customHeight="1">
      <c r="A47" s="38" t="s">
        <v>1713</v>
      </c>
      <c r="B47" s="39"/>
      <c r="C47" s="40"/>
      <c r="D47" s="1070" t="s">
        <v>1714</v>
      </c>
      <c r="E47" s="235" t="s">
        <v>1715</v>
      </c>
      <c r="F47" s="41" t="s">
        <v>1716</v>
      </c>
      <c r="G47" s="2529" t="s">
        <v>1717</v>
      </c>
      <c r="H47" s="2944"/>
      <c r="I47" s="947"/>
      <c r="J47" s="2812"/>
      <c r="K47" s="2501">
        <v>2</v>
      </c>
      <c r="L47" s="3539" t="s">
        <v>2689</v>
      </c>
      <c r="M47" s="3539"/>
      <c r="N47" s="3541">
        <f>'数据-取费表'!B2</f>
        <v>44616</v>
      </c>
      <c r="O47" s="3541"/>
      <c r="P47" s="3541"/>
      <c r="Q47" s="1278"/>
    </row>
    <row r="48" spans="1:17" ht="25.5">
      <c r="A48" s="3483" t="s">
        <v>1719</v>
      </c>
      <c r="B48" s="3437"/>
      <c r="C48" s="3437"/>
      <c r="D48" s="12">
        <f ca="1">IF(H48="情况1",0,IF(H48="情况2",D52,IF(H48="情况3",D53,IF(H48="情况4",D54))))</f>
        <v>85</v>
      </c>
      <c r="E48" s="2057" t="str">
        <f>IF(H48="情况4","(销售额-原购置价)×税（费）率","销售额×税（费）率")</f>
        <v>(销售额-原购置价)×税（费）率</v>
      </c>
      <c r="F48" s="2530">
        <f>IF(H48="情况1","免征",'数据-取费表'!E29)</f>
        <v>5.6000000000000001E-2</v>
      </c>
      <c r="G48" s="2531" t="s">
        <v>1720</v>
      </c>
      <c r="H48" s="2532" t="s">
        <v>3002</v>
      </c>
      <c r="I48" s="2944"/>
      <c r="J48" s="2819"/>
      <c r="K48" s="2501">
        <v>3</v>
      </c>
      <c r="L48" s="3539" t="s">
        <v>2690</v>
      </c>
      <c r="M48" s="3539"/>
      <c r="N48" s="3540">
        <f ca="1">I102</f>
        <v>1701</v>
      </c>
      <c r="O48" s="3540"/>
      <c r="P48" s="3540"/>
      <c r="Q48" s="1278"/>
    </row>
    <row r="49" spans="1:17" ht="25.5" customHeight="1">
      <c r="A49" s="2056" t="s">
        <v>1723</v>
      </c>
      <c r="B49" s="3476" t="s">
        <v>1724</v>
      </c>
      <c r="C49" s="3476"/>
      <c r="D49" s="2533">
        <v>0</v>
      </c>
      <c r="E49" s="261" t="s">
        <v>1725</v>
      </c>
      <c r="F49" s="2534" t="s">
        <v>48</v>
      </c>
      <c r="G49" s="3533"/>
      <c r="H49" s="2535" t="s">
        <v>2764</v>
      </c>
      <c r="I49" s="2536"/>
      <c r="J49" s="2820"/>
      <c r="K49" s="2501">
        <v>4</v>
      </c>
      <c r="L49" s="3539" t="str">
        <f>IF(项目基本情况!F5="房地产抵押价值","房地产抵押价值","抵押担保权已注销时的房地产抵押价值")</f>
        <v>房地产抵押价值</v>
      </c>
      <c r="M49" s="3539"/>
      <c r="N49" s="3540">
        <f ca="1">IF(项目基本情况!F5="房地产抵押价值",I110,I112)</f>
        <v>1701</v>
      </c>
      <c r="O49" s="3540"/>
      <c r="P49" s="3540"/>
      <c r="Q49" s="1278"/>
    </row>
    <row r="50" spans="1:17" ht="25.5" customHeight="1">
      <c r="A50" s="2046"/>
      <c r="B50" s="3476" t="s">
        <v>1726</v>
      </c>
      <c r="C50" s="3476"/>
      <c r="D50" s="2537"/>
      <c r="E50" s="269"/>
      <c r="F50" s="2534"/>
      <c r="G50" s="3534"/>
      <c r="H50" s="2538" t="s">
        <v>2683</v>
      </c>
      <c r="I50" s="2536"/>
      <c r="J50" s="2820"/>
      <c r="K50" s="3539" t="s">
        <v>2691</v>
      </c>
      <c r="L50" s="3539"/>
      <c r="M50" s="3539"/>
      <c r="N50" s="3539"/>
      <c r="O50" s="3539"/>
      <c r="P50" s="3539"/>
      <c r="Q50" s="1278"/>
    </row>
    <row r="51" spans="1:17" ht="20.45" customHeight="1">
      <c r="A51" s="2539"/>
      <c r="B51" s="3476" t="s">
        <v>1728</v>
      </c>
      <c r="C51" s="3476"/>
      <c r="D51" s="1070"/>
      <c r="E51" s="264"/>
      <c r="F51" s="2534"/>
      <c r="G51" s="3535"/>
      <c r="H51" s="2538" t="s">
        <v>2684</v>
      </c>
      <c r="I51" s="2536"/>
      <c r="J51" s="2820"/>
      <c r="K51" s="2502" t="s">
        <v>2692</v>
      </c>
      <c r="L51" s="3539" t="s">
        <v>2693</v>
      </c>
      <c r="M51" s="3539"/>
      <c r="N51" s="2502" t="s">
        <v>2694</v>
      </c>
      <c r="O51" s="2502" t="s">
        <v>2695</v>
      </c>
      <c r="P51" s="2502" t="s">
        <v>2696</v>
      </c>
      <c r="Q51" s="1278"/>
    </row>
    <row r="52" spans="1:17" ht="24" customHeight="1">
      <c r="A52" s="2047" t="s">
        <v>1734</v>
      </c>
      <c r="B52" s="3476" t="s">
        <v>1735</v>
      </c>
      <c r="C52" s="3476"/>
      <c r="D52" s="1070">
        <f ca="1">ROUND(D45*'数据-取费表'!E29/(1+'数据-取费表'!F30),0)</f>
        <v>91</v>
      </c>
      <c r="E52" s="2057" t="s">
        <v>1736</v>
      </c>
      <c r="F52" s="2540">
        <f>'数据-取费表'!E29</f>
        <v>5.6000000000000001E-2</v>
      </c>
      <c r="G52" s="2541"/>
      <c r="H52" s="947"/>
      <c r="I52" s="2945"/>
      <c r="J52" s="2820"/>
      <c r="K52" s="2501">
        <v>1</v>
      </c>
      <c r="L52" s="3506" t="s">
        <v>2697</v>
      </c>
      <c r="M52" s="3506"/>
      <c r="N52" s="2503">
        <f ca="1">D48</f>
        <v>85</v>
      </c>
      <c r="O52" s="2501" t="str">
        <f>E48</f>
        <v>(销售额-原购置价)×税（费）率</v>
      </c>
      <c r="P52" s="2504">
        <f>F48</f>
        <v>5.6000000000000001E-2</v>
      </c>
      <c r="Q52" s="1278"/>
    </row>
    <row r="53" spans="1:17" ht="12" customHeight="1">
      <c r="A53" s="2047" t="s">
        <v>1738</v>
      </c>
      <c r="B53" s="3438" t="s">
        <v>2775</v>
      </c>
      <c r="C53" s="3477"/>
      <c r="D53" s="1070">
        <f ca="1">ROUND(D45*'数据-取费表'!E29/(1+'数据-取费表'!F30),0)</f>
        <v>91</v>
      </c>
      <c r="E53" s="2057" t="s">
        <v>1736</v>
      </c>
      <c r="F53" s="2540">
        <f>'数据-取费表'!E29</f>
        <v>5.6000000000000001E-2</v>
      </c>
      <c r="G53" s="2541"/>
      <c r="H53" s="947"/>
      <c r="I53" s="2945"/>
      <c r="J53" s="2820"/>
      <c r="K53" s="2501">
        <v>2</v>
      </c>
      <c r="L53" s="3506" t="s">
        <v>2698</v>
      </c>
      <c r="M53" s="3506"/>
      <c r="N53" s="2503">
        <f t="shared" ref="N53:P54" si="1">D55</f>
        <v>0</v>
      </c>
      <c r="O53" s="2501" t="str">
        <f t="shared" si="1"/>
        <v>销售额×税（费）率</v>
      </c>
      <c r="P53" s="2504" t="str">
        <f t="shared" si="1"/>
        <v>免征</v>
      </c>
      <c r="Q53" s="1278"/>
    </row>
    <row r="54" spans="1:17" ht="12" customHeight="1">
      <c r="A54" s="2047" t="s">
        <v>1740</v>
      </c>
      <c r="B54" s="3438" t="s">
        <v>2776</v>
      </c>
      <c r="C54" s="3477"/>
      <c r="D54" s="1070">
        <f ca="1">C68</f>
        <v>85</v>
      </c>
      <c r="E54" s="264" t="s">
        <v>1741</v>
      </c>
      <c r="F54" s="2540">
        <f>'数据-取费表'!E29</f>
        <v>5.6000000000000001E-2</v>
      </c>
      <c r="G54" s="2541"/>
      <c r="H54" s="2946"/>
      <c r="I54" s="2945"/>
      <c r="J54" s="2820"/>
      <c r="K54" s="2501">
        <v>3</v>
      </c>
      <c r="L54" s="3506" t="s">
        <v>2699</v>
      </c>
      <c r="M54" s="3506"/>
      <c r="N54" s="2503">
        <f t="shared" si="1"/>
        <v>0</v>
      </c>
      <c r="O54" s="2501" t="str">
        <f t="shared" si="1"/>
        <v>增值额×税（费）率</v>
      </c>
      <c r="P54" s="2505" t="str">
        <f t="shared" si="1"/>
        <v>免征</v>
      </c>
      <c r="Q54" s="1278"/>
    </row>
    <row r="55" spans="1:17" ht="24" customHeight="1">
      <c r="A55" s="3436" t="s">
        <v>1743</v>
      </c>
      <c r="B55" s="3437"/>
      <c r="C55" s="3437"/>
      <c r="D55" s="12">
        <f>IF(H55="个人住宅",0,ROUND(D45*I55,0))</f>
        <v>0</v>
      </c>
      <c r="E55" s="2057" t="s">
        <v>1744</v>
      </c>
      <c r="F55" s="2540" t="str">
        <f>IF(H55="正常",I55,"免征")</f>
        <v>免征</v>
      </c>
      <c r="G55" s="2541"/>
      <c r="H55" s="2532" t="s">
        <v>2680</v>
      </c>
      <c r="I55" s="74">
        <f>'数据-取费表'!E37</f>
        <v>5.0000000000000001E-4</v>
      </c>
      <c r="J55" s="2820"/>
      <c r="K55" s="2501">
        <f>IF(H59="非个人房产","",4)</f>
        <v>4</v>
      </c>
      <c r="L55" s="3506" t="str">
        <f>IF(H59="非个人房产","——","个人所得税")</f>
        <v>个人所得税</v>
      </c>
      <c r="M55" s="3506"/>
      <c r="N55" s="2506">
        <f>D59</f>
        <v>0</v>
      </c>
      <c r="O55" s="2507" t="str">
        <f>E59</f>
        <v>免征</v>
      </c>
      <c r="P55" s="2508" t="str">
        <f>F59</f>
        <v>——</v>
      </c>
      <c r="Q55" s="1278"/>
    </row>
    <row r="56" spans="1:17" ht="24.75">
      <c r="A56" s="3436" t="s">
        <v>1746</v>
      </c>
      <c r="B56" s="3437"/>
      <c r="C56" s="3437"/>
      <c r="D56" s="12">
        <f>IF(H56="个人住宅",D57,D58)</f>
        <v>0</v>
      </c>
      <c r="E56" s="2057" t="s">
        <v>1747</v>
      </c>
      <c r="F56" s="2540" t="str">
        <f>IF(H56="正常",F58,"免征")</f>
        <v>免征</v>
      </c>
      <c r="G56" s="2542" t="s">
        <v>1748</v>
      </c>
      <c r="H56" s="2543" t="s">
        <v>2680</v>
      </c>
      <c r="I56" s="2947"/>
      <c r="J56" s="2820"/>
      <c r="K56" s="2501" t="str">
        <f>IF(项目基本情况!I6="上海银行",IF(K55="",4,K55+1),"")</f>
        <v/>
      </c>
      <c r="L56" s="3520" t="str">
        <f>IF(项目基本情况!I6="上海银行","其他处置费用","")</f>
        <v/>
      </c>
      <c r="M56" s="3521"/>
      <c r="N56" s="2503" t="str">
        <f>IF(项目基本情况!I6="上海银行",N69,"")</f>
        <v/>
      </c>
      <c r="O56" s="3520" t="str">
        <f>IF(项目基本情况!I6="上海银行","包含处置中涉及的律师、诉讼、拍卖、评估等费用","")</f>
        <v/>
      </c>
      <c r="P56" s="3532"/>
      <c r="Q56" s="1278"/>
    </row>
    <row r="57" spans="1:17" ht="12.75">
      <c r="A57" s="2047" t="s">
        <v>1723</v>
      </c>
      <c r="B57" s="3438" t="s">
        <v>1749</v>
      </c>
      <c r="C57" s="3477"/>
      <c r="D57" s="2533">
        <v>0</v>
      </c>
      <c r="E57" s="261" t="s">
        <v>1725</v>
      </c>
      <c r="F57" s="235"/>
      <c r="G57" s="2541"/>
      <c r="H57" s="2947"/>
      <c r="I57" s="2947"/>
      <c r="J57" s="2820"/>
      <c r="K57" s="3506">
        <f>IF(AND(K55="",K56=""),4,IF(项目基本情况!I6="上海银行",K56+1,K55+1))</f>
        <v>5</v>
      </c>
      <c r="L57" s="3506" t="s">
        <v>2700</v>
      </c>
      <c r="M57" s="2509" t="s">
        <v>2701</v>
      </c>
      <c r="N57" s="2510"/>
      <c r="O57" s="2511">
        <f ca="1">SUMIF(N52:N56,"&lt;9e307")</f>
        <v>85</v>
      </c>
      <c r="P57" s="2512"/>
      <c r="Q57" s="1276">
        <f ca="1">O57/N49</f>
        <v>4.9970605526161081E-2</v>
      </c>
    </row>
    <row r="58" spans="1:17" ht="24.75">
      <c r="A58" s="2047" t="s">
        <v>1734</v>
      </c>
      <c r="B58" s="3438" t="s">
        <v>1752</v>
      </c>
      <c r="C58" s="3476"/>
      <c r="D58" s="12">
        <f ca="1">IF(H58="转让取得",C81,C97)</f>
        <v>808</v>
      </c>
      <c r="E58" s="2057" t="s">
        <v>1747</v>
      </c>
      <c r="F58" s="235" t="s">
        <v>48</v>
      </c>
      <c r="G58" s="2541"/>
      <c r="H58" s="2543" t="s">
        <v>3003</v>
      </c>
      <c r="I58" s="2947"/>
      <c r="J58" s="2820"/>
      <c r="K58" s="3506"/>
      <c r="L58" s="3506"/>
      <c r="M58" s="2509" t="s">
        <v>2702</v>
      </c>
      <c r="N58" s="2513"/>
      <c r="O58" s="2514" t="str">
        <f ca="1">IF(H19="元",NUMBERSTRING(INT(O57),2)&amp;"元整",NUMBERSTRING(INT(O57*10000),2)&amp;"元整")</f>
        <v>捌拾伍万元整</v>
      </c>
      <c r="P58" s="2515"/>
      <c r="Q58" s="1278"/>
    </row>
    <row r="59" spans="1:17" ht="24.75" thickBot="1">
      <c r="A59" s="3460" t="s">
        <v>1755</v>
      </c>
      <c r="B59" s="3461"/>
      <c r="C59" s="3461"/>
      <c r="D59" s="2544">
        <f>IF(H59="非个人房产","——",IF(H59="个人住宅（满五唯一有凭证）",0,IF(H59="个人其他（无凭证）",ROUND(D45*F59,0),ROUND(C67*F59,0))))</f>
        <v>0</v>
      </c>
      <c r="E59" s="2048" t="str">
        <f>IF(H59="非个人房产","——",IF(H59="个人其他（无凭证）","销售额×税（费）率",IF(H59="个人住宅（满五唯一有凭证）","免征","差额计税")))</f>
        <v>免征</v>
      </c>
      <c r="F59" s="2545" t="str">
        <f>IF(OR(H59="非个人房产",H59="个人住宅（满五唯一有凭证）"),"——",IF(H59="个人其他（有凭证）",20%,1%))</f>
        <v>——</v>
      </c>
      <c r="G59" s="2790" t="s">
        <v>2755</v>
      </c>
      <c r="H59" s="2061" t="s">
        <v>3004</v>
      </c>
      <c r="I59" s="2849" t="s">
        <v>2765</v>
      </c>
      <c r="J59" s="2820"/>
      <c r="K59" s="3504">
        <f>K57+1</f>
        <v>6</v>
      </c>
      <c r="L59" s="3506" t="s">
        <v>2703</v>
      </c>
      <c r="M59" s="2501" t="s">
        <v>2701</v>
      </c>
      <c r="N59" s="2516"/>
      <c r="O59" s="2517">
        <f ca="1">N49-O57</f>
        <v>1616</v>
      </c>
      <c r="P59" s="2518"/>
      <c r="Q59" s="1278"/>
    </row>
    <row r="60" spans="1:17" ht="12" customHeight="1">
      <c r="A60" s="1427"/>
      <c r="B60" s="1431"/>
      <c r="C60" s="1431"/>
      <c r="D60" s="1431"/>
      <c r="E60" s="812"/>
      <c r="F60" s="2948"/>
      <c r="G60" s="2948"/>
      <c r="H60" s="2949"/>
      <c r="I60" s="31"/>
      <c r="K60" s="3505"/>
      <c r="L60" s="3506"/>
      <c r="M60" s="2509" t="s">
        <v>2702</v>
      </c>
      <c r="N60" s="2513"/>
      <c r="O60" s="2514" t="str">
        <f ca="1">IF(H19="元",NUMBERSTRING(INT(O59),2)&amp;"元整",NUMBERSTRING(INT(O59*10000),2)&amp;"元整")</f>
        <v>壹仟陆佰壹拾陆万元整</v>
      </c>
      <c r="P60" s="2515"/>
      <c r="Q60" s="1278"/>
    </row>
    <row r="61" spans="1:17" ht="13.5" thickBot="1">
      <c r="A61" s="3486" t="s">
        <v>1757</v>
      </c>
      <c r="B61" s="3486"/>
      <c r="C61" s="3486"/>
      <c r="D61" s="3486"/>
      <c r="E61" s="3486"/>
      <c r="F61" s="2948"/>
      <c r="G61" s="2948"/>
      <c r="H61" s="2950"/>
      <c r="I61" s="31"/>
      <c r="K61" s="2501">
        <f>K59+1</f>
        <v>7</v>
      </c>
      <c r="L61" s="3506" t="s">
        <v>2704</v>
      </c>
      <c r="M61" s="3506"/>
      <c r="N61" s="2519"/>
      <c r="O61" s="2520">
        <f ca="1">IF(H19="元",ROUND(O59/项目基本情况!C12,0),ROUND(O59*10000/项目基本情况!C12,0))</f>
        <v>44538</v>
      </c>
      <c r="P61" s="2521"/>
      <c r="Q61" s="1278"/>
    </row>
    <row r="62" spans="1:17" ht="12.75">
      <c r="A62" s="3495" t="s">
        <v>1759</v>
      </c>
      <c r="B62" s="3496"/>
      <c r="C62" s="1577"/>
      <c r="D62" s="1577" t="s">
        <v>1760</v>
      </c>
      <c r="E62" s="45" t="s">
        <v>1761</v>
      </c>
      <c r="F62" s="2948"/>
      <c r="G62" s="2948"/>
      <c r="H62" s="2950"/>
      <c r="I62" s="31"/>
      <c r="K62" s="2522"/>
      <c r="L62" s="2522"/>
      <c r="M62" s="2522"/>
      <c r="N62" s="2522"/>
      <c r="O62" s="2522"/>
      <c r="P62" s="2522"/>
      <c r="Q62" s="1278"/>
    </row>
    <row r="63" spans="1:17" ht="12.75">
      <c r="A63" s="46">
        <v>1</v>
      </c>
      <c r="B63" s="47" t="s">
        <v>1762</v>
      </c>
      <c r="C63" s="2751">
        <f ca="1">ROUND((C64+C65)/(1+'数据-取费表'!F30),0)</f>
        <v>1620</v>
      </c>
      <c r="D63" s="47"/>
      <c r="E63" s="48"/>
      <c r="F63" s="2948"/>
      <c r="G63" s="2948"/>
      <c r="H63" s="2950"/>
      <c r="I63" s="31"/>
      <c r="K63" s="3522" t="s">
        <v>2705</v>
      </c>
      <c r="L63" s="2523" t="s">
        <v>2706</v>
      </c>
      <c r="M63" s="2523">
        <f ca="1">IF(N49&gt;10000,N49*0.5%,IF(AND(N49&gt;1000,N49&lt;=10000),N49*1%,IF(AND(N49&gt;100,N49&lt;=1000),N49*3%,IF(AND(N49&gt;10,N49&lt;=100),N49*5%,N49*8%))))</f>
        <v>17.010000000000002</v>
      </c>
      <c r="N63" s="2524">
        <f ca="1">ROUND(M63,1)</f>
        <v>17</v>
      </c>
      <c r="O63" s="2522"/>
      <c r="P63" s="2522"/>
      <c r="Q63" s="1278"/>
    </row>
    <row r="64" spans="1:17" ht="12.75">
      <c r="A64" s="49" t="s">
        <v>71</v>
      </c>
      <c r="B64" s="50" t="s">
        <v>1765</v>
      </c>
      <c r="C64" s="2752">
        <f ca="1">D45</f>
        <v>1701</v>
      </c>
      <c r="D64" s="50" t="s">
        <v>41</v>
      </c>
      <c r="E64" s="52"/>
      <c r="F64" s="2948"/>
      <c r="G64" s="2948"/>
      <c r="H64" s="2950"/>
      <c r="I64" s="31"/>
      <c r="K64" s="3522"/>
      <c r="L64" s="2523" t="s">
        <v>2707</v>
      </c>
      <c r="M64" s="2523">
        <f ca="1">IF(N49&gt;2000,N49*0.5%,IF(AND(N49&gt;1000,N49&lt;=2000),N49*0.6%,IF(AND(N49&gt;500,N49&lt;=1000),N49*0.7%,IF(AND(N49&gt;200,N49&lt;=500),N49*0.8%,IF(AND(N49&gt;100,N49&lt;=200),N49*0.9%,IF(AND(N49&gt;50,N49&lt;=100),N49*1%,IF(AND(N49&gt;20,N49&lt;=50),N49*1.5%,IF(AND(N49&gt;10,N49&lt;=20),N49*2%,IF(AND(N49&gt;1,N49&lt;=10),N49*2.5%)))))))))</f>
        <v>10.206</v>
      </c>
      <c r="N64" s="2524">
        <f t="shared" ref="N64:N65" ca="1" si="2">ROUND(M64,1)</f>
        <v>10.199999999999999</v>
      </c>
      <c r="O64" s="2522" t="s">
        <v>2708</v>
      </c>
      <c r="P64" s="2522"/>
      <c r="Q64" s="1278"/>
    </row>
    <row r="65" spans="1:36" ht="12.75">
      <c r="A65" s="49" t="s">
        <v>72</v>
      </c>
      <c r="B65" s="50" t="s">
        <v>1768</v>
      </c>
      <c r="C65" s="2753"/>
      <c r="D65" s="50"/>
      <c r="E65" s="52"/>
      <c r="F65" s="2948"/>
      <c r="G65" s="2948"/>
      <c r="H65" s="2950"/>
      <c r="I65" s="31"/>
      <c r="K65" s="3522"/>
      <c r="L65" s="2523" t="s">
        <v>2709</v>
      </c>
      <c r="M65" s="2523">
        <f ca="1">IF(N49&gt;1000,N49*0.1%,IF(AND(N49&gt;500,N49&lt;=1000),N49*0.5%,IF(AND(N49&gt;50,N49&lt;=500),N49*1%,IF(AND(N49&gt;1,N49&lt;=50),N49*1.5%))))</f>
        <v>1.7010000000000001</v>
      </c>
      <c r="N65" s="2524">
        <f t="shared" ca="1" si="2"/>
        <v>1.7</v>
      </c>
      <c r="O65" s="2522" t="s">
        <v>2708</v>
      </c>
      <c r="P65" s="2522"/>
      <c r="Q65" s="1278"/>
    </row>
    <row r="66" spans="1:36" ht="12.75">
      <c r="A66" s="53" t="s">
        <v>47</v>
      </c>
      <c r="B66" s="54" t="s">
        <v>1770</v>
      </c>
      <c r="C66" s="2754">
        <f>C75</f>
        <v>105.1006</v>
      </c>
      <c r="D66" s="54" t="s">
        <v>41</v>
      </c>
      <c r="E66" s="1286" t="s">
        <v>1771</v>
      </c>
      <c r="F66" s="2948"/>
      <c r="G66" s="2948"/>
      <c r="H66" s="2950"/>
      <c r="I66" s="31"/>
      <c r="K66" s="3522"/>
      <c r="L66" s="2523" t="s">
        <v>2710</v>
      </c>
      <c r="M66" s="2523">
        <f ca="1">N49*0.5%</f>
        <v>8.5050000000000008</v>
      </c>
      <c r="N66" s="2524">
        <f ca="1">IF(M66&gt;0.5,0.5,ROUND(M66,0))</f>
        <v>0.5</v>
      </c>
      <c r="O66" s="2522" t="s">
        <v>2711</v>
      </c>
      <c r="P66" s="2522"/>
      <c r="Q66" s="1278"/>
    </row>
    <row r="67" spans="1:36" ht="12.75">
      <c r="A67" s="53" t="s">
        <v>42</v>
      </c>
      <c r="B67" s="54" t="s">
        <v>1774</v>
      </c>
      <c r="C67" s="2755">
        <f ca="1">C63-C66</f>
        <v>1514.8994</v>
      </c>
      <c r="D67" s="50" t="s">
        <v>41</v>
      </c>
      <c r="E67" s="52"/>
      <c r="F67" s="2948"/>
      <c r="G67" s="2948"/>
      <c r="H67" s="2950"/>
      <c r="I67" s="31"/>
      <c r="K67" s="3522"/>
      <c r="L67" s="2523" t="s">
        <v>2712</v>
      </c>
      <c r="M67" s="2523">
        <f ca="1">IF(N49&gt;=10000,(8.25+(N49-10000)*0.01%),IF(AND(N49&gt;=8000,N49&lt;10000),(7.85+(N49-8000)*0.02%),IF(AND(N49&gt;=5000,N49&lt;8000),(6.65+(N49-5000)*0.04%),IF(AND(N49&gt;=2000,N49&lt;5000),(4.25+(PN49-2000)*0.08%),IF(AND(N49&gt;=1000,N49&lt;2000),(2.75+(N49-1000)*0.15%),IF(AND(N49&gt;=100,N49&lt;1000),(0.5+(N49-100)*0.25%),IF(AND(N49&gt;0,N49&lt;100),N49*0.5%)))))))</f>
        <v>3.8014999999999999</v>
      </c>
      <c r="N67" s="2524">
        <f ca="1">ROUND(M67*0.9,1)</f>
        <v>3.4</v>
      </c>
      <c r="O67" s="2522"/>
      <c r="P67" s="2522"/>
      <c r="Q67" s="1278"/>
    </row>
    <row r="68" spans="1:36" ht="13.5" thickBot="1">
      <c r="A68" s="55" t="s">
        <v>46</v>
      </c>
      <c r="B68" s="56" t="s">
        <v>1776</v>
      </c>
      <c r="C68" s="2756">
        <f ca="1">IF(C67&lt;=0,0,ROUND(C67*D68,0))</f>
        <v>85</v>
      </c>
      <c r="D68" s="2207">
        <f>'数据-取费表'!E29</f>
        <v>5.6000000000000001E-2</v>
      </c>
      <c r="E68" s="57"/>
      <c r="F68" s="2948"/>
      <c r="G68" s="2948"/>
      <c r="H68" s="2950"/>
      <c r="I68" s="31"/>
      <c r="K68" s="3522"/>
      <c r="L68" s="2523" t="s">
        <v>2713</v>
      </c>
      <c r="M68" s="2523">
        <f ca="1">IF(N49&gt;10000,N49*0.5%,IF(AND(N49&gt;5000,N49&lt;=10000),N49*1%,IF(AND(N49&gt;1000,N49&lt;=5000),N49*2%,IF(AND(N49&gt;200,N49&lt;=1000),N49*3%,N49*5%))))</f>
        <v>34.020000000000003</v>
      </c>
      <c r="N68" s="2524">
        <f ca="1">ROUND(M68,1)</f>
        <v>34</v>
      </c>
      <c r="O68" s="2522"/>
      <c r="P68" s="2522"/>
      <c r="Q68" s="1278"/>
    </row>
    <row r="69" spans="1:36" s="1435" customFormat="1" ht="7.5" customHeight="1">
      <c r="A69" s="1447"/>
      <c r="B69" s="1448"/>
      <c r="C69" s="1449"/>
      <c r="D69" s="1450"/>
      <c r="E69" s="1451"/>
      <c r="F69" s="812"/>
      <c r="G69" s="812"/>
      <c r="H69" s="1440"/>
      <c r="I69" s="1431"/>
      <c r="J69" s="2808"/>
      <c r="K69" s="3522"/>
      <c r="L69" s="2523" t="s">
        <v>54</v>
      </c>
      <c r="M69" s="2523"/>
      <c r="N69" s="2524">
        <f ca="1">ROUND(SUM(N63:N68),0)</f>
        <v>67</v>
      </c>
      <c r="O69" s="2525">
        <f ca="1">N69/N49</f>
        <v>3.93885949441505E-2</v>
      </c>
      <c r="P69" s="2522"/>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98" t="s">
        <v>1779</v>
      </c>
      <c r="B70" s="3499"/>
      <c r="C70" s="3499"/>
      <c r="D70" s="3499"/>
      <c r="E70" s="3499"/>
      <c r="F70" s="3499"/>
      <c r="G70" s="3499"/>
      <c r="H70" s="3499"/>
      <c r="I70" s="1452"/>
      <c r="J70" s="2821"/>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95" t="s">
        <v>1759</v>
      </c>
      <c r="B71" s="3496"/>
      <c r="C71" s="1577"/>
      <c r="D71" s="1577" t="s">
        <v>1760</v>
      </c>
      <c r="E71" s="58" t="s">
        <v>1761</v>
      </c>
      <c r="F71" s="59"/>
      <c r="G71" s="59"/>
      <c r="H71" s="60"/>
      <c r="I71" s="1455"/>
      <c r="J71" s="2822"/>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5">
        <f ca="1">ROUND(D45/(1+'数据-取费表'!F30),0)</f>
        <v>1620</v>
      </c>
      <c r="D72" s="50" t="s">
        <v>41</v>
      </c>
      <c r="E72" s="12" t="s">
        <v>1781</v>
      </c>
      <c r="F72" s="2054"/>
      <c r="G72" s="2054"/>
      <c r="H72" s="62"/>
      <c r="I72" s="1455"/>
      <c r="J72" s="2822"/>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5">
        <f ca="1">C74+C78</f>
        <v>173</v>
      </c>
      <c r="D73" s="50" t="s">
        <v>41</v>
      </c>
      <c r="E73" s="2053"/>
      <c r="F73" s="2054"/>
      <c r="G73" s="2054"/>
      <c r="H73" s="62"/>
      <c r="I73" s="1455"/>
      <c r="J73" s="2822"/>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163</v>
      </c>
      <c r="D74" s="50" t="s">
        <v>41</v>
      </c>
      <c r="E74" s="2053"/>
      <c r="F74" s="2054"/>
      <c r="G74" s="2054"/>
      <c r="H74" s="62"/>
      <c r="I74" s="1455"/>
      <c r="J74" s="2822"/>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3">
        <f>1051006/10000</f>
        <v>105.1006</v>
      </c>
      <c r="D75" s="50" t="s">
        <v>41</v>
      </c>
      <c r="E75" s="64" t="s">
        <v>1785</v>
      </c>
      <c r="F75" s="2759" t="s">
        <v>1786</v>
      </c>
      <c r="G75" s="64" t="s">
        <v>1787</v>
      </c>
      <c r="H75" s="2760">
        <v>11</v>
      </c>
      <c r="I75" s="9"/>
      <c r="J75" s="2823"/>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58</v>
      </c>
      <c r="D76" s="2761">
        <v>0.05</v>
      </c>
      <c r="E76" s="3438" t="s">
        <v>1789</v>
      </c>
      <c r="F76" s="3476"/>
      <c r="G76" s="3476"/>
      <c r="H76" s="3490"/>
      <c r="I76" s="1455"/>
      <c r="J76" s="2822"/>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2">
        <f>'数据-取费表'!E36+'数据-取费表'!E37</f>
        <v>3.0499999999999999E-2</v>
      </c>
      <c r="E77" s="12" t="s">
        <v>1791</v>
      </c>
      <c r="F77" s="2060"/>
      <c r="G77" s="1456" t="s">
        <v>2680</v>
      </c>
      <c r="H77" s="2055" t="str">
        <f>IF(G77="个人买卖住房","免征印花税"," ")</f>
        <v xml:space="preserve"> </v>
      </c>
      <c r="I77" s="1455"/>
      <c r="J77" s="2822"/>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3">
        <f ca="1">ROUND(D45*D78/(1+'数据-取费表'!F30),0)</f>
        <v>10</v>
      </c>
      <c r="D78" s="2764">
        <f>'数据-取费表'!E31</f>
        <v>6.000000000000001E-3</v>
      </c>
      <c r="E78" s="3470" t="s">
        <v>1794</v>
      </c>
      <c r="F78" s="3471"/>
      <c r="G78" s="3471"/>
      <c r="H78" s="3472"/>
      <c r="I78" s="1457"/>
      <c r="J78" s="2824"/>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5">
        <f ca="1">C72-C73</f>
        <v>1447</v>
      </c>
      <c r="D79" s="50" t="s">
        <v>41</v>
      </c>
      <c r="E79" s="2053"/>
      <c r="F79" s="2054"/>
      <c r="G79" s="2054"/>
      <c r="H79" s="62"/>
      <c r="I79" s="1455"/>
      <c r="J79" s="2822"/>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5">
        <f ca="1">IF(C79&lt;=0,0,C79/C73)</f>
        <v>8.3641618497109835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4"/>
      <c r="G80" s="2054"/>
      <c r="H80" s="62"/>
      <c r="I80" s="1455"/>
      <c r="J80" s="2822"/>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66">
        <f ca="1">ROUND(IF(C79&lt;=0,0,IF(C80&gt;=200%,C79*60%-C73*35%,IF(C80&gt;=100%,C79*50%-C73*15%,IF(C80&gt;=50%,C79*40%-C73*5%,IF(C80&lt;50%,C79*30%,0))))),0)</f>
        <v>808</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2"/>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4"/>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98" t="s">
        <v>1798</v>
      </c>
      <c r="B83" s="3499"/>
      <c r="C83" s="3499"/>
      <c r="D83" s="3499"/>
      <c r="E83" s="3499"/>
      <c r="F83" s="3499"/>
      <c r="G83" s="3499"/>
      <c r="H83" s="3499"/>
      <c r="I83" s="9"/>
      <c r="J83" s="282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95" t="s">
        <v>1759</v>
      </c>
      <c r="B84" s="3496"/>
      <c r="C84" s="1577"/>
      <c r="D84" s="1577" t="s">
        <v>1760</v>
      </c>
      <c r="E84" s="58" t="s">
        <v>1761</v>
      </c>
      <c r="F84" s="59"/>
      <c r="G84" s="59"/>
      <c r="H84" s="72"/>
      <c r="I84" s="9"/>
      <c r="J84" s="2823"/>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5">
        <f ca="1">ROUND(D45/(1+'数据-取费表'!F30),0)</f>
        <v>1620</v>
      </c>
      <c r="D85" s="50" t="s">
        <v>41</v>
      </c>
      <c r="E85" s="2053" t="s">
        <v>1781</v>
      </c>
      <c r="F85" s="2054"/>
      <c r="G85" s="2054"/>
      <c r="H85" s="73"/>
      <c r="I85" s="9"/>
      <c r="J85" s="2823"/>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5">
        <f ca="1">IF(H88="仅含出让金",C87+C90+C91+C92+C93+C94,C87+C91+C92+C93+C94)</f>
        <v>10</v>
      </c>
      <c r="D86" s="2767"/>
      <c r="E86" s="2053"/>
      <c r="F86" s="2054"/>
      <c r="G86" s="2054"/>
      <c r="H86" s="73"/>
      <c r="I86" s="9"/>
      <c r="J86" s="2823"/>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3">
        <f>C88+C89</f>
        <v>0</v>
      </c>
      <c r="D87" s="2764"/>
      <c r="E87" s="2050"/>
      <c r="F87" s="2051"/>
      <c r="G87" s="2051"/>
      <c r="H87" s="2052"/>
      <c r="I87" s="9"/>
      <c r="J87" s="2823"/>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68"/>
      <c r="D88" s="2764"/>
      <c r="E88" s="74" t="s">
        <v>1801</v>
      </c>
      <c r="F88" s="2051"/>
      <c r="G88" s="75" t="s">
        <v>1802</v>
      </c>
      <c r="H88" s="1458"/>
      <c r="I88" s="9"/>
      <c r="J88" s="2823"/>
      <c r="K88" s="2939"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3">
        <f>ROUND(C88*D89,0)</f>
        <v>0</v>
      </c>
      <c r="D89" s="2764">
        <f>'数据-取费表'!E36+'数据-取费表'!E37</f>
        <v>3.0499999999999999E-2</v>
      </c>
      <c r="E89" s="74" t="s">
        <v>1803</v>
      </c>
      <c r="F89" s="2051"/>
      <c r="G89" s="2051"/>
      <c r="H89" s="2052"/>
      <c r="I89" s="9"/>
      <c r="J89" s="2823"/>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68"/>
      <c r="D90" s="2764"/>
      <c r="E90" s="74" t="str">
        <f>IF(H88="-","土地取得成本中已包含该笔费用"," ")</f>
        <v xml:space="preserve"> </v>
      </c>
      <c r="F90" s="2051"/>
      <c r="G90" s="3531" t="s">
        <v>2675</v>
      </c>
      <c r="H90" s="3531"/>
      <c r="I90" s="9"/>
      <c r="J90" s="2823"/>
      <c r="K90" s="2939"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3">
        <f>IF(H91="——",成本法!C33,I91)</f>
        <v>0</v>
      </c>
      <c r="D91" s="2764"/>
      <c r="E91" s="3470" t="s">
        <v>1806</v>
      </c>
      <c r="F91" s="3471"/>
      <c r="G91" s="3471"/>
      <c r="H91" s="1459" t="s">
        <v>1807</v>
      </c>
      <c r="I91" s="1460"/>
      <c r="J91" s="2825"/>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3">
        <f>ROUND((C87+C90+C91)*D92,0)</f>
        <v>0</v>
      </c>
      <c r="D92" s="2807">
        <v>0.1</v>
      </c>
      <c r="E92" s="3470" t="s">
        <v>1809</v>
      </c>
      <c r="F92" s="3471"/>
      <c r="G92" s="3471"/>
      <c r="H92" s="3472"/>
      <c r="I92" s="9"/>
      <c r="J92" s="2823"/>
      <c r="K92" s="2940"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3">
        <f ca="1">ROUND(D45*D93/(1+'数据-取费表'!F30),0)</f>
        <v>10</v>
      </c>
      <c r="D93" s="2764">
        <f>'数据-取费表'!E31</f>
        <v>6.000000000000001E-3</v>
      </c>
      <c r="E93" s="3470" t="s">
        <v>1794</v>
      </c>
      <c r="F93" s="3471"/>
      <c r="G93" s="3471"/>
      <c r="H93" s="3472"/>
      <c r="I93" s="9"/>
      <c r="J93" s="2823"/>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3">
        <f>ROUND((C87+C90+C91)*D94,0)</f>
        <v>0</v>
      </c>
      <c r="D94" s="2764">
        <v>0.2</v>
      </c>
      <c r="E94" s="3470" t="s">
        <v>1811</v>
      </c>
      <c r="F94" s="3471"/>
      <c r="G94" s="3471"/>
      <c r="H94" s="3472"/>
      <c r="I94" s="9"/>
      <c r="J94" s="2823"/>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5">
        <f ca="1">ROUND(C85-C86,0)</f>
        <v>1610</v>
      </c>
      <c r="D95" s="50" t="s">
        <v>41</v>
      </c>
      <c r="E95" s="2053"/>
      <c r="F95" s="2054"/>
      <c r="G95" s="2054"/>
      <c r="H95" s="73"/>
      <c r="I95" s="9"/>
      <c r="J95" s="2823"/>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5">
        <f ca="1">IF(C95&lt;=0,0,C95/C86)</f>
        <v>161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23"/>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66">
        <f ca="1">ROUND(IF(C95&lt;=0,0,IF(C96&gt;=200%,C95*60%-C86*35%,IF(C96&gt;=100%,C95*50%-C86*15%,IF(C96&gt;=50%,C95*40%-C86*5%,IF(C96&lt;50%,C95*30%,0))))),0)</f>
        <v>963</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3"/>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517" t="s">
        <v>1813</v>
      </c>
      <c r="B99" s="3518"/>
      <c r="C99" s="3518"/>
      <c r="D99" s="3519"/>
      <c r="E99" s="1431"/>
      <c r="F99" s="3526" t="s">
        <v>1814</v>
      </c>
      <c r="G99" s="3527"/>
      <c r="H99" s="3527"/>
      <c r="I99" s="3528"/>
      <c r="J99" s="2826"/>
    </row>
    <row r="100" spans="1:36" ht="15">
      <c r="A100" s="3529" t="s">
        <v>1815</v>
      </c>
      <c r="B100" s="3530"/>
      <c r="C100" s="1277" t="str">
        <f>C4</f>
        <v>比较法-商业</v>
      </c>
      <c r="D100" s="2774" t="str">
        <f>D4</f>
        <v>收益法</v>
      </c>
      <c r="E100" s="1431"/>
      <c r="F100" s="3441" t="s">
        <v>2719</v>
      </c>
      <c r="G100" s="3442"/>
      <c r="H100" s="3441" t="s">
        <v>2720</v>
      </c>
      <c r="I100" s="3440"/>
      <c r="J100" s="2827"/>
    </row>
    <row r="101" spans="1:36" ht="12.75">
      <c r="A101" s="3509" t="s">
        <v>2752</v>
      </c>
      <c r="B101" s="2272" t="str">
        <f>IF(H19="元","总价（元）","总价（万元）")</f>
        <v>总价（万元）</v>
      </c>
      <c r="C101" s="1277">
        <f ca="1">C19</f>
        <v>1795</v>
      </c>
      <c r="D101" s="2774">
        <f ca="1">D19</f>
        <v>1606</v>
      </c>
      <c r="E101" s="1431"/>
      <c r="F101" s="3441" t="str">
        <f>项目基本情况!I1</f>
        <v>北京市房地产</v>
      </c>
      <c r="G101" s="3442"/>
      <c r="H101" s="3439">
        <f>项目基本情况!C12</f>
        <v>362.84</v>
      </c>
      <c r="I101" s="3440"/>
      <c r="J101" s="2827"/>
    </row>
    <row r="102" spans="1:36" ht="12.75">
      <c r="A102" s="3509"/>
      <c r="B102" s="2272" t="s">
        <v>2753</v>
      </c>
      <c r="C102" s="2775">
        <f ca="1">C20</f>
        <v>49467</v>
      </c>
      <c r="D102" s="2776">
        <f ca="1">D20</f>
        <v>44256</v>
      </c>
      <c r="E102" s="1431"/>
      <c r="F102" s="3451" t="s">
        <v>2749</v>
      </c>
      <c r="G102" s="3452"/>
      <c r="H102" s="2784" t="str">
        <f>C106</f>
        <v>总价（万元）</v>
      </c>
      <c r="I102" s="2785">
        <f ca="1">H121</f>
        <v>1701</v>
      </c>
      <c r="J102" s="2827"/>
    </row>
    <row r="103" spans="1:36" ht="12.75">
      <c r="A103" s="3509" t="s">
        <v>2754</v>
      </c>
      <c r="B103" s="2210" t="str">
        <f>B101</f>
        <v>总价（万元）</v>
      </c>
      <c r="C103" s="2779">
        <f ca="1">H121</f>
        <v>1701</v>
      </c>
      <c r="D103" s="2777"/>
      <c r="E103" s="1431"/>
      <c r="F103" s="3451"/>
      <c r="G103" s="3452"/>
      <c r="H103" s="2784" t="s">
        <v>2722</v>
      </c>
      <c r="I103" s="52">
        <f ca="1">I121</f>
        <v>46880</v>
      </c>
      <c r="J103" s="2811"/>
    </row>
    <row r="104" spans="1:36" ht="13.5" thickBot="1">
      <c r="A104" s="3510"/>
      <c r="B104" s="2781" t="s">
        <v>2753</v>
      </c>
      <c r="C104" s="2782">
        <f ca="1">I121</f>
        <v>46880</v>
      </c>
      <c r="D104" s="2783"/>
      <c r="E104" s="1431"/>
      <c r="F104" s="3451"/>
      <c r="G104" s="3452"/>
      <c r="H104" s="3511"/>
      <c r="I104" s="3512"/>
      <c r="J104" s="2828"/>
    </row>
    <row r="105" spans="1:36" ht="15">
      <c r="A105" s="3517" t="s">
        <v>1816</v>
      </c>
      <c r="B105" s="3518"/>
      <c r="C105" s="3518"/>
      <c r="D105" s="3519"/>
      <c r="E105" s="1431"/>
      <c r="F105" s="3515" t="s">
        <v>2723</v>
      </c>
      <c r="G105" s="3516"/>
      <c r="H105" s="2786" t="str">
        <f>C108</f>
        <v>总额（万元）</v>
      </c>
      <c r="I105" s="2785">
        <f>SUMIF(I106:I108,"&lt;9E307")</f>
        <v>0</v>
      </c>
      <c r="J105" s="2827"/>
    </row>
    <row r="106" spans="1:36" ht="14.25">
      <c r="A106" s="3451" t="s">
        <v>2746</v>
      </c>
      <c r="B106" s="3452"/>
      <c r="C106" s="2784" t="str">
        <f>B101</f>
        <v>总价（万元）</v>
      </c>
      <c r="D106" s="2785">
        <f ca="1">H121</f>
        <v>1701</v>
      </c>
      <c r="E106" s="1431"/>
      <c r="F106" s="3453" t="s">
        <v>2724</v>
      </c>
      <c r="G106" s="3454"/>
      <c r="H106" s="2786" t="str">
        <f>C109</f>
        <v>总额（万元）</v>
      </c>
      <c r="I106" s="2787">
        <f>IF(D36="同一抵押权人同一抵押物续贷",C36&amp;"（续贷，未扣减，详见特别提示）",C36)</f>
        <v>0</v>
      </c>
      <c r="J106" s="2811"/>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51"/>
      <c r="B107" s="3452"/>
      <c r="C107" s="2784" t="s">
        <v>2747</v>
      </c>
      <c r="D107" s="52">
        <f ca="1">I121</f>
        <v>46880</v>
      </c>
      <c r="E107" s="1431"/>
      <c r="F107" s="3453" t="s">
        <v>2725</v>
      </c>
      <c r="G107" s="3454"/>
      <c r="H107" s="2786" t="str">
        <f>C110</f>
        <v>总额（万元）</v>
      </c>
      <c r="I107" s="52">
        <f>C37</f>
        <v>0</v>
      </c>
      <c r="J107" s="2811"/>
    </row>
    <row r="108" spans="1:36" ht="12.75">
      <c r="A108" s="3458" t="s">
        <v>2723</v>
      </c>
      <c r="B108" s="3459"/>
      <c r="C108" s="2786" t="str">
        <f>IF(H19="元","总额（元）","总额（万元）")</f>
        <v>总额（万元）</v>
      </c>
      <c r="D108" s="2785">
        <f>IF(D36="正常操作",I106+I107+I108,I107+I108)</f>
        <v>0</v>
      </c>
      <c r="E108" s="1431"/>
      <c r="F108" s="3453" t="s">
        <v>2750</v>
      </c>
      <c r="G108" s="3454"/>
      <c r="H108" s="2786" t="str">
        <f>C111</f>
        <v>总额（万元）</v>
      </c>
      <c r="I108" s="52">
        <f>C38</f>
        <v>0</v>
      </c>
      <c r="J108" s="2811"/>
    </row>
    <row r="109" spans="1:36" ht="12.75">
      <c r="A109" s="3453" t="s">
        <v>2724</v>
      </c>
      <c r="B109" s="3454"/>
      <c r="C109" s="2786" t="str">
        <f>C108</f>
        <v>总额（万元）</v>
      </c>
      <c r="D109" s="52">
        <f>IF(D36="同一抵押权人同一抵押物续贷",C36&amp;"（未扣减，详见特别提示）",C36)</f>
        <v>0</v>
      </c>
      <c r="E109" s="1431"/>
      <c r="F109" s="3451"/>
      <c r="G109" s="3452"/>
      <c r="H109" s="3513"/>
      <c r="I109" s="3514"/>
      <c r="J109" s="2829"/>
    </row>
    <row r="110" spans="1:36" ht="28.5" customHeight="1">
      <c r="A110" s="3453" t="s">
        <v>2748</v>
      </c>
      <c r="B110" s="3454"/>
      <c r="C110" s="2786" t="str">
        <f>C108</f>
        <v>总额（万元）</v>
      </c>
      <c r="D110" s="52">
        <f>C37</f>
        <v>0</v>
      </c>
      <c r="E110" s="1431"/>
      <c r="F110" s="3443" t="str">
        <f>IF(项目基本情况!F5="已注销","——","3.房地产抵押价值")</f>
        <v>3.房地产抵押价值</v>
      </c>
      <c r="G110" s="3444"/>
      <c r="H110" s="2772" t="str">
        <f>C112</f>
        <v>总价（万元）</v>
      </c>
      <c r="I110" s="2785">
        <f ca="1">IF(F110="——","——",I102-I105)</f>
        <v>1701</v>
      </c>
      <c r="J110" s="2827"/>
    </row>
    <row r="111" spans="1:36" ht="12.75">
      <c r="A111" s="3453" t="s">
        <v>2727</v>
      </c>
      <c r="B111" s="3454"/>
      <c r="C111" s="2786" t="str">
        <f>C108</f>
        <v>总额（万元）</v>
      </c>
      <c r="D111" s="52">
        <f>C38</f>
        <v>0</v>
      </c>
      <c r="E111" s="1431"/>
      <c r="F111" s="3542"/>
      <c r="G111" s="3543"/>
      <c r="H111" s="2784" t="s">
        <v>2722</v>
      </c>
      <c r="I111" s="2788">
        <f ca="1">D113</f>
        <v>46880</v>
      </c>
      <c r="J111" s="2830"/>
    </row>
    <row r="112" spans="1:36" ht="26.25" customHeight="1">
      <c r="A112" s="3451" t="str">
        <f>IF(项目基本情况!F5="已注销","——","3.房地产抵押价值")</f>
        <v>3.房地产抵押价值</v>
      </c>
      <c r="B112" s="3452"/>
      <c r="C112" s="2784" t="str">
        <f>B101</f>
        <v>总价（万元）</v>
      </c>
      <c r="D112" s="2785">
        <f ca="1">IF(A112="——","——",D106-D108)</f>
        <v>1701</v>
      </c>
      <c r="E112" s="1431"/>
      <c r="F112" s="3443" t="str">
        <f>IF(项目基本情况!F5="已注销及未注销","4.抵押担保权已注销时的房地产抵押价值",IF(项目基本情况!F5="已注销","3.抵押担保权已注销时的房地产抵押价值","——"))</f>
        <v>——</v>
      </c>
      <c r="G112" s="3444"/>
      <c r="H112" s="2772" t="str">
        <f>C114</f>
        <v>总价（万元）</v>
      </c>
      <c r="I112" s="2785" t="str">
        <f>IF(F112="——","——",I102-I107-I108)</f>
        <v>——</v>
      </c>
      <c r="J112" s="2827"/>
    </row>
    <row r="113" spans="1:16" ht="12.75">
      <c r="A113" s="3451"/>
      <c r="B113" s="3452"/>
      <c r="C113" s="2784" t="s">
        <v>2715</v>
      </c>
      <c r="D113" s="52">
        <f ca="1">ROUND(IF(D112=D106,D107,IF(H19="元",D112/项目基本情况!C12,D112*10000/项目基本情况!C12)),0)</f>
        <v>46880</v>
      </c>
      <c r="E113" s="1431"/>
      <c r="F113" s="3542"/>
      <c r="G113" s="3543"/>
      <c r="H113" s="2784" t="s">
        <v>2751</v>
      </c>
      <c r="I113" s="52" t="str">
        <f>D115</f>
        <v>——</v>
      </c>
      <c r="J113" s="2811"/>
    </row>
    <row r="114" spans="1:16" ht="12.75">
      <c r="A114" s="3451" t="str">
        <f>IF(项目基本情况!F5="已注销及未注销","4.抵押担保权已注销时的房地产抵押价值",IF(项目基本情况!F5="已注销","3.抵押担保权已注销时的房地产抵押价值","——"))</f>
        <v>——</v>
      </c>
      <c r="B114" s="3452"/>
      <c r="C114" s="2784" t="str">
        <f>B101</f>
        <v>总价（万元）</v>
      </c>
      <c r="D114" s="2785" t="str">
        <f>IF(A114="——","——",D106-D110-D111)</f>
        <v>——</v>
      </c>
      <c r="E114" s="1431"/>
      <c r="F114" s="3443" t="str">
        <f>IF(项目基本情况!G5="抵押净值",IF(OR(项目基本情况!F5="已注销",项目基本情况!F5="房地产抵押价值"),"4.抵押净值","5.抵押净值"),"——")</f>
        <v>4.抵押净值</v>
      </c>
      <c r="G114" s="3444"/>
      <c r="H114" s="2784" t="str">
        <f>C116</f>
        <v>总价（万元）</v>
      </c>
      <c r="I114" s="2785">
        <f ca="1">IF(F114="——","——",O59)</f>
        <v>1616</v>
      </c>
      <c r="J114" s="2827"/>
    </row>
    <row r="115" spans="1:16" ht="13.5" thickBot="1">
      <c r="A115" s="3451"/>
      <c r="B115" s="3452"/>
      <c r="C115" s="2784" t="s">
        <v>2715</v>
      </c>
      <c r="D115" s="52" t="str">
        <f>IF(A114="——","——",ROUND(IF(D114=D106,D107,IF(H19="元",D114/项目基本情况!C12,D114*10000/项目基本情况!C12)),0))</f>
        <v>——</v>
      </c>
      <c r="E115" s="1431"/>
      <c r="F115" s="3445"/>
      <c r="G115" s="3446"/>
      <c r="H115" s="2789" t="s">
        <v>2715</v>
      </c>
      <c r="I115" s="2773">
        <f ca="1">D117</f>
        <v>44538</v>
      </c>
      <c r="J115" s="2811"/>
    </row>
    <row r="116" spans="1:16" ht="15.75">
      <c r="A116" s="3451" t="str">
        <f>IF(项目基本情况!G5="抵押净值",IF(OR(项目基本情况!F5="已注销",项目基本情况!F5="房地产抵押价值"),"4.抵押净值","5.抵押净值"),"——")</f>
        <v>4.抵押净值</v>
      </c>
      <c r="B116" s="3452"/>
      <c r="C116" s="2784" t="str">
        <f>B101</f>
        <v>总价（万元）</v>
      </c>
      <c r="D116" s="2785">
        <f ca="1">IF(A116="——","——",O59)</f>
        <v>1616</v>
      </c>
      <c r="E116" s="1431"/>
      <c r="F116" s="3537"/>
      <c r="G116" s="3537"/>
      <c r="H116" s="3501"/>
      <c r="I116" s="3501"/>
      <c r="J116" s="2831"/>
      <c r="O116" s="32"/>
      <c r="P116" s="32"/>
    </row>
    <row r="117" spans="1:16" ht="13.5" thickBot="1">
      <c r="A117" s="3456"/>
      <c r="B117" s="3457"/>
      <c r="C117" s="2789" t="s">
        <v>2715</v>
      </c>
      <c r="D117" s="2773">
        <f ca="1">IF(D116=D112,D113,IF(A116="——","——",O61))</f>
        <v>44538</v>
      </c>
      <c r="E117" s="1431"/>
      <c r="F117" s="3435" t="str">
        <f>IF(B32="总价","（以上估价结果中单价为总价除以建筑面积得出）","（以上估价结果中总价为楼面单价乘以建筑面积得出）")</f>
        <v>（以上估价结果中单价为总价除以建筑面积得出）</v>
      </c>
      <c r="G117" s="3435"/>
      <c r="H117" s="3435"/>
      <c r="I117" s="3435"/>
      <c r="J117" s="2832"/>
      <c r="O117" s="32"/>
      <c r="P117" s="32"/>
    </row>
    <row r="118" spans="1:16" ht="15">
      <c r="A118" s="3502" t="s">
        <v>1817</v>
      </c>
      <c r="B118" s="3503"/>
      <c r="C118" s="3503"/>
      <c r="D118" s="3503"/>
      <c r="E118" s="3503"/>
      <c r="F118" s="3503"/>
      <c r="G118" s="3503"/>
      <c r="H118" s="3503"/>
      <c r="I118" s="3503"/>
      <c r="J118" s="2833"/>
    </row>
    <row r="119" spans="1:16" ht="12.75">
      <c r="A119" s="3436" t="s">
        <v>2733</v>
      </c>
      <c r="B119" s="3462" t="s">
        <v>2743</v>
      </c>
      <c r="C119" s="3462" t="s">
        <v>2744</v>
      </c>
      <c r="D119" s="3524" t="s">
        <v>2735</v>
      </c>
      <c r="E119" s="3525"/>
      <c r="F119" s="3437" t="s">
        <v>2745</v>
      </c>
      <c r="G119" s="3437"/>
      <c r="H119" s="3437" t="s">
        <v>2736</v>
      </c>
      <c r="I119" s="3523"/>
      <c r="J119" s="2811"/>
    </row>
    <row r="120" spans="1:16" ht="12.75">
      <c r="A120" s="3436"/>
      <c r="B120" s="3463"/>
      <c r="C120" s="3463"/>
      <c r="D120" s="2057" t="s">
        <v>2737</v>
      </c>
      <c r="E120" s="2057" t="s">
        <v>2742</v>
      </c>
      <c r="F120" s="2057" t="s">
        <v>2737</v>
      </c>
      <c r="G120" s="2057" t="s">
        <v>2738</v>
      </c>
      <c r="H120" s="2057" t="s">
        <v>2737</v>
      </c>
      <c r="I120" s="52" t="s">
        <v>2738</v>
      </c>
      <c r="J120" s="2811"/>
    </row>
    <row r="121" spans="1:16" ht="12.75">
      <c r="A121" s="2047" t="str">
        <f>项目基本情况!I1</f>
        <v>北京市房地产</v>
      </c>
      <c r="B121" s="2057">
        <f>项目基本情况!C12</f>
        <v>362.84</v>
      </c>
      <c r="C121" s="2057">
        <f>项目基本情况!C13</f>
        <v>0</v>
      </c>
      <c r="D121" s="2057">
        <f ca="1">ROUND(IF(B32="总价",C34,IF('数据-取费表'!B3="万元",E121*B121/10000,E121*B121)),0)</f>
        <v>1534</v>
      </c>
      <c r="E121" s="2057">
        <f ca="1">ROUND(IF(B32="楼面单价",C34,IF(H19="元",D121/B121,D121*10000/B121)),0)</f>
        <v>42278</v>
      </c>
      <c r="F121" s="2057">
        <f ca="1">ROUND(IF(B32="总价",C35,IF('数据-取费表'!B3="万元",G121*B121/10000,G121*B121)),0)</f>
        <v>167</v>
      </c>
      <c r="G121" s="2057">
        <f ca="1">ROUND(IF(B32="楼面单价",C35,IF(H19="元",F121/B121,F121*10000/B121)),0)</f>
        <v>4603</v>
      </c>
      <c r="H121" s="2057">
        <f ca="1">ROUND(IF(B32="总价",C32,IF('数据-取费表'!B3="万元",I121*B121/10000,I121*B121)),0)</f>
        <v>1701</v>
      </c>
      <c r="I121" s="52">
        <f ca="1">ROUND(IF(B32="楼面单价",C32,IF(H19="元",H121/B121,H121*10000/B121)),0)</f>
        <v>46880</v>
      </c>
      <c r="J121" s="2811"/>
    </row>
    <row r="122" spans="1:16" ht="12.75">
      <c r="A122" s="3436" t="s">
        <v>2739</v>
      </c>
      <c r="B122" s="3437"/>
      <c r="C122" s="3437"/>
      <c r="D122" s="3464" t="str">
        <f ca="1">IF(H19="元",NUMBERSTRING(INT(D121),2)&amp;"元整",NUMBERSTRING(INT(D121*10000),2)&amp;"元整")</f>
        <v>壹仟伍佰叁拾肆万元整</v>
      </c>
      <c r="E122" s="3507"/>
      <c r="F122" s="3464" t="str">
        <f ca="1">IF(H19="元",NUMBERSTRING(INT(F121),2)&amp;"元整",NUMBERSTRING(INT(F121*10000),2)&amp;"元整")</f>
        <v>壹佰陆拾柒万元整</v>
      </c>
      <c r="G122" s="3507"/>
      <c r="H122" s="3464" t="str">
        <f ca="1">IF(H19="元",NUMBERSTRING(INT(H121),2)&amp;"元整",NUMBERSTRING(INT(H121*10000),2)&amp;"元整")</f>
        <v>壹仟柒佰零壹万元整</v>
      </c>
      <c r="I122" s="3465"/>
      <c r="J122" s="2834"/>
    </row>
    <row r="123" spans="1:16" ht="12.75">
      <c r="A123" s="3441" t="str">
        <f>IF(项目基本情况!D5="房地产市场价值","——",MID(A108,3,LEN(A108)-2))</f>
        <v>估价师所知悉的法定优先受偿款</v>
      </c>
      <c r="B123" s="3447"/>
      <c r="C123" s="3442"/>
      <c r="D123" s="3439">
        <f>I105</f>
        <v>0</v>
      </c>
      <c r="E123" s="3447"/>
      <c r="F123" s="3447"/>
      <c r="G123" s="3447"/>
      <c r="H123" s="3447"/>
      <c r="I123" s="3440"/>
      <c r="J123" s="2827"/>
    </row>
    <row r="124" spans="1:16" ht="12.75">
      <c r="A124" s="3508" t="s">
        <v>2739</v>
      </c>
      <c r="B124" s="3476"/>
      <c r="C124" s="3477"/>
      <c r="D124" s="3448">
        <f>H109</f>
        <v>0</v>
      </c>
      <c r="E124" s="3449"/>
      <c r="F124" s="3449"/>
      <c r="G124" s="3449"/>
      <c r="H124" s="3449"/>
      <c r="I124" s="3450"/>
      <c r="J124" s="2835"/>
    </row>
    <row r="125" spans="1:16" ht="12.75">
      <c r="A125" s="3451" t="str">
        <f>IF(项目基本情况!D5="房地产市场价值","——",MID(A112,3,LEN(A112)-2))</f>
        <v>房地产抵押价值</v>
      </c>
      <c r="B125" s="3452"/>
      <c r="C125" s="3452"/>
      <c r="D125" s="3439">
        <f ca="1">I110</f>
        <v>1701</v>
      </c>
      <c r="E125" s="3447"/>
      <c r="F125" s="3447"/>
      <c r="G125" s="3447"/>
      <c r="H125" s="3447"/>
      <c r="I125" s="3440"/>
      <c r="J125" s="2827"/>
    </row>
    <row r="126" spans="1:16" ht="12.75">
      <c r="A126" s="3436" t="s">
        <v>2739</v>
      </c>
      <c r="B126" s="3437"/>
      <c r="C126" s="3437"/>
      <c r="D126" s="3448">
        <f ca="1">I111</f>
        <v>46880</v>
      </c>
      <c r="E126" s="3449"/>
      <c r="F126" s="3449"/>
      <c r="G126" s="3449"/>
      <c r="H126" s="3449"/>
      <c r="I126" s="3450"/>
      <c r="J126" s="2835"/>
    </row>
    <row r="127" spans="1:16" ht="13.5" thickBot="1">
      <c r="A127" s="3451" t="str">
        <f>IF(项目基本情况!D5="房地产市场价值","——",MID(A114,3,LEN(A114)-2))</f>
        <v/>
      </c>
      <c r="B127" s="3452"/>
      <c r="C127" s="3452"/>
      <c r="D127" s="3484" t="str">
        <f>I112</f>
        <v>——</v>
      </c>
      <c r="E127" s="3485"/>
      <c r="F127" s="3485"/>
      <c r="G127" s="3485"/>
      <c r="H127" s="3485"/>
      <c r="I127" s="3536"/>
      <c r="J127" s="2827"/>
    </row>
    <row r="128" spans="1:16" ht="14.25" thickTop="1" thickBot="1">
      <c r="A128" s="3436" t="s">
        <v>2739</v>
      </c>
      <c r="B128" s="3437"/>
      <c r="C128" s="3438"/>
      <c r="D128" s="3500" t="str">
        <f>I113</f>
        <v>——</v>
      </c>
      <c r="E128" s="3500"/>
      <c r="F128" s="3500"/>
      <c r="G128" s="3500"/>
      <c r="H128" s="3500"/>
      <c r="I128" s="3500"/>
      <c r="J128" s="2835"/>
    </row>
    <row r="129" spans="1:10" ht="14.25" thickTop="1" thickBot="1">
      <c r="A129" s="3451" t="str">
        <f>IF(项目基本情况!D5="房地产市场价值","——",MID(F114,3,LEN(F114)-2))</f>
        <v>抵押净值</v>
      </c>
      <c r="B129" s="3452"/>
      <c r="C129" s="3439"/>
      <c r="D129" s="3455">
        <f ca="1">I114</f>
        <v>1616</v>
      </c>
      <c r="E129" s="3455"/>
      <c r="F129" s="3455"/>
      <c r="G129" s="3455"/>
      <c r="H129" s="3455"/>
      <c r="I129" s="3455"/>
      <c r="J129" s="2827"/>
    </row>
    <row r="130" spans="1:10" ht="14.25" thickTop="1" thickBot="1">
      <c r="A130" s="3460" t="s">
        <v>2739</v>
      </c>
      <c r="B130" s="3461"/>
      <c r="C130" s="3461"/>
      <c r="D130" s="3466">
        <f>H116</f>
        <v>0</v>
      </c>
      <c r="E130" s="3467"/>
      <c r="F130" s="3467"/>
      <c r="G130" s="3467"/>
      <c r="H130" s="3467"/>
      <c r="I130" s="3468"/>
      <c r="J130" s="2835"/>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6"/>
    </row>
    <row r="132" spans="1:10" ht="13.5" thickBot="1">
      <c r="A132" s="3434" t="str">
        <f>IF(B32="总价","（以上估价结果中楼面单价为总价除以建筑面积得出）","（以上估价结果中总价为楼面单价乘以建筑面积得出）")</f>
        <v>（以上估价结果中楼面单价为总价除以建筑面积得出）</v>
      </c>
      <c r="B132" s="3434"/>
      <c r="C132" s="3434"/>
      <c r="D132" s="3434"/>
      <c r="E132" s="3434"/>
      <c r="F132" s="3434"/>
      <c r="G132" s="3434"/>
      <c r="H132" s="3434"/>
      <c r="I132" s="3434"/>
      <c r="J132" s="2829"/>
    </row>
    <row r="133" spans="1:10" ht="21.75" customHeight="1">
      <c r="A133" s="1461" t="s">
        <v>1818</v>
      </c>
      <c r="B133" s="1462"/>
      <c r="C133" s="1463" t="s">
        <v>1819</v>
      </c>
      <c r="D133" s="1464"/>
      <c r="E133" s="1464"/>
      <c r="F133" s="1464"/>
      <c r="G133" s="1464"/>
      <c r="H133" s="1465"/>
      <c r="I133" s="1466"/>
      <c r="J133" s="2837"/>
    </row>
    <row r="134" spans="1:10" ht="21.75" customHeight="1">
      <c r="A134" s="1467">
        <v>1</v>
      </c>
      <c r="B134" s="1468"/>
      <c r="C134" s="1468"/>
      <c r="D134" s="1464"/>
      <c r="E134" s="1464"/>
      <c r="F134" s="1464"/>
      <c r="G134" s="1464"/>
      <c r="H134" s="1465"/>
      <c r="I134" s="1466"/>
      <c r="J134" s="2837"/>
    </row>
    <row r="135" spans="1:10" ht="21.75" customHeight="1">
      <c r="A135" s="1467">
        <v>2</v>
      </c>
      <c r="B135" s="1468"/>
      <c r="C135" s="1468"/>
      <c r="D135" s="1464"/>
      <c r="E135" s="1464"/>
      <c r="F135" s="1464"/>
      <c r="G135" s="1464"/>
      <c r="H135" s="1465"/>
      <c r="I135" s="1466"/>
      <c r="J135" s="2837"/>
    </row>
    <row r="136" spans="1:10" ht="21.75" customHeight="1">
      <c r="A136" s="1467">
        <v>3</v>
      </c>
      <c r="B136" s="1468"/>
      <c r="C136" s="1468"/>
      <c r="D136" s="1464"/>
      <c r="E136" s="1464"/>
      <c r="F136" s="32"/>
      <c r="G136" s="32"/>
      <c r="H136" s="32"/>
      <c r="I136" s="32"/>
      <c r="J136" s="2838"/>
    </row>
    <row r="137" spans="1:10" ht="21.75" customHeight="1">
      <c r="A137" s="1469"/>
      <c r="B137" s="1470"/>
      <c r="C137" s="1470"/>
      <c r="D137" s="1471"/>
      <c r="E137" s="1471"/>
      <c r="F137" s="1471"/>
      <c r="G137" s="1471"/>
      <c r="H137" s="1472"/>
      <c r="I137" s="1473"/>
      <c r="J137" s="2837"/>
    </row>
    <row r="138" spans="1:10" ht="21.75" customHeight="1">
      <c r="A138" s="1468"/>
      <c r="B138" s="1468"/>
      <c r="C138" s="1468"/>
      <c r="D138" s="1464"/>
      <c r="E138" s="1464"/>
      <c r="F138" s="1464"/>
      <c r="G138" s="1464"/>
      <c r="H138" s="1465"/>
      <c r="I138" s="659"/>
      <c r="J138" s="2838"/>
    </row>
    <row r="139" spans="1:10" ht="21.75" customHeight="1">
      <c r="A139" s="659"/>
      <c r="B139" s="659"/>
      <c r="C139" s="659"/>
      <c r="D139" s="659"/>
      <c r="E139" s="659"/>
      <c r="F139" s="1474" t="s">
        <v>1820</v>
      </c>
      <c r="G139" s="1475"/>
      <c r="H139" s="1475"/>
      <c r="I139" s="1476" t="s">
        <v>1821</v>
      </c>
      <c r="J139" s="2839"/>
    </row>
    <row r="140" spans="1:10" ht="21.75" customHeight="1">
      <c r="A140" s="659"/>
      <c r="B140" s="1477" t="s">
        <v>1822</v>
      </c>
      <c r="C140" s="659"/>
      <c r="D140" s="659"/>
      <c r="E140" s="659"/>
      <c r="F140" s="659"/>
      <c r="G140" s="659"/>
      <c r="H140" s="659"/>
      <c r="I140" s="659"/>
      <c r="J140" s="2838"/>
    </row>
    <row r="141" spans="1:10" ht="21.75" customHeight="1">
      <c r="A141" s="659"/>
      <c r="B141" s="659"/>
      <c r="C141" s="659"/>
      <c r="D141" s="659"/>
      <c r="E141" s="659"/>
      <c r="F141" s="659"/>
      <c r="G141" s="659"/>
      <c r="H141" s="659"/>
      <c r="I141" s="659"/>
      <c r="J141" s="2838"/>
    </row>
    <row r="142" spans="1:10" ht="21.75" customHeight="1">
      <c r="A142" s="659"/>
      <c r="B142" s="1475"/>
      <c r="C142" s="1475"/>
      <c r="D142" s="1475"/>
      <c r="E142" s="1475"/>
      <c r="F142" s="1475"/>
      <c r="G142" s="1475"/>
      <c r="H142" s="1475"/>
      <c r="I142" s="1476" t="s">
        <v>1823</v>
      </c>
      <c r="J142" s="2839"/>
    </row>
    <row r="143" spans="1:10" ht="21.75" customHeight="1">
      <c r="A143" s="659"/>
      <c r="B143" s="1477" t="s">
        <v>1824</v>
      </c>
      <c r="C143" s="659"/>
      <c r="D143" s="659"/>
      <c r="E143" s="659"/>
      <c r="F143" s="659"/>
      <c r="G143" s="659"/>
      <c r="H143" s="659"/>
      <c r="I143" s="659"/>
      <c r="J143" s="2838"/>
    </row>
    <row r="144" spans="1:10" ht="21.75" customHeight="1">
      <c r="A144" s="659"/>
      <c r="B144" s="1477"/>
      <c r="C144" s="659"/>
      <c r="D144" s="659"/>
      <c r="E144" s="659"/>
      <c r="F144" s="659"/>
      <c r="G144" s="659"/>
      <c r="H144" s="659"/>
      <c r="I144" s="659"/>
      <c r="J144" s="2838"/>
    </row>
    <row r="145" spans="1:36" ht="21.75" customHeight="1">
      <c r="A145" s="659"/>
      <c r="B145" s="1475"/>
      <c r="C145" s="1475"/>
      <c r="D145" s="1475"/>
      <c r="E145" s="1475"/>
      <c r="F145" s="1475"/>
      <c r="G145" s="1475"/>
      <c r="H145" s="1475"/>
      <c r="I145" s="1476" t="s">
        <v>1823</v>
      </c>
      <c r="J145" s="2839"/>
    </row>
    <row r="146" spans="1:36" ht="21.75" customHeight="1">
      <c r="A146" s="659"/>
      <c r="B146" s="1477"/>
      <c r="C146" s="1478"/>
      <c r="D146" s="1479"/>
      <c r="E146" s="1479"/>
      <c r="F146" s="1480"/>
      <c r="G146" s="659"/>
      <c r="H146" s="659"/>
      <c r="I146" s="659"/>
      <c r="J146" s="2838"/>
    </row>
    <row r="147" spans="1:36" s="32" customFormat="1" ht="21.75" customHeight="1">
      <c r="A147" s="659"/>
      <c r="B147" s="1477"/>
      <c r="C147" s="1478"/>
      <c r="D147" s="1479"/>
      <c r="E147" s="147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8"/>
    </row>
    <row r="151" spans="1:36" s="659" customFormat="1" ht="21.75" customHeight="1">
      <c r="J151" s="2838"/>
    </row>
    <row r="152" spans="1:36" s="659" customFormat="1" ht="21.75" customHeight="1">
      <c r="J152" s="2838"/>
    </row>
    <row r="153" spans="1:36" s="659" customFormat="1" ht="21.75" customHeight="1">
      <c r="J153" s="2838"/>
    </row>
    <row r="154" spans="1:36" s="659" customFormat="1" ht="21.75" customHeight="1">
      <c r="J154" s="2838"/>
    </row>
    <row r="155" spans="1:36" s="659" customFormat="1" ht="21.75" customHeight="1">
      <c r="J155" s="2838"/>
    </row>
    <row r="156" spans="1:36" s="659" customFormat="1" ht="21.75" customHeight="1">
      <c r="J156" s="2838"/>
    </row>
    <row r="157" spans="1:36" s="659" customFormat="1" ht="21.75" customHeight="1">
      <c r="J157" s="2838"/>
    </row>
    <row r="158" spans="1:36" s="659" customFormat="1" ht="21.75" customHeight="1">
      <c r="J158" s="2838"/>
    </row>
    <row r="159" spans="1:36" s="659" customFormat="1" ht="21.75" customHeight="1">
      <c r="J159" s="2838"/>
    </row>
    <row r="160" spans="1:36"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10" s="659" customFormat="1" ht="21.75" customHeight="1">
      <c r="J369" s="2838"/>
    </row>
    <row r="370" spans="10:10" s="659" customFormat="1" ht="21.75" customHeight="1">
      <c r="J370" s="2838"/>
    </row>
    <row r="371" spans="10:10" s="659" customFormat="1" ht="21.75" customHeight="1">
      <c r="J371" s="2838"/>
    </row>
    <row r="372" spans="10:10" s="659" customFormat="1" ht="21.75" customHeight="1">
      <c r="J372" s="2838"/>
    </row>
    <row r="373" spans="10:10" s="659" customFormat="1" ht="21.75" customHeight="1">
      <c r="J373" s="2838"/>
    </row>
    <row r="374" spans="10:10" s="659" customFormat="1" ht="21.75" customHeight="1">
      <c r="J374" s="2838"/>
    </row>
    <row r="375" spans="10:10" s="659" customFormat="1" ht="21.75" customHeight="1">
      <c r="J375" s="2838"/>
    </row>
    <row r="376" spans="10:10" s="659" customFormat="1" ht="21.75" customHeight="1">
      <c r="J376" s="2838"/>
    </row>
    <row r="377" spans="10:10" s="659" customFormat="1" ht="21.75" customHeight="1">
      <c r="J377" s="2838"/>
    </row>
    <row r="378" spans="10:10" s="659" customFormat="1" ht="21.75" customHeight="1">
      <c r="J378" s="2838"/>
    </row>
    <row r="379" spans="10:10" s="659" customFormat="1" ht="21.75" customHeight="1">
      <c r="J379" s="2838"/>
    </row>
    <row r="380" spans="10:10" s="659" customFormat="1" ht="21.75" customHeight="1">
      <c r="J380" s="2838"/>
    </row>
    <row r="381" spans="10:10" s="659" customFormat="1" ht="21.75" customHeight="1">
      <c r="J381" s="2838"/>
    </row>
    <row r="382" spans="10:10" s="659" customFormat="1" ht="21.75" customHeight="1">
      <c r="J382" s="2838"/>
    </row>
    <row r="383" spans="10:10" s="659" customFormat="1" ht="21.75" customHeight="1">
      <c r="J383" s="2838"/>
    </row>
    <row r="384" spans="10:10" s="659" customFormat="1" ht="21.75" customHeight="1">
      <c r="J384" s="2838"/>
    </row>
    <row r="385" spans="10:10" s="659" customFormat="1" ht="21.75" customHeight="1">
      <c r="J385" s="2838"/>
    </row>
    <row r="386" spans="10:10" s="659" customFormat="1" ht="21.75" customHeight="1">
      <c r="J386" s="2838"/>
    </row>
    <row r="387" spans="10:10" s="659" customFormat="1" ht="21.75" customHeight="1">
      <c r="J387" s="2838"/>
    </row>
    <row r="388" spans="10:10" s="659" customFormat="1" ht="21.75" customHeight="1">
      <c r="J388" s="2838"/>
    </row>
    <row r="389" spans="10:10" s="659" customFormat="1" ht="21.75" customHeight="1">
      <c r="J389" s="2838"/>
    </row>
    <row r="390" spans="10:10" s="659" customFormat="1" ht="21.75" customHeight="1">
      <c r="J390" s="2838"/>
    </row>
    <row r="391" spans="10:10" s="659" customFormat="1" ht="21.75" customHeight="1">
      <c r="J391" s="2838"/>
    </row>
    <row r="392" spans="10:10" s="659" customFormat="1" ht="21.75" customHeight="1">
      <c r="J392" s="2838"/>
    </row>
    <row r="393" spans="10:10" s="659" customFormat="1" ht="21.75" customHeight="1">
      <c r="J393" s="2838"/>
    </row>
    <row r="394" spans="10:10" s="659" customFormat="1" ht="21.75" customHeight="1">
      <c r="J394" s="2838"/>
    </row>
    <row r="395" spans="10:10" s="659" customFormat="1" ht="21.75" customHeight="1">
      <c r="J395" s="2838"/>
    </row>
    <row r="396" spans="10:10" s="659" customFormat="1" ht="21.75" customHeight="1">
      <c r="J396" s="2838"/>
    </row>
    <row r="397" spans="10:10" s="659" customFormat="1" ht="21.75" customHeight="1">
      <c r="J397" s="2838"/>
    </row>
    <row r="398" spans="10:10" s="659" customFormat="1" ht="21.75" customHeight="1">
      <c r="J398" s="2838"/>
    </row>
    <row r="399" spans="10:10" s="659" customFormat="1" ht="21.75" customHeight="1">
      <c r="J399" s="2838"/>
    </row>
    <row r="400" spans="10:10" s="659" customFormat="1" ht="21.75" customHeight="1">
      <c r="J400" s="2838"/>
    </row>
    <row r="401" spans="10:27" s="659" customFormat="1" ht="21.75" customHeight="1">
      <c r="J401" s="2838"/>
    </row>
    <row r="402" spans="10:27" s="659" customFormat="1" ht="21.75" customHeight="1">
      <c r="J402" s="2838"/>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0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08"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68" t="s">
        <v>1826</v>
      </c>
      <c r="B2" s="3568"/>
      <c r="C2" s="3568"/>
      <c r="D2" s="3568"/>
      <c r="E2" s="3568"/>
      <c r="F2" s="3568"/>
      <c r="G2" s="3568"/>
      <c r="H2" s="3568"/>
      <c r="I2" s="3568"/>
      <c r="J2" s="2840"/>
    </row>
    <row r="3" spans="1:15" ht="12.75">
      <c r="A3" s="3492" t="s">
        <v>1654</v>
      </c>
      <c r="B3" s="3493"/>
      <c r="C3" s="3493"/>
      <c r="D3" s="3493"/>
      <c r="E3" s="3493"/>
      <c r="F3" s="3493"/>
      <c r="G3" s="3493"/>
      <c r="H3" s="3493"/>
      <c r="I3" s="3493"/>
      <c r="J3" s="2810"/>
    </row>
    <row r="4" spans="1:15" ht="14.25">
      <c r="A4" s="2678" t="s">
        <v>1655</v>
      </c>
      <c r="B4" s="2678" t="s">
        <v>1656</v>
      </c>
      <c r="C4" s="2679"/>
      <c r="D4" s="2679"/>
      <c r="E4" s="3438" t="s">
        <v>1827</v>
      </c>
      <c r="F4" s="3476"/>
      <c r="G4" s="3476"/>
      <c r="H4" s="3476"/>
      <c r="I4" s="3477"/>
      <c r="J4" s="2811"/>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69" t="s">
        <v>1658</v>
      </c>
      <c r="B5" s="3469">
        <v>25</v>
      </c>
      <c r="C5" s="3478"/>
      <c r="D5" s="3491"/>
      <c r="E5" s="12" t="s">
        <v>1659</v>
      </c>
      <c r="F5" s="2054"/>
      <c r="G5" s="2054"/>
      <c r="H5" s="2054"/>
      <c r="I5" s="2049"/>
      <c r="J5" s="2811"/>
    </row>
    <row r="6" spans="1:15" ht="12.75">
      <c r="A6" s="3469"/>
      <c r="B6" s="3469"/>
      <c r="C6" s="3494"/>
      <c r="D6" s="3491"/>
      <c r="E6" s="12" t="s">
        <v>1660</v>
      </c>
      <c r="F6" s="2054"/>
      <c r="G6" s="2054"/>
      <c r="H6" s="2054"/>
      <c r="I6" s="2049"/>
      <c r="J6" s="2811"/>
    </row>
    <row r="7" spans="1:15" ht="12.75">
      <c r="A7" s="3469"/>
      <c r="B7" s="3469"/>
      <c r="C7" s="3479"/>
      <c r="D7" s="3491"/>
      <c r="E7" s="12" t="s">
        <v>1661</v>
      </c>
      <c r="F7" s="2054"/>
      <c r="G7" s="2054"/>
      <c r="H7" s="2054"/>
      <c r="I7" s="2049"/>
      <c r="J7" s="2811"/>
    </row>
    <row r="8" spans="1:15" ht="12.75">
      <c r="A8" s="3469" t="s">
        <v>1662</v>
      </c>
      <c r="B8" s="3469">
        <v>15</v>
      </c>
      <c r="C8" s="3478"/>
      <c r="D8" s="3491"/>
      <c r="E8" s="12" t="s">
        <v>1663</v>
      </c>
      <c r="F8" s="2054"/>
      <c r="G8" s="2054"/>
      <c r="H8" s="2054"/>
      <c r="I8" s="2049"/>
      <c r="J8" s="2811"/>
    </row>
    <row r="9" spans="1:15" ht="12.75">
      <c r="A9" s="3469"/>
      <c r="B9" s="3469"/>
      <c r="C9" s="3479"/>
      <c r="D9" s="3491"/>
      <c r="E9" s="12" t="s">
        <v>1664</v>
      </c>
      <c r="F9" s="2054"/>
      <c r="G9" s="2054"/>
      <c r="H9" s="2054"/>
      <c r="I9" s="2049"/>
      <c r="J9" s="2811"/>
    </row>
    <row r="10" spans="1:15" ht="12.75">
      <c r="A10" s="3469" t="s">
        <v>1665</v>
      </c>
      <c r="B10" s="3469">
        <v>15</v>
      </c>
      <c r="C10" s="3478"/>
      <c r="D10" s="3491"/>
      <c r="E10" s="12" t="s">
        <v>1666</v>
      </c>
      <c r="F10" s="2054"/>
      <c r="G10" s="2054"/>
      <c r="H10" s="2054"/>
      <c r="I10" s="2049"/>
      <c r="J10" s="2811"/>
    </row>
    <row r="11" spans="1:15" ht="12.75">
      <c r="A11" s="3469"/>
      <c r="B11" s="3469"/>
      <c r="C11" s="3479"/>
      <c r="D11" s="3491"/>
      <c r="E11" s="12" t="s">
        <v>1667</v>
      </c>
      <c r="F11" s="2054"/>
      <c r="G11" s="2054"/>
      <c r="H11" s="2054"/>
      <c r="I11" s="2049"/>
      <c r="J11" s="2811"/>
    </row>
    <row r="12" spans="1:15" ht="12.75">
      <c r="A12" s="3469" t="s">
        <v>1668</v>
      </c>
      <c r="B12" s="3469">
        <v>15</v>
      </c>
      <c r="C12" s="3478"/>
      <c r="D12" s="3491"/>
      <c r="E12" s="12" t="s">
        <v>1669</v>
      </c>
      <c r="F12" s="2054"/>
      <c r="G12" s="2054"/>
      <c r="H12" s="2054"/>
      <c r="I12" s="2049"/>
      <c r="J12" s="2811"/>
    </row>
    <row r="13" spans="1:15" ht="12.75">
      <c r="A13" s="3469"/>
      <c r="B13" s="3469"/>
      <c r="C13" s="3479"/>
      <c r="D13" s="3491"/>
      <c r="E13" s="12" t="s">
        <v>1670</v>
      </c>
      <c r="F13" s="2054"/>
      <c r="G13" s="2054"/>
      <c r="H13" s="2054"/>
      <c r="I13" s="2049"/>
      <c r="J13" s="2811"/>
    </row>
    <row r="14" spans="1:15" ht="12.75">
      <c r="A14" s="3469" t="s">
        <v>1671</v>
      </c>
      <c r="B14" s="3469">
        <v>30</v>
      </c>
      <c r="C14" s="3478"/>
      <c r="D14" s="3491"/>
      <c r="E14" s="12" t="s">
        <v>1672</v>
      </c>
      <c r="F14" s="2054"/>
      <c r="G14" s="2054"/>
      <c r="H14" s="2054"/>
      <c r="I14" s="2049"/>
      <c r="J14" s="2811"/>
    </row>
    <row r="15" spans="1:15" ht="12.75">
      <c r="A15" s="3469"/>
      <c r="B15" s="3469"/>
      <c r="C15" s="3494"/>
      <c r="D15" s="3491"/>
      <c r="E15" s="12" t="s">
        <v>1673</v>
      </c>
      <c r="F15" s="2054"/>
      <c r="G15" s="2054"/>
      <c r="H15" s="2054"/>
      <c r="I15" s="2049"/>
      <c r="J15" s="2811"/>
    </row>
    <row r="16" spans="1:15" ht="12.75">
      <c r="A16" s="3469"/>
      <c r="B16" s="3469"/>
      <c r="C16" s="3479"/>
      <c r="D16" s="3491"/>
      <c r="E16" s="12" t="s">
        <v>1674</v>
      </c>
      <c r="F16" s="2054"/>
      <c r="G16" s="2054"/>
      <c r="H16" s="2054"/>
      <c r="I16" s="2049"/>
      <c r="J16" s="2811"/>
    </row>
    <row r="17" spans="1:36" ht="15">
      <c r="A17" s="2680" t="s">
        <v>1675</v>
      </c>
      <c r="B17" s="2059"/>
      <c r="C17" s="2681">
        <f>SUM(C5:C16)</f>
        <v>0</v>
      </c>
      <c r="D17" s="2681">
        <f>SUM(D5:D16)</f>
        <v>0</v>
      </c>
      <c r="E17" s="2528"/>
      <c r="F17" s="2528"/>
      <c r="G17" s="2528"/>
      <c r="H17" s="2528"/>
      <c r="I17" s="2528"/>
      <c r="J17" s="2812"/>
    </row>
    <row r="18" spans="1:36" ht="32.450000000000003" customHeight="1" thickBot="1">
      <c r="A18" s="2682" t="s">
        <v>1676</v>
      </c>
      <c r="B18" s="2683"/>
      <c r="C18" s="2684" t="e">
        <f>ROUND(C17/SUM(C17:D17),2)</f>
        <v>#DIV/0!</v>
      </c>
      <c r="D18" s="2684" t="e">
        <f>1-C18</f>
        <v>#DIV/0!</v>
      </c>
      <c r="E18" s="3487" t="s">
        <v>2758</v>
      </c>
      <c r="F18" s="3488"/>
      <c r="G18" s="3488"/>
      <c r="H18" s="3488"/>
      <c r="I18" s="3488"/>
      <c r="J18" s="2812"/>
    </row>
    <row r="19" spans="1:36" ht="15">
      <c r="A19" s="2685" t="s">
        <v>1677</v>
      </c>
      <c r="B19" s="2686" t="s">
        <v>1678</v>
      </c>
      <c r="C19" s="2687" t="e">
        <f ca="1">SUMIF(INDIRECT("'"&amp;C4&amp;"'"&amp;"!A:A"),'结果表 (1修多)'!B19,INDIRECT("'"&amp;C4&amp;"'"&amp;"!B:B"))</f>
        <v>#REF!</v>
      </c>
      <c r="D19" s="2688" t="e">
        <f ca="1">SUMIF(INDIRECT("'"&amp;D4&amp;"'"&amp;"!A:A"),'结果表 (1修多)'!B19,INDIRECT("'"&amp;D4&amp;"'"&amp;"!B:B"))</f>
        <v>#REF!</v>
      </c>
      <c r="E19" s="2685" t="s">
        <v>1679</v>
      </c>
      <c r="F19" s="2686" t="s">
        <v>1678</v>
      </c>
      <c r="G19" s="2689" t="e">
        <f ca="1">ROUND(C19*$C$18+D19*$D$18,0)</f>
        <v>#REF!</v>
      </c>
      <c r="H19" s="2690" t="str">
        <f>'数据-取费表'!B3</f>
        <v>万元</v>
      </c>
      <c r="I19" s="2528"/>
      <c r="J19" s="2812"/>
    </row>
    <row r="20" spans="1:36" ht="15">
      <c r="A20" s="2691"/>
      <c r="B20" s="1663" t="s">
        <v>1680</v>
      </c>
      <c r="C20" s="1884" t="e">
        <f ca="1">SUMIF(INDIRECT("'"&amp;C4&amp;"'"&amp;"!A:A"),'结果表 (1修多)'!B20,INDIRECT("'"&amp;C4&amp;"'"&amp;"!B:B"))</f>
        <v>#REF!</v>
      </c>
      <c r="D20" s="1887" t="e">
        <f ca="1">SUMIF(INDIRECT("'"&amp;D4&amp;"'"&amp;"!A:A"),'结果表 (1修多)'!B20,INDIRECT("'"&amp;D4&amp;"'"&amp;"!B:B"))</f>
        <v>#REF!</v>
      </c>
      <c r="E20" s="2691"/>
      <c r="F20" s="1663" t="s">
        <v>1680</v>
      </c>
      <c r="G20" s="2058" t="e">
        <f ca="1">ROUND(C20*$C$18+D20*$D$18,0)</f>
        <v>#REF!</v>
      </c>
      <c r="H20" s="2692" t="s">
        <v>1681</v>
      </c>
      <c r="I20" s="2528"/>
      <c r="J20" s="2812"/>
    </row>
    <row r="21" spans="1:36" ht="15" customHeight="1" thickBot="1">
      <c r="A21" s="2693"/>
      <c r="B21" s="2694"/>
      <c r="C21" s="2694"/>
      <c r="D21" s="2695"/>
      <c r="E21" s="2693"/>
      <c r="F21" s="2694"/>
      <c r="G21" s="2696"/>
      <c r="H21" s="2697"/>
      <c r="I21" s="2528"/>
      <c r="J21" s="2812"/>
    </row>
    <row r="22" spans="1:36" ht="15" thickBot="1">
      <c r="A22" s="2698" t="s">
        <v>1682</v>
      </c>
      <c r="B22" s="2699"/>
      <c r="C22" s="2612"/>
      <c r="D22" s="2700" t="e">
        <f ca="1">IF(C19&lt;D19,D19/C19-1,C19/D19-1)</f>
        <v>#REF!</v>
      </c>
      <c r="E22" s="947"/>
      <c r="F22" s="947"/>
      <c r="G22" s="947"/>
      <c r="H22" s="947"/>
      <c r="I22" s="947"/>
      <c r="J22" s="2812"/>
    </row>
    <row r="23" spans="1:36" ht="13.5" thickBot="1">
      <c r="A23" s="2528"/>
      <c r="B23" s="2528"/>
      <c r="C23" s="2528"/>
      <c r="D23" s="2528"/>
      <c r="E23" s="947"/>
      <c r="F23" s="947"/>
      <c r="G23" s="947"/>
      <c r="H23" s="947"/>
      <c r="I23" s="947"/>
      <c r="J23" s="2812"/>
    </row>
    <row r="24" spans="1:36" ht="21.75" customHeight="1">
      <c r="A24" s="3480" t="s">
        <v>1683</v>
      </c>
      <c r="B24" s="2686" t="s">
        <v>1678</v>
      </c>
      <c r="C24" s="2689">
        <f>D30</f>
        <v>0</v>
      </c>
      <c r="D24" s="2641"/>
      <c r="E24" s="947"/>
      <c r="F24" s="947"/>
      <c r="G24" s="947"/>
      <c r="H24" s="947"/>
      <c r="I24" s="947"/>
      <c r="J24" s="2812"/>
    </row>
    <row r="25" spans="1:36" ht="21.75" customHeight="1">
      <c r="A25" s="3497"/>
      <c r="B25" s="1663" t="s">
        <v>1680</v>
      </c>
      <c r="C25" s="2701">
        <f>IF(B30=0,0,C30)</f>
        <v>0</v>
      </c>
      <c r="D25" s="2702"/>
      <c r="E25" s="947"/>
      <c r="F25" s="947"/>
      <c r="G25" s="947"/>
      <c r="H25" s="947"/>
      <c r="I25" s="947"/>
      <c r="J25" s="2812"/>
    </row>
    <row r="26" spans="1:36" ht="13.5" customHeight="1">
      <c r="A26" s="2703" t="s">
        <v>1684</v>
      </c>
      <c r="B26" s="2704" t="s">
        <v>1685</v>
      </c>
      <c r="C26" s="2704" t="s">
        <v>1686</v>
      </c>
      <c r="D26" s="2705" t="s">
        <v>1687</v>
      </c>
      <c r="E26" s="947"/>
      <c r="F26" s="947"/>
      <c r="G26" s="947"/>
      <c r="H26" s="947"/>
      <c r="I26" s="947"/>
      <c r="J26" s="2812"/>
    </row>
    <row r="27" spans="1:36" ht="14.25">
      <c r="A27" s="2706" t="s">
        <v>1828</v>
      </c>
      <c r="B27" s="2704">
        <v>0</v>
      </c>
      <c r="C27" s="2704">
        <v>0</v>
      </c>
      <c r="D27" s="2705">
        <f>ROUND(C27*B27/10000,0)</f>
        <v>0</v>
      </c>
      <c r="E27" s="947"/>
      <c r="F27" s="947"/>
      <c r="G27" s="947"/>
      <c r="H27" s="947"/>
      <c r="I27" s="947"/>
      <c r="J27" s="2812"/>
    </row>
    <row r="28" spans="1:36" ht="14.25">
      <c r="A28" s="2703"/>
      <c r="B28" s="2704"/>
      <c r="C28" s="2704"/>
      <c r="D28" s="2705">
        <f>ROUND(C28*B28/10000,0)</f>
        <v>0</v>
      </c>
      <c r="E28" s="947"/>
      <c r="F28" s="947"/>
      <c r="G28" s="947"/>
      <c r="H28" s="947"/>
      <c r="I28" s="947"/>
      <c r="J28" s="2812"/>
    </row>
    <row r="29" spans="1:36" ht="14.25">
      <c r="A29" s="2703"/>
      <c r="B29" s="2704"/>
      <c r="C29" s="2704"/>
      <c r="D29" s="2705">
        <f t="shared" ref="D29" si="0">ROUND(C29*B29/10000,0)</f>
        <v>0</v>
      </c>
      <c r="E29" s="947"/>
      <c r="F29" s="947"/>
      <c r="G29" s="947"/>
      <c r="H29" s="947"/>
      <c r="I29" s="947"/>
      <c r="J29" s="2812"/>
    </row>
    <row r="30" spans="1:36" ht="15" thickBot="1">
      <c r="A30" s="2739" t="s">
        <v>1829</v>
      </c>
      <c r="B30" s="2740"/>
      <c r="C30" s="2740"/>
      <c r="D30" s="2740"/>
      <c r="E30" s="2707" t="s">
        <v>2762</v>
      </c>
      <c r="F30" s="2528"/>
      <c r="G30" s="2528"/>
      <c r="H30" s="2528"/>
      <c r="I30" s="2528"/>
      <c r="J30" s="2812"/>
    </row>
    <row r="31" spans="1:36" s="2805" customFormat="1" ht="27.6" customHeight="1" thickTop="1" thickBot="1">
      <c r="A31" s="2800"/>
      <c r="B31" s="2801"/>
      <c r="C31" s="2801"/>
      <c r="D31" s="2801"/>
      <c r="E31" s="2801"/>
      <c r="F31" s="2801"/>
      <c r="G31" s="2801"/>
      <c r="H31" s="2801"/>
      <c r="I31" s="2802" t="s">
        <v>2763</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5" customFormat="1" ht="16.5" thickTop="1" thickBot="1">
      <c r="A32" s="3545" t="s">
        <v>1830</v>
      </c>
      <c r="B32" s="3545"/>
      <c r="C32" s="3545"/>
      <c r="D32" s="3545"/>
      <c r="E32" s="3545"/>
      <c r="F32" s="3545"/>
      <c r="G32" s="3545"/>
      <c r="H32" s="3545"/>
      <c r="I32" s="3545"/>
      <c r="J32" s="2841"/>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1" t="s">
        <v>1831</v>
      </c>
      <c r="C33" s="2742">
        <f>典型户型修正!R27</f>
        <v>0</v>
      </c>
      <c r="D33" s="2528" t="s">
        <v>1832</v>
      </c>
      <c r="E33" s="947"/>
      <c r="F33" s="947"/>
      <c r="G33" s="947"/>
      <c r="H33" s="947"/>
      <c r="I33" s="947"/>
      <c r="J33" s="2812"/>
    </row>
    <row r="34" spans="1:16" ht="15">
      <c r="A34" s="1482" t="s">
        <v>1833</v>
      </c>
      <c r="B34" s="2743" t="s">
        <v>1834</v>
      </c>
      <c r="C34" s="2744">
        <f>典型户型修正!B2</f>
        <v>0</v>
      </c>
      <c r="D34" s="2745" t="str">
        <f>IF('数据-取费表'!B3="万元","万元","元")</f>
        <v>万元</v>
      </c>
      <c r="E34" s="947"/>
      <c r="F34" s="947"/>
      <c r="G34" s="947"/>
      <c r="H34" s="947"/>
      <c r="I34" s="947"/>
      <c r="J34" s="2812"/>
    </row>
    <row r="35" spans="1:16" ht="15.75" thickBot="1">
      <c r="A35" s="1483"/>
      <c r="B35" s="2746" t="s">
        <v>1835</v>
      </c>
      <c r="C35" s="2695">
        <f>典型户型修正!B3</f>
        <v>0</v>
      </c>
      <c r="D35" s="2528" t="s">
        <v>1836</v>
      </c>
      <c r="E35" s="947"/>
      <c r="F35" s="947"/>
      <c r="G35" s="947"/>
      <c r="H35" s="947"/>
      <c r="I35" s="947"/>
      <c r="J35" s="2812"/>
    </row>
    <row r="36" spans="1:16" ht="15">
      <c r="A36" s="1484"/>
      <c r="B36" s="1438" t="s">
        <v>1837</v>
      </c>
      <c r="C36" s="2747">
        <f>IF('数据-取费表'!B3="万元",典型户型修正!V25,典型户型修正!U25)</f>
        <v>0</v>
      </c>
      <c r="D36" s="2528" t="str">
        <f>D34</f>
        <v>万元</v>
      </c>
      <c r="E36" s="947"/>
      <c r="F36" s="947"/>
      <c r="G36" s="947"/>
      <c r="H36" s="947"/>
      <c r="I36" s="947"/>
      <c r="J36" s="2812"/>
    </row>
    <row r="37" spans="1:16" ht="15.75" thickBot="1">
      <c r="A37" s="1437"/>
      <c r="B37" s="1439" t="s">
        <v>1838</v>
      </c>
      <c r="C37" s="2748">
        <f>IF('数据-取费表'!B3="万元",典型户型修正!Y25,典型户型修正!X25)</f>
        <v>0</v>
      </c>
      <c r="D37" s="2528" t="str">
        <f>D34</f>
        <v>万元</v>
      </c>
      <c r="E37" s="947"/>
      <c r="F37" s="947"/>
      <c r="G37" s="947"/>
      <c r="H37" s="947"/>
      <c r="I37" s="947"/>
      <c r="J37" s="2812"/>
    </row>
    <row r="38" spans="1:16" ht="15.75" thickBot="1">
      <c r="A38" s="3480" t="s">
        <v>1839</v>
      </c>
      <c r="B38" s="1438" t="s">
        <v>1840</v>
      </c>
      <c r="C38" s="2722"/>
      <c r="D38" s="2723"/>
      <c r="E38" s="1650"/>
      <c r="F38" s="1650"/>
      <c r="G38" s="947"/>
      <c r="H38" s="947"/>
      <c r="I38" s="947"/>
      <c r="J38" s="2812"/>
    </row>
    <row r="39" spans="1:16" ht="15.75" thickBot="1">
      <c r="A39" s="3481"/>
      <c r="B39" s="2059" t="s">
        <v>1841</v>
      </c>
      <c r="C39" s="2724"/>
      <c r="D39" s="1281"/>
      <c r="E39" s="1281"/>
      <c r="F39" s="1650"/>
      <c r="G39" s="1281"/>
      <c r="H39" s="1281"/>
      <c r="I39" s="1281"/>
      <c r="J39" s="2816"/>
    </row>
    <row r="40" spans="1:16" ht="15.75" thickBot="1">
      <c r="A40" s="3482"/>
      <c r="B40" s="1439" t="s">
        <v>1842</v>
      </c>
      <c r="C40" s="2725"/>
      <c r="D40" s="2726" t="s">
        <v>1843</v>
      </c>
      <c r="E40" s="1281"/>
      <c r="F40" s="1650"/>
      <c r="G40" s="1281"/>
      <c r="H40" s="1281"/>
      <c r="I40" s="1281"/>
      <c r="J40" s="2816"/>
    </row>
    <row r="41" spans="1:16" ht="15">
      <c r="A41" s="2691" t="s">
        <v>1844</v>
      </c>
      <c r="B41" s="2727" t="s">
        <v>1845</v>
      </c>
      <c r="C41" s="2728" t="s">
        <v>1846</v>
      </c>
      <c r="D41" s="2728" t="s">
        <v>1847</v>
      </c>
      <c r="E41" s="2729" t="s">
        <v>1848</v>
      </c>
      <c r="F41" s="1650"/>
      <c r="G41" s="1281"/>
      <c r="H41" s="1281"/>
      <c r="I41" s="1281"/>
      <c r="J41" s="2816"/>
    </row>
    <row r="42" spans="1:16" ht="14.25">
      <c r="A42" s="2730" t="s">
        <v>1849</v>
      </c>
      <c r="B42" s="2731"/>
      <c r="C42" s="2732"/>
      <c r="D42" s="2732"/>
      <c r="E42" s="2733"/>
      <c r="F42" s="1650"/>
      <c r="G42" s="1281"/>
      <c r="H42" s="1281"/>
      <c r="I42" s="1281"/>
      <c r="J42" s="2816"/>
    </row>
    <row r="43" spans="1:16" ht="14.25">
      <c r="A43" s="2730" t="s">
        <v>1850</v>
      </c>
      <c r="B43" s="2731"/>
      <c r="C43" s="2732"/>
      <c r="D43" s="2732"/>
      <c r="E43" s="2733"/>
      <c r="F43" s="1650"/>
      <c r="G43" s="1281"/>
      <c r="H43" s="1281"/>
      <c r="I43" s="1281"/>
      <c r="J43" s="2816"/>
    </row>
    <row r="44" spans="1:16" ht="15" thickBot="1">
      <c r="A44" s="2734"/>
      <c r="B44" s="2735"/>
      <c r="C44" s="2736"/>
      <c r="D44" s="2736"/>
      <c r="E44" s="2721"/>
      <c r="F44" s="1650"/>
      <c r="G44" s="1281"/>
      <c r="H44" s="1281"/>
      <c r="I44" s="1281"/>
      <c r="J44" s="2816"/>
    </row>
    <row r="45" spans="1:16" ht="12.75">
      <c r="A45" s="1451"/>
      <c r="B45" s="1451"/>
      <c r="C45" s="1451"/>
      <c r="D45" s="1451"/>
      <c r="E45" s="1451"/>
      <c r="F45" s="1407"/>
      <c r="G45" s="1407"/>
      <c r="H45" s="1407"/>
      <c r="I45" s="2737"/>
      <c r="J45" s="2817"/>
    </row>
    <row r="46" spans="1:16" ht="18.75">
      <c r="A46" s="1441" t="s">
        <v>1851</v>
      </c>
      <c r="B46" s="1442"/>
      <c r="C46" s="1442"/>
      <c r="D46" s="2749"/>
      <c r="E46" s="2749"/>
      <c r="F46" s="2749"/>
      <c r="G46" s="2749"/>
      <c r="H46" s="2749"/>
      <c r="I46" s="2806" t="s">
        <v>2757</v>
      </c>
      <c r="J46" s="2842"/>
      <c r="K46" s="1445" t="s">
        <v>1706</v>
      </c>
      <c r="L46" s="1446"/>
      <c r="M46" s="1446"/>
      <c r="N46" s="1446"/>
      <c r="O46" s="1446"/>
      <c r="P46" s="1446"/>
    </row>
    <row r="47" spans="1:16" ht="14.25" customHeight="1" thickBot="1">
      <c r="A47" s="3484" t="s">
        <v>1852</v>
      </c>
      <c r="B47" s="3485"/>
      <c r="C47" s="3444"/>
      <c r="D47" s="246">
        <f>ROUND(I104*F47,0)</f>
        <v>0</v>
      </c>
      <c r="E47" s="1512" t="s">
        <v>1853</v>
      </c>
      <c r="F47" s="2526">
        <v>1</v>
      </c>
      <c r="G47" s="2527" t="s">
        <v>1854</v>
      </c>
      <c r="H47" s="947"/>
      <c r="I47" s="947"/>
      <c r="J47" s="2812"/>
      <c r="K47" s="3570" t="s">
        <v>1710</v>
      </c>
      <c r="L47" s="3570"/>
      <c r="M47" s="3570"/>
      <c r="N47" s="3570"/>
      <c r="O47" s="3570"/>
      <c r="P47" s="3570"/>
    </row>
    <row r="48" spans="1:16" ht="14.25" customHeight="1">
      <c r="A48" s="3473" t="s">
        <v>1711</v>
      </c>
      <c r="B48" s="3474"/>
      <c r="C48" s="3474"/>
      <c r="D48" s="3474"/>
      <c r="E48" s="3474"/>
      <c r="F48" s="3474"/>
      <c r="G48" s="3475"/>
      <c r="H48" s="2944"/>
      <c r="I48" s="947"/>
      <c r="J48" s="2812"/>
      <c r="K48" s="2478">
        <v>1</v>
      </c>
      <c r="L48" s="3565" t="s">
        <v>1712</v>
      </c>
      <c r="M48" s="3565"/>
      <c r="N48" s="3571"/>
      <c r="O48" s="3571"/>
      <c r="P48" s="3571"/>
    </row>
    <row r="49" spans="1:17" ht="12" customHeight="1">
      <c r="A49" s="38" t="s">
        <v>1713</v>
      </c>
      <c r="B49" s="39"/>
      <c r="C49" s="40"/>
      <c r="D49" s="1070" t="s">
        <v>1714</v>
      </c>
      <c r="E49" s="235" t="s">
        <v>1715</v>
      </c>
      <c r="F49" s="41" t="s">
        <v>1716</v>
      </c>
      <c r="G49" s="2529" t="s">
        <v>1717</v>
      </c>
      <c r="H49" s="2944"/>
      <c r="I49" s="947"/>
      <c r="J49" s="2812"/>
      <c r="K49" s="2478">
        <v>2</v>
      </c>
      <c r="L49" s="3565" t="s">
        <v>1718</v>
      </c>
      <c r="M49" s="3565"/>
      <c r="N49" s="3572">
        <f>'数据-取费表'!B2</f>
        <v>44616</v>
      </c>
      <c r="O49" s="3572"/>
      <c r="P49" s="3572"/>
    </row>
    <row r="50" spans="1:17" ht="25.5">
      <c r="A50" s="3483" t="s">
        <v>1719</v>
      </c>
      <c r="B50" s="3437"/>
      <c r="C50" s="3437"/>
      <c r="D50" s="12">
        <f>IF(H50="情况1",0,IF(H50="情况2",D54,IF(H50="情况3",D55,IF(H50="情况4",D56))))</f>
        <v>0</v>
      </c>
      <c r="E50" s="2057" t="str">
        <f>IF(H50="情况4","(销售额-原购置价)×税（费）率","销售额×税（费）率")</f>
        <v>销售额×税（费）率</v>
      </c>
      <c r="F50" s="2530">
        <f>IF(H50="情况1","免征",'数据-取费表'!E29)</f>
        <v>5.6000000000000001E-2</v>
      </c>
      <c r="G50" s="2531" t="s">
        <v>1720</v>
      </c>
      <c r="H50" s="2532" t="s">
        <v>1721</v>
      </c>
      <c r="I50" s="2944"/>
      <c r="J50" s="2819"/>
      <c r="K50" s="2478">
        <v>3</v>
      </c>
      <c r="L50" s="3565" t="s">
        <v>1722</v>
      </c>
      <c r="M50" s="3565"/>
      <c r="N50" s="3566">
        <f>I104</f>
        <v>0</v>
      </c>
      <c r="O50" s="3566"/>
      <c r="P50" s="3566"/>
    </row>
    <row r="51" spans="1:17" ht="25.5" customHeight="1">
      <c r="A51" s="2056" t="s">
        <v>1723</v>
      </c>
      <c r="B51" s="3476" t="s">
        <v>1724</v>
      </c>
      <c r="C51" s="3476"/>
      <c r="D51" s="2533">
        <v>0</v>
      </c>
      <c r="E51" s="261" t="s">
        <v>1725</v>
      </c>
      <c r="F51" s="2534" t="s">
        <v>48</v>
      </c>
      <c r="G51" s="3533"/>
      <c r="H51" s="2535" t="s">
        <v>2682</v>
      </c>
      <c r="I51" s="2536"/>
      <c r="J51" s="2820"/>
      <c r="K51" s="2478">
        <v>4</v>
      </c>
      <c r="L51" s="3565" t="str">
        <f>IF(项目基本情况!F5="房地产抵押价值","房地产抵押价值","抵押担保权已注销时的房地产抵押价值")</f>
        <v>房地产抵押价值</v>
      </c>
      <c r="M51" s="3565"/>
      <c r="N51" s="3566">
        <f>IF(项目基本情况!F5="房地产抵押价值",I112,I114)</f>
        <v>0</v>
      </c>
      <c r="O51" s="3566"/>
      <c r="P51" s="3566"/>
    </row>
    <row r="52" spans="1:17" ht="25.5" customHeight="1">
      <c r="A52" s="2046"/>
      <c r="B52" s="3476" t="s">
        <v>1726</v>
      </c>
      <c r="C52" s="3476"/>
      <c r="D52" s="2537"/>
      <c r="E52" s="269"/>
      <c r="F52" s="2534"/>
      <c r="G52" s="3534"/>
      <c r="H52" s="2538" t="s">
        <v>2683</v>
      </c>
      <c r="I52" s="2536"/>
      <c r="J52" s="2820"/>
      <c r="K52" s="3565" t="s">
        <v>1727</v>
      </c>
      <c r="L52" s="3565"/>
      <c r="M52" s="3565"/>
      <c r="N52" s="3565"/>
      <c r="O52" s="3565"/>
      <c r="P52" s="3565"/>
    </row>
    <row r="53" spans="1:17" ht="20.45" customHeight="1">
      <c r="A53" s="2539"/>
      <c r="B53" s="3476" t="s">
        <v>1728</v>
      </c>
      <c r="C53" s="3476"/>
      <c r="D53" s="1070"/>
      <c r="E53" s="264"/>
      <c r="F53" s="2534"/>
      <c r="G53" s="3535"/>
      <c r="H53" s="2538" t="s">
        <v>2684</v>
      </c>
      <c r="I53" s="2536"/>
      <c r="J53" s="2820"/>
      <c r="K53" s="2479" t="s">
        <v>1729</v>
      </c>
      <c r="L53" s="3565" t="s">
        <v>1730</v>
      </c>
      <c r="M53" s="3565"/>
      <c r="N53" s="2479" t="s">
        <v>1731</v>
      </c>
      <c r="O53" s="2479" t="s">
        <v>1732</v>
      </c>
      <c r="P53" s="2479" t="s">
        <v>1733</v>
      </c>
    </row>
    <row r="54" spans="1:17" ht="24" customHeight="1">
      <c r="A54" s="2047" t="s">
        <v>1734</v>
      </c>
      <c r="B54" s="3476" t="s">
        <v>1735</v>
      </c>
      <c r="C54" s="3476"/>
      <c r="D54" s="1070">
        <f>ROUND(D47*'数据-取费表'!E29/(1+'数据-取费表'!F30),0)</f>
        <v>0</v>
      </c>
      <c r="E54" s="2057" t="s">
        <v>1736</v>
      </c>
      <c r="F54" s="2540">
        <f>'数据-取费表'!E29</f>
        <v>5.6000000000000001E-2</v>
      </c>
      <c r="G54" s="2541"/>
      <c r="H54" s="947"/>
      <c r="I54" s="2945"/>
      <c r="J54" s="2820"/>
      <c r="K54" s="2478">
        <v>1</v>
      </c>
      <c r="L54" s="3561" t="s">
        <v>1737</v>
      </c>
      <c r="M54" s="3561"/>
      <c r="N54" s="2480">
        <f>D50</f>
        <v>0</v>
      </c>
      <c r="O54" s="2478" t="str">
        <f>E50</f>
        <v>销售额×税（费）率</v>
      </c>
      <c r="P54" s="2481">
        <f>F50</f>
        <v>5.6000000000000001E-2</v>
      </c>
    </row>
    <row r="55" spans="1:17" ht="12" customHeight="1">
      <c r="A55" s="2047" t="s">
        <v>1738</v>
      </c>
      <c r="B55" s="3438" t="s">
        <v>2775</v>
      </c>
      <c r="C55" s="3477"/>
      <c r="D55" s="1070">
        <f>ROUND(D47*'数据-取费表'!E29/(1+'数据-取费表'!F30),0)</f>
        <v>0</v>
      </c>
      <c r="E55" s="2057" t="s">
        <v>1736</v>
      </c>
      <c r="F55" s="2540">
        <f>'数据-取费表'!E29</f>
        <v>5.6000000000000001E-2</v>
      </c>
      <c r="G55" s="2541"/>
      <c r="H55" s="947"/>
      <c r="I55" s="2945"/>
      <c r="J55" s="2820"/>
      <c r="K55" s="2478">
        <v>2</v>
      </c>
      <c r="L55" s="3561" t="s">
        <v>1739</v>
      </c>
      <c r="M55" s="3561"/>
      <c r="N55" s="2480">
        <f t="shared" ref="N55:P56" si="1">D57</f>
        <v>0</v>
      </c>
      <c r="O55" s="2478" t="str">
        <f t="shared" si="1"/>
        <v>销售额×税（费）率</v>
      </c>
      <c r="P55" s="2481">
        <f t="shared" si="1"/>
        <v>5.0000000000000001E-4</v>
      </c>
    </row>
    <row r="56" spans="1:17" ht="12" customHeight="1">
      <c r="A56" s="2047" t="s">
        <v>1740</v>
      </c>
      <c r="B56" s="3438" t="s">
        <v>2776</v>
      </c>
      <c r="C56" s="3477"/>
      <c r="D56" s="1070">
        <f>C70</f>
        <v>0</v>
      </c>
      <c r="E56" s="264" t="s">
        <v>1741</v>
      </c>
      <c r="F56" s="2540">
        <f>'数据-取费表'!E29</f>
        <v>5.6000000000000001E-2</v>
      </c>
      <c r="G56" s="2541"/>
      <c r="H56" s="2946"/>
      <c r="I56" s="2945"/>
      <c r="J56" s="2820"/>
      <c r="K56" s="2478">
        <v>3</v>
      </c>
      <c r="L56" s="3561" t="s">
        <v>1742</v>
      </c>
      <c r="M56" s="3561"/>
      <c r="N56" s="2480">
        <f t="shared" si="1"/>
        <v>0</v>
      </c>
      <c r="O56" s="2478" t="str">
        <f t="shared" si="1"/>
        <v>增值额×税（费）率</v>
      </c>
      <c r="P56" s="2482" t="str">
        <f t="shared" si="1"/>
        <v>——</v>
      </c>
    </row>
    <row r="57" spans="1:17" ht="24" customHeight="1">
      <c r="A57" s="3436" t="s">
        <v>1743</v>
      </c>
      <c r="B57" s="3437"/>
      <c r="C57" s="3437"/>
      <c r="D57" s="12">
        <f>IF(H57="个人住宅",0,ROUND(D47*I57,0))</f>
        <v>0</v>
      </c>
      <c r="E57" s="2057" t="s">
        <v>1744</v>
      </c>
      <c r="F57" s="2540">
        <f>IF(H57="正常",I57,"免征")</f>
        <v>5.0000000000000001E-4</v>
      </c>
      <c r="G57" s="2541"/>
      <c r="H57" s="2532" t="s">
        <v>1745</v>
      </c>
      <c r="I57" s="74">
        <f>'数据-取费表'!E37</f>
        <v>5.0000000000000001E-4</v>
      </c>
      <c r="J57" s="2820"/>
      <c r="K57" s="2478">
        <f>IF(H61="非个人房产","",4)</f>
        <v>4</v>
      </c>
      <c r="L57" s="3561" t="str">
        <f>IF(H61="非个人房产","——","个人所得税")</f>
        <v>个人所得税</v>
      </c>
      <c r="M57" s="3561"/>
      <c r="N57" s="2483">
        <f>D61</f>
        <v>0</v>
      </c>
      <c r="O57" s="2484" t="str">
        <f>E61</f>
        <v>销售额×税（费）率</v>
      </c>
      <c r="P57" s="2485">
        <f>F61</f>
        <v>0.01</v>
      </c>
    </row>
    <row r="58" spans="1:17" ht="24.75">
      <c r="A58" s="3436" t="s">
        <v>1746</v>
      </c>
      <c r="B58" s="3437"/>
      <c r="C58" s="3437"/>
      <c r="D58" s="12">
        <f>IF(H58="个人住宅",D59,D60)</f>
        <v>0</v>
      </c>
      <c r="E58" s="2057" t="s">
        <v>1747</v>
      </c>
      <c r="F58" s="2540" t="str">
        <f>IF(H58="正常",F60,"免征")</f>
        <v>——</v>
      </c>
      <c r="G58" s="2542" t="s">
        <v>1748</v>
      </c>
      <c r="H58" s="2543" t="s">
        <v>1745</v>
      </c>
      <c r="I58" s="2947"/>
      <c r="J58" s="2820"/>
      <c r="K58" s="2478" t="str">
        <f>IF(项目基本情况!I6="上海银行",IF(K57="",4,K57+1),"")</f>
        <v/>
      </c>
      <c r="L58" s="3563" t="str">
        <f>IF(项目基本情况!I6="上海银行","其他处置费用","")</f>
        <v/>
      </c>
      <c r="M58" s="3564"/>
      <c r="N58" s="2480" t="str">
        <f>IF(项目基本情况!I6="上海银行",N71,"")</f>
        <v/>
      </c>
      <c r="O58" s="3563" t="str">
        <f>IF(项目基本情况!I6="上海银行","包含处置中涉及的律师、诉讼、拍卖、评估等费用","")</f>
        <v/>
      </c>
      <c r="P58" s="3567"/>
    </row>
    <row r="59" spans="1:17" ht="12.75">
      <c r="A59" s="2047" t="s">
        <v>1723</v>
      </c>
      <c r="B59" s="3438" t="s">
        <v>1749</v>
      </c>
      <c r="C59" s="3477"/>
      <c r="D59" s="2533">
        <v>0</v>
      </c>
      <c r="E59" s="261" t="s">
        <v>1725</v>
      </c>
      <c r="F59" s="235"/>
      <c r="G59" s="2541"/>
      <c r="H59" s="2947"/>
      <c r="I59" s="2947"/>
      <c r="J59" s="2820"/>
      <c r="K59" s="3561">
        <f>IF(AND(K57="",K58=""),4,IF(项目基本情况!I6="上海银行",K58+1,K57+1))</f>
        <v>5</v>
      </c>
      <c r="L59" s="3561" t="s">
        <v>1750</v>
      </c>
      <c r="M59" s="2486" t="s">
        <v>1751</v>
      </c>
      <c r="N59" s="2487"/>
      <c r="O59" s="2488">
        <f>SUMIF(N54:N58,"&lt;9e307")</f>
        <v>0</v>
      </c>
      <c r="P59" s="2489"/>
      <c r="Q59" s="1276" t="e">
        <f>O59/N51</f>
        <v>#DIV/0!</v>
      </c>
    </row>
    <row r="60" spans="1:17" ht="24.75">
      <c r="A60" s="2047" t="s">
        <v>1734</v>
      </c>
      <c r="B60" s="3438" t="s">
        <v>1752</v>
      </c>
      <c r="C60" s="3476"/>
      <c r="D60" s="12">
        <f>IF(H60="转让取得",C83,C99)</f>
        <v>0</v>
      </c>
      <c r="E60" s="2057" t="s">
        <v>1747</v>
      </c>
      <c r="F60" s="235" t="s">
        <v>48</v>
      </c>
      <c r="G60" s="2541"/>
      <c r="H60" s="2543" t="s">
        <v>1753</v>
      </c>
      <c r="I60" s="2947"/>
      <c r="J60" s="2820"/>
      <c r="K60" s="3561"/>
      <c r="L60" s="3561"/>
      <c r="M60" s="2486" t="s">
        <v>1754</v>
      </c>
      <c r="N60" s="2490"/>
      <c r="O60" s="2491" t="str">
        <f>IF(H19="元",NUMBERSTRING(INT(O59),2)&amp;"元整",NUMBERSTRING(INT(O59*10000),2)&amp;"元整")</f>
        <v>零元整</v>
      </c>
      <c r="P60" s="2492"/>
    </row>
    <row r="61" spans="1:17" ht="26.25" thickBot="1">
      <c r="A61" s="3460" t="s">
        <v>1755</v>
      </c>
      <c r="B61" s="3461"/>
      <c r="C61" s="3461"/>
      <c r="D61" s="69">
        <f>IF(H61="非个人房产","——",IF(H61="个人住宅（满五唯一有凭证）",0,IF(H61="个人其他（无凭证）",ROUND(D47*F61,0),ROUND(C69*F61,0))))</f>
        <v>0</v>
      </c>
      <c r="E61" s="2048" t="str">
        <f>IF(H61="非个人房产","——",IF(H61="个人其他（无凭证）","销售额×税（费）率",IF(H61="个人住宅（满五唯一有凭证）","免征","差额计税")))</f>
        <v>销售额×税（费）率</v>
      </c>
      <c r="F61" s="2750">
        <f>IF(OR(H61="非个人房产",H61="个人住宅（满五唯一有凭证）"),"——",IF(H61="个人其他（有凭证）",20%,1%))</f>
        <v>0.01</v>
      </c>
      <c r="G61" s="2790" t="s">
        <v>2755</v>
      </c>
      <c r="H61" s="2061" t="s">
        <v>2681</v>
      </c>
      <c r="I61" s="2848" t="s">
        <v>2766</v>
      </c>
      <c r="J61" s="2820"/>
      <c r="K61" s="3559">
        <f>K59+1</f>
        <v>6</v>
      </c>
      <c r="L61" s="3561" t="s">
        <v>1756</v>
      </c>
      <c r="M61" s="2478" t="s">
        <v>1751</v>
      </c>
      <c r="N61" s="2493"/>
      <c r="O61" s="2494">
        <f>N51-O59</f>
        <v>0</v>
      </c>
      <c r="P61" s="2495"/>
    </row>
    <row r="62" spans="1:17" ht="12" customHeight="1">
      <c r="A62" s="1427"/>
      <c r="B62" s="2528"/>
      <c r="C62" s="2528"/>
      <c r="D62" s="2528"/>
      <c r="E62" s="1427"/>
      <c r="F62" s="2947"/>
      <c r="G62" s="2947"/>
      <c r="H62" s="2942"/>
      <c r="I62" s="947"/>
      <c r="J62" s="2820"/>
      <c r="K62" s="3560"/>
      <c r="L62" s="3561"/>
      <c r="M62" s="2486" t="s">
        <v>1754</v>
      </c>
      <c r="N62" s="2490"/>
      <c r="O62" s="2491" t="str">
        <f>IF(H19="元",NUMBERSTRING(INT(O61),2)&amp;"元整",NUMBERSTRING(INT(O61*10000),2)&amp;"元整")</f>
        <v>零元整</v>
      </c>
      <c r="P62" s="2492"/>
    </row>
    <row r="63" spans="1:17" ht="13.5" thickBot="1">
      <c r="A63" s="3562" t="s">
        <v>1757</v>
      </c>
      <c r="B63" s="3562"/>
      <c r="C63" s="3562"/>
      <c r="D63" s="3562"/>
      <c r="E63" s="3562"/>
      <c r="F63" s="2947"/>
      <c r="G63" s="2947"/>
      <c r="H63" s="2942"/>
      <c r="I63" s="947"/>
      <c r="J63" s="2812"/>
      <c r="K63" s="2478">
        <f>K61+1</f>
        <v>7</v>
      </c>
      <c r="L63" s="3561" t="s">
        <v>1758</v>
      </c>
      <c r="M63" s="3561"/>
      <c r="N63" s="2496"/>
      <c r="O63" s="2497">
        <f>IF(H19="元",ROUND(O61/项目基本情况!C12,0),ROUND(O61*10000/项目基本情况!C12,0))</f>
        <v>0</v>
      </c>
      <c r="P63" s="2498"/>
    </row>
    <row r="64" spans="1:17" ht="12.75">
      <c r="A64" s="3495" t="s">
        <v>1759</v>
      </c>
      <c r="B64" s="3496"/>
      <c r="C64" s="1577"/>
      <c r="D64" s="1577" t="s">
        <v>1760</v>
      </c>
      <c r="E64" s="45" t="s">
        <v>1761</v>
      </c>
      <c r="F64" s="2947"/>
      <c r="G64" s="2947"/>
      <c r="H64" s="2942"/>
      <c r="I64" s="947"/>
      <c r="J64" s="2812"/>
      <c r="K64" s="1278"/>
      <c r="L64" s="1278"/>
      <c r="M64" s="1278"/>
      <c r="N64" s="1278"/>
      <c r="O64" s="1278"/>
    </row>
    <row r="65" spans="1:36" ht="12.75">
      <c r="A65" s="46">
        <v>1</v>
      </c>
      <c r="B65" s="47" t="s">
        <v>1762</v>
      </c>
      <c r="C65" s="2751">
        <f>ROUND((C66+C67)/(1+'数据-取费表'!F30),0)</f>
        <v>0</v>
      </c>
      <c r="D65" s="47"/>
      <c r="E65" s="48"/>
      <c r="F65" s="2947"/>
      <c r="G65" s="2947"/>
      <c r="H65" s="2942"/>
      <c r="I65" s="947"/>
      <c r="J65" s="2812"/>
      <c r="K65" s="3569" t="s">
        <v>1763</v>
      </c>
      <c r="L65" s="1277" t="s">
        <v>1764</v>
      </c>
      <c r="M65" s="1277">
        <f>IF(N51&gt;10000,N51*0.5%,IF(AND(N51&gt;1000,N51&lt;=10000),N51*1%,IF(AND(N51&gt;100,N51&lt;=1000),N51*3%,IF(AND(N51&gt;10,N51&lt;=100),N51*5%,N51*8%))))</f>
        <v>0</v>
      </c>
      <c r="N65" s="235">
        <f>ROUND(M65,1)</f>
        <v>0</v>
      </c>
      <c r="O65" s="2499"/>
    </row>
    <row r="66" spans="1:36" ht="12.75">
      <c r="A66" s="49" t="s">
        <v>71</v>
      </c>
      <c r="B66" s="50" t="s">
        <v>1765</v>
      </c>
      <c r="C66" s="2752">
        <f>D47</f>
        <v>0</v>
      </c>
      <c r="D66" s="50" t="s">
        <v>41</v>
      </c>
      <c r="E66" s="52"/>
      <c r="F66" s="2947"/>
      <c r="G66" s="2947"/>
      <c r="H66" s="2942"/>
      <c r="I66" s="947"/>
      <c r="J66" s="2812"/>
      <c r="K66" s="3569"/>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99" t="s">
        <v>1767</v>
      </c>
    </row>
    <row r="67" spans="1:36" ht="12.75">
      <c r="A67" s="49" t="s">
        <v>72</v>
      </c>
      <c r="B67" s="50" t="s">
        <v>1768</v>
      </c>
      <c r="C67" s="2753"/>
      <c r="D67" s="50"/>
      <c r="E67" s="52"/>
      <c r="F67" s="2947"/>
      <c r="G67" s="2947"/>
      <c r="H67" s="2942"/>
      <c r="I67" s="947"/>
      <c r="J67" s="2812"/>
      <c r="K67" s="3569"/>
      <c r="L67" s="1277" t="s">
        <v>1769</v>
      </c>
      <c r="M67" s="1277" t="b">
        <f>IF(N51&gt;1000,N51*0.1%,IF(AND(N51&gt;500,N51&lt;=1000),N51*0.5%,IF(AND(N51&gt;50,N51&lt;=500),N51*1%,IF(AND(N51&gt;1,N51&lt;=50),N51*1.5%))))</f>
        <v>0</v>
      </c>
      <c r="N67" s="235">
        <f t="shared" si="2"/>
        <v>0</v>
      </c>
      <c r="O67" s="2499" t="s">
        <v>1767</v>
      </c>
    </row>
    <row r="68" spans="1:36" ht="12.75">
      <c r="A68" s="53" t="s">
        <v>47</v>
      </c>
      <c r="B68" s="54" t="s">
        <v>1770</v>
      </c>
      <c r="C68" s="2754"/>
      <c r="D68" s="54" t="s">
        <v>41</v>
      </c>
      <c r="E68" s="1286" t="s">
        <v>1771</v>
      </c>
      <c r="F68" s="2947"/>
      <c r="G68" s="2947"/>
      <c r="H68" s="2942"/>
      <c r="I68" s="947"/>
      <c r="J68" s="2812"/>
      <c r="K68" s="3569"/>
      <c r="L68" s="1277" t="s">
        <v>1772</v>
      </c>
      <c r="M68" s="1277">
        <f>N51*0.5%</f>
        <v>0</v>
      </c>
      <c r="N68" s="235">
        <f>IF(M68&gt;0.5,0.5,ROUND(M68,0))</f>
        <v>0</v>
      </c>
      <c r="O68" s="2499" t="s">
        <v>1773</v>
      </c>
    </row>
    <row r="69" spans="1:36" ht="12.75">
      <c r="A69" s="53" t="s">
        <v>42</v>
      </c>
      <c r="B69" s="54" t="s">
        <v>1774</v>
      </c>
      <c r="C69" s="2755">
        <f>C65-C68</f>
        <v>0</v>
      </c>
      <c r="D69" s="50" t="s">
        <v>41</v>
      </c>
      <c r="E69" s="52"/>
      <c r="F69" s="2947"/>
      <c r="G69" s="2947"/>
      <c r="H69" s="2942"/>
      <c r="I69" s="947"/>
      <c r="J69" s="2812"/>
      <c r="K69" s="3569"/>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99"/>
    </row>
    <row r="70" spans="1:36" ht="13.5" thickBot="1">
      <c r="A70" s="55" t="s">
        <v>46</v>
      </c>
      <c r="B70" s="56" t="s">
        <v>1776</v>
      </c>
      <c r="C70" s="2756">
        <f>IF(C69&lt;=0,0,ROUND(C69*D70,0))</f>
        <v>0</v>
      </c>
      <c r="D70" s="2207">
        <f>'数据-取费表'!E29</f>
        <v>5.6000000000000001E-2</v>
      </c>
      <c r="E70" s="57"/>
      <c r="F70" s="2947"/>
      <c r="G70" s="2947"/>
      <c r="H70" s="2942"/>
      <c r="I70" s="947"/>
      <c r="J70" s="2812"/>
      <c r="K70" s="3569"/>
      <c r="L70" s="1277" t="s">
        <v>1777</v>
      </c>
      <c r="M70" s="1277">
        <f>IF(N51&gt;10000,N51*0.5%,IF(AND(N51&gt;5000,N51&lt;=10000),N51*1%,IF(AND(N51&gt;1000,N51&lt;=5000),N51*2%,IF(AND(N51&gt;200,N51&lt;=1000),N51*3%,N51*5%))))</f>
        <v>0</v>
      </c>
      <c r="N70" s="235">
        <f>ROUND(M70,1)</f>
        <v>0</v>
      </c>
      <c r="O70" s="2499"/>
    </row>
    <row r="71" spans="1:36" s="1435" customFormat="1" ht="7.5" customHeight="1">
      <c r="A71" s="1447"/>
      <c r="B71" s="1448"/>
      <c r="C71" s="2757"/>
      <c r="D71" s="2250"/>
      <c r="E71" s="1451"/>
      <c r="F71" s="1427"/>
      <c r="G71" s="1427"/>
      <c r="H71" s="1451"/>
      <c r="I71" s="2528"/>
      <c r="J71" s="2812"/>
      <c r="K71" s="3569"/>
      <c r="L71" s="1277" t="s">
        <v>1778</v>
      </c>
      <c r="M71" s="1277"/>
      <c r="N71" s="235">
        <f>ROUND(SUM(N65:N70),0)</f>
        <v>0</v>
      </c>
      <c r="O71" s="2500"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56" t="s">
        <v>1779</v>
      </c>
      <c r="B72" s="3557"/>
      <c r="C72" s="3557"/>
      <c r="D72" s="3557"/>
      <c r="E72" s="3557"/>
      <c r="F72" s="3557"/>
      <c r="G72" s="3557"/>
      <c r="H72" s="3557"/>
      <c r="I72" s="1452"/>
      <c r="J72" s="2821"/>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95" t="s">
        <v>1759</v>
      </c>
      <c r="B73" s="3496"/>
      <c r="C73" s="1577"/>
      <c r="D73" s="1577" t="s">
        <v>1760</v>
      </c>
      <c r="E73" s="58" t="s">
        <v>1761</v>
      </c>
      <c r="F73" s="59"/>
      <c r="G73" s="59"/>
      <c r="H73" s="60"/>
      <c r="I73" s="2758"/>
      <c r="J73" s="2843"/>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5">
        <f>ROUND(D47/(1+'数据-取费表'!F30),0)</f>
        <v>0</v>
      </c>
      <c r="D74" s="50" t="s">
        <v>41</v>
      </c>
      <c r="E74" s="2053"/>
      <c r="F74" s="2054"/>
      <c r="G74" s="2054"/>
      <c r="H74" s="62"/>
      <c r="I74" s="2758"/>
      <c r="J74" s="2843"/>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5">
        <f>C76+C80</f>
        <v>0</v>
      </c>
      <c r="D75" s="50" t="s">
        <v>41</v>
      </c>
      <c r="E75" s="2053"/>
      <c r="F75" s="2054"/>
      <c r="G75" s="2054"/>
      <c r="H75" s="62"/>
      <c r="I75" s="2758"/>
      <c r="J75" s="2843"/>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3"/>
      <c r="F76" s="2054"/>
      <c r="G76" s="2054"/>
      <c r="H76" s="62"/>
      <c r="I76" s="2758"/>
      <c r="J76" s="2843"/>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3"/>
      <c r="D77" s="50" t="s">
        <v>41</v>
      </c>
      <c r="E77" s="64" t="s">
        <v>1785</v>
      </c>
      <c r="F77" s="2759" t="s">
        <v>1786</v>
      </c>
      <c r="G77" s="64" t="s">
        <v>1787</v>
      </c>
      <c r="H77" s="2760"/>
      <c r="I77" s="608"/>
      <c r="J77" s="284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1">
        <v>0.05</v>
      </c>
      <c r="E78" s="3438" t="s">
        <v>1789</v>
      </c>
      <c r="F78" s="3476"/>
      <c r="G78" s="3476"/>
      <c r="H78" s="3490"/>
      <c r="I78" s="2758"/>
      <c r="J78" s="2843"/>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2">
        <f>'数据-取费表'!E36+'数据-取费表'!E37</f>
        <v>3.0499999999999999E-2</v>
      </c>
      <c r="E79" s="12" t="s">
        <v>1791</v>
      </c>
      <c r="F79" s="2060"/>
      <c r="G79" s="1456" t="s">
        <v>1792</v>
      </c>
      <c r="H79" s="2055" t="str">
        <f>IF(G79="个人买卖住房","免征印花税"," ")</f>
        <v xml:space="preserve"> </v>
      </c>
      <c r="I79" s="2758"/>
      <c r="J79" s="2843"/>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3">
        <f>ROUND(D47*D80/(1+'数据-取费表'!F30),0)</f>
        <v>0</v>
      </c>
      <c r="D80" s="2764">
        <f>'数据-取费表'!E31</f>
        <v>6.000000000000001E-3</v>
      </c>
      <c r="E80" s="3470" t="s">
        <v>1794</v>
      </c>
      <c r="F80" s="3471"/>
      <c r="G80" s="3471"/>
      <c r="H80" s="3472"/>
      <c r="I80" s="609"/>
      <c r="J80" s="284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5">
        <f>C74-C75</f>
        <v>0</v>
      </c>
      <c r="D81" s="50" t="s">
        <v>41</v>
      </c>
      <c r="E81" s="2053"/>
      <c r="F81" s="2054"/>
      <c r="G81" s="2054"/>
      <c r="H81" s="62"/>
      <c r="I81" s="2758"/>
      <c r="J81" s="2843"/>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4"/>
      <c r="G82" s="2054"/>
      <c r="H82" s="62"/>
      <c r="I82" s="2758"/>
      <c r="J82" s="2843"/>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66">
        <f>ROUND(IF(C81&lt;=0,0,IF(C82&gt;=200%,C81*60%-C75*35%,IF(C82&gt;=100%,C81*50%-C75*15%,IF(C82&gt;=50%,C81*40%-C75*5%,IF(C82&lt;50%,C81*30%,0))))),0)</f>
        <v>0</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8"/>
      <c r="J83" s="2843"/>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56" t="s">
        <v>1798</v>
      </c>
      <c r="B85" s="3557"/>
      <c r="C85" s="3557"/>
      <c r="D85" s="3557"/>
      <c r="E85" s="3557"/>
      <c r="F85" s="3557"/>
      <c r="G85" s="3557"/>
      <c r="H85" s="3557"/>
      <c r="I85" s="608"/>
      <c r="J85" s="2844"/>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95" t="s">
        <v>1759</v>
      </c>
      <c r="B86" s="3496"/>
      <c r="C86" s="1577"/>
      <c r="D86" s="1577" t="s">
        <v>1760</v>
      </c>
      <c r="E86" s="58" t="s">
        <v>1761</v>
      </c>
      <c r="F86" s="59"/>
      <c r="G86" s="59"/>
      <c r="H86" s="72"/>
      <c r="I86" s="608"/>
      <c r="J86" s="2844"/>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5">
        <f>ROUND(D47/(1+'数据-取费表'!F30),0)</f>
        <v>0</v>
      </c>
      <c r="D87" s="50" t="s">
        <v>41</v>
      </c>
      <c r="E87" s="2053"/>
      <c r="F87" s="2054"/>
      <c r="G87" s="2054"/>
      <c r="H87" s="73"/>
      <c r="I87" s="608"/>
      <c r="J87" s="2844"/>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5">
        <f>IF(H90="仅含出让金",C89+C92+C93+C94+C95+C96,C89+C93+C94+C95+C96)</f>
        <v>0</v>
      </c>
      <c r="D88" s="2767"/>
      <c r="E88" s="2053"/>
      <c r="F88" s="2054"/>
      <c r="G88" s="2054"/>
      <c r="H88" s="73"/>
      <c r="I88" s="608"/>
      <c r="J88" s="2844"/>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3">
        <f>C90+C91</f>
        <v>0</v>
      </c>
      <c r="D89" s="2764"/>
      <c r="E89" s="2050"/>
      <c r="F89" s="2051"/>
      <c r="G89" s="2051"/>
      <c r="H89" s="2052"/>
      <c r="I89" s="608"/>
      <c r="J89" s="2844"/>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68"/>
      <c r="D90" s="2764"/>
      <c r="E90" s="74" t="s">
        <v>1801</v>
      </c>
      <c r="F90" s="2051"/>
      <c r="G90" s="75" t="s">
        <v>1802</v>
      </c>
      <c r="H90" s="1458"/>
      <c r="I90" s="608"/>
      <c r="J90" s="2844"/>
      <c r="K90" s="2939"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3">
        <f>ROUND(C90*D91,0)</f>
        <v>0</v>
      </c>
      <c r="D91" s="2764">
        <f>'数据-取费表'!E36+'数据-取费表'!E37</f>
        <v>3.0499999999999999E-2</v>
      </c>
      <c r="E91" s="74" t="s">
        <v>1803</v>
      </c>
      <c r="F91" s="2051"/>
      <c r="G91" s="2051"/>
      <c r="H91" s="2052"/>
      <c r="I91" s="608"/>
      <c r="J91" s="2844"/>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68"/>
      <c r="D92" s="2764"/>
      <c r="E92" s="74" t="str">
        <f>IF(H90="-","土地取得成本中已包含该笔费用"," ")</f>
        <v xml:space="preserve"> </v>
      </c>
      <c r="F92" s="2051"/>
      <c r="G92" s="3531" t="s">
        <v>2676</v>
      </c>
      <c r="H92" s="3558"/>
      <c r="I92" s="608"/>
      <c r="J92" s="2844"/>
      <c r="K92" s="2939"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3">
        <f>IF(H93="——",成本法!C33,I93)</f>
        <v>0</v>
      </c>
      <c r="D93" s="2764"/>
      <c r="E93" s="3470" t="s">
        <v>1806</v>
      </c>
      <c r="F93" s="3471"/>
      <c r="G93" s="3471"/>
      <c r="H93" s="1459" t="s">
        <v>1807</v>
      </c>
      <c r="I93" s="2769"/>
      <c r="J93" s="284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3">
        <f>ROUND((C89+C92+C93)*D94,0)</f>
        <v>0</v>
      </c>
      <c r="D94" s="2764">
        <v>0.1</v>
      </c>
      <c r="E94" s="3470" t="s">
        <v>1809</v>
      </c>
      <c r="F94" s="3471"/>
      <c r="G94" s="3471"/>
      <c r="H94" s="3472"/>
      <c r="I94" s="608"/>
      <c r="J94" s="2844"/>
      <c r="K94" s="2940"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3">
        <f>ROUND(D47*D95/(1+'数据-取费表'!F30),0)</f>
        <v>0</v>
      </c>
      <c r="D95" s="2764">
        <f>'数据-取费表'!E31</f>
        <v>6.000000000000001E-3</v>
      </c>
      <c r="E95" s="3470" t="s">
        <v>1794</v>
      </c>
      <c r="F95" s="3471"/>
      <c r="G95" s="3471"/>
      <c r="H95" s="3472"/>
      <c r="I95" s="608"/>
      <c r="J95" s="2844"/>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3">
        <f>ROUND((C89+C92+C93)*D96,0)</f>
        <v>0</v>
      </c>
      <c r="D96" s="2764">
        <v>0.2</v>
      </c>
      <c r="E96" s="3470" t="s">
        <v>1811</v>
      </c>
      <c r="F96" s="3471"/>
      <c r="G96" s="3471"/>
      <c r="H96" s="3472"/>
      <c r="I96" s="608"/>
      <c r="J96" s="2844"/>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5">
        <f>ROUND(C87-C88,0)</f>
        <v>0</v>
      </c>
      <c r="D97" s="50" t="s">
        <v>41</v>
      </c>
      <c r="E97" s="2053"/>
      <c r="F97" s="2054"/>
      <c r="G97" s="2054"/>
      <c r="H97" s="73"/>
      <c r="I97" s="608"/>
      <c r="J97" s="2844"/>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4"/>
      <c r="G98" s="2054"/>
      <c r="H98" s="73"/>
      <c r="I98" s="608"/>
      <c r="J98" s="2844"/>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3"/>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517" t="s">
        <v>1813</v>
      </c>
      <c r="B101" s="3518"/>
      <c r="C101" s="3518"/>
      <c r="D101" s="3519"/>
      <c r="E101" s="1431"/>
      <c r="F101" s="3553" t="s">
        <v>2718</v>
      </c>
      <c r="G101" s="3554"/>
      <c r="H101" s="3554"/>
      <c r="I101" s="3555"/>
      <c r="J101" s="2847"/>
    </row>
    <row r="102" spans="1:36" ht="15">
      <c r="A102" s="3529" t="s">
        <v>1815</v>
      </c>
      <c r="B102" s="3530"/>
      <c r="C102" s="2770">
        <f>C4</f>
        <v>0</v>
      </c>
      <c r="D102" s="2771">
        <f>D4</f>
        <v>0</v>
      </c>
      <c r="E102" s="1431"/>
      <c r="F102" s="3441" t="s">
        <v>2719</v>
      </c>
      <c r="G102" s="3442"/>
      <c r="H102" s="3447" t="s">
        <v>2720</v>
      </c>
      <c r="I102" s="3440"/>
      <c r="J102" s="2827"/>
    </row>
    <row r="103" spans="1:36" ht="12.75">
      <c r="A103" s="3550" t="s">
        <v>2714</v>
      </c>
      <c r="B103" s="2272" t="str">
        <f>IF(H19="元","总价（元）","总价（万元）")</f>
        <v>总价（万元）</v>
      </c>
      <c r="C103" s="1277" t="e">
        <f ca="1">C19</f>
        <v>#REF!</v>
      </c>
      <c r="D103" s="2774" t="e">
        <f ca="1">D19</f>
        <v>#REF!</v>
      </c>
      <c r="E103" s="1431"/>
      <c r="F103" s="3551"/>
      <c r="G103" s="3552"/>
      <c r="H103" s="3439">
        <f>典型户型修正!B25</f>
        <v>362.84</v>
      </c>
      <c r="I103" s="3440"/>
      <c r="J103" s="2827"/>
    </row>
    <row r="104" spans="1:36" ht="12.75">
      <c r="A104" s="3550"/>
      <c r="B104" s="2272" t="s">
        <v>2715</v>
      </c>
      <c r="C104" s="2775" t="e">
        <f ca="1">C20</f>
        <v>#REF!</v>
      </c>
      <c r="D104" s="2776" t="e">
        <f ca="1">D20</f>
        <v>#REF!</v>
      </c>
      <c r="E104" s="1431"/>
      <c r="F104" s="3451" t="s">
        <v>2721</v>
      </c>
      <c r="G104" s="3452"/>
      <c r="H104" s="2784" t="str">
        <f>C110</f>
        <v>总价（万元）</v>
      </c>
      <c r="I104" s="2785">
        <f>H125</f>
        <v>0</v>
      </c>
      <c r="J104" s="2827"/>
    </row>
    <row r="105" spans="1:36" ht="12.75">
      <c r="A105" s="3550" t="s">
        <v>2716</v>
      </c>
      <c r="B105" s="2210" t="str">
        <f>B103</f>
        <v>总价（万元）</v>
      </c>
      <c r="C105" s="12" t="e">
        <f ca="1">ROUND(IF('数据-取费表'!B4="总价",G19,IF(H19="元",G20*'数据-取费表'!E5,G20*'数据-取费表'!E5/10000)),0)</f>
        <v>#REF!</v>
      </c>
      <c r="D105" s="2777"/>
      <c r="E105" s="1431"/>
      <c r="F105" s="3451"/>
      <c r="G105" s="3452"/>
      <c r="H105" s="2784" t="s">
        <v>2722</v>
      </c>
      <c r="I105" s="52">
        <f>I125</f>
        <v>0</v>
      </c>
      <c r="J105" s="2811"/>
    </row>
    <row r="106" spans="1:36" ht="12.75">
      <c r="A106" s="3550"/>
      <c r="B106" s="2272" t="s">
        <v>2715</v>
      </c>
      <c r="C106" s="1451" t="e">
        <f ca="1">ROUND(IF('数据-取费表'!B4="楼面单价",G20,IF(H19="元",G19/'数据-取费表'!E5,G19*10000/'数据-取费表'!E5)),0)</f>
        <v>#REF!</v>
      </c>
      <c r="D106" s="2777"/>
      <c r="E106" s="1431"/>
      <c r="F106" s="3451"/>
      <c r="G106" s="3452"/>
      <c r="H106" s="3511"/>
      <c r="I106" s="3512"/>
      <c r="J106" s="2828"/>
    </row>
    <row r="107" spans="1:36" ht="12.75">
      <c r="A107" s="3544" t="s">
        <v>2717</v>
      </c>
      <c r="B107" s="2778" t="str">
        <f>B103</f>
        <v>总价（万元）</v>
      </c>
      <c r="C107" s="2779">
        <f>H125</f>
        <v>0</v>
      </c>
      <c r="D107" s="2780"/>
      <c r="E107" s="1431"/>
      <c r="F107" s="3515" t="s">
        <v>2723</v>
      </c>
      <c r="G107" s="3516"/>
      <c r="H107" s="2786" t="str">
        <f>C112</f>
        <v>总额（万元）</v>
      </c>
      <c r="I107" s="2785">
        <f>SUMIF(I108:I110,"&lt;9E307")</f>
        <v>0</v>
      </c>
      <c r="J107" s="2827"/>
    </row>
    <row r="108" spans="1:36" ht="15" thickBot="1">
      <c r="A108" s="3510"/>
      <c r="B108" s="2781" t="s">
        <v>2715</v>
      </c>
      <c r="C108" s="2782">
        <f>I125</f>
        <v>0</v>
      </c>
      <c r="D108" s="2783"/>
      <c r="E108" s="1431"/>
      <c r="F108" s="3453" t="s">
        <v>2724</v>
      </c>
      <c r="G108" s="3454"/>
      <c r="H108" s="2786" t="str">
        <f>C113</f>
        <v>总额（万元）</v>
      </c>
      <c r="I108" s="2787">
        <f>IF(D38="同一抵押权人同一抵押物续贷",C38&amp;"（续贷，未扣减，详见特别提示）",C38)</f>
        <v>0</v>
      </c>
      <c r="J108" s="2811"/>
      <c r="L108" s="1434" t="str">
        <f>IF(D125=0,"本次评估不存在"&amp;A125&amp;"。","本次评估"&amp;A125&amp;"为"&amp;D125&amp;"元人民币。")</f>
        <v>本次评估不存在北京市房地产。</v>
      </c>
      <c r="M108" s="1431"/>
      <c r="N108" s="1431"/>
      <c r="O108" s="1431"/>
      <c r="P108" s="1431"/>
      <c r="Q108" s="1431"/>
    </row>
    <row r="109" spans="1:36" ht="15">
      <c r="A109" s="3547" t="s">
        <v>1816</v>
      </c>
      <c r="B109" s="3548"/>
      <c r="C109" s="3548"/>
      <c r="D109" s="3549"/>
      <c r="E109" s="1431"/>
      <c r="F109" s="3453" t="s">
        <v>2725</v>
      </c>
      <c r="G109" s="3454"/>
      <c r="H109" s="2786" t="str">
        <f>C114</f>
        <v>总额（万元）</v>
      </c>
      <c r="I109" s="52">
        <f>C39</f>
        <v>0</v>
      </c>
      <c r="J109" s="2811"/>
    </row>
    <row r="110" spans="1:36" ht="12.75">
      <c r="A110" s="3451" t="s">
        <v>2728</v>
      </c>
      <c r="B110" s="3452"/>
      <c r="C110" s="2784" t="str">
        <f>B103</f>
        <v>总价（万元）</v>
      </c>
      <c r="D110" s="2785">
        <f>H125</f>
        <v>0</v>
      </c>
      <c r="E110" s="1431"/>
      <c r="F110" s="3453" t="s">
        <v>2726</v>
      </c>
      <c r="G110" s="3454"/>
      <c r="H110" s="2786" t="str">
        <f>C115</f>
        <v>总额（万元）</v>
      </c>
      <c r="I110" s="52">
        <f>C40</f>
        <v>0</v>
      </c>
      <c r="J110" s="2811"/>
    </row>
    <row r="111" spans="1:36" ht="12.75">
      <c r="A111" s="3451"/>
      <c r="B111" s="3452"/>
      <c r="C111" s="2784" t="s">
        <v>2729</v>
      </c>
      <c r="D111" s="52">
        <f>I125</f>
        <v>0</v>
      </c>
      <c r="E111" s="1431"/>
      <c r="F111" s="3451"/>
      <c r="G111" s="3452"/>
      <c r="H111" s="3513"/>
      <c r="I111" s="3514"/>
      <c r="J111" s="2829"/>
    </row>
    <row r="112" spans="1:36" ht="28.5" customHeight="1">
      <c r="A112" s="3458" t="s">
        <v>2723</v>
      </c>
      <c r="B112" s="3459"/>
      <c r="C112" s="2786" t="str">
        <f>IF(H19="元","总额（元）","总额（万元）")</f>
        <v>总额（万元）</v>
      </c>
      <c r="D112" s="2785">
        <f>IF(D38="正常操作",I108+I109+I110,I109+I110)</f>
        <v>0</v>
      </c>
      <c r="E112" s="1431"/>
      <c r="F112" s="3443" t="str">
        <f>IF(项目基本情况!F5="已注销","——","3.房地产抵押价值")</f>
        <v>3.房地产抵押价值</v>
      </c>
      <c r="G112" s="3444"/>
      <c r="H112" s="1451" t="str">
        <f>C116</f>
        <v>总价（万元）</v>
      </c>
      <c r="I112" s="2785">
        <f>IF(F112="——","——",I104-I107)</f>
        <v>0</v>
      </c>
      <c r="J112" s="2827"/>
    </row>
    <row r="113" spans="1:27" ht="12.75">
      <c r="A113" s="3453" t="s">
        <v>2730</v>
      </c>
      <c r="B113" s="3454"/>
      <c r="C113" s="2786" t="str">
        <f>C112</f>
        <v>总额（万元）</v>
      </c>
      <c r="D113" s="52">
        <f>IF(D38="同一抵押权人同一抵押物续贷",C38&amp;"（未扣减，详见特别提示）",C38)</f>
        <v>0</v>
      </c>
      <c r="E113" s="1431"/>
      <c r="F113" s="3542"/>
      <c r="G113" s="3543"/>
      <c r="H113" s="2784" t="s">
        <v>2722</v>
      </c>
      <c r="I113" s="2788">
        <f>D117</f>
        <v>0</v>
      </c>
      <c r="J113" s="2830"/>
    </row>
    <row r="114" spans="1:27" ht="12.75">
      <c r="A114" s="3453" t="s">
        <v>2731</v>
      </c>
      <c r="B114" s="3454"/>
      <c r="C114" s="2786" t="str">
        <f>C112</f>
        <v>总额（万元）</v>
      </c>
      <c r="D114" s="52">
        <f>C39</f>
        <v>0</v>
      </c>
      <c r="E114" s="1431"/>
      <c r="F114" s="3443" t="str">
        <f>IF(项目基本情况!F5="已注销及未注销","4.抵押担保权已注销时的房地产抵押价值",IF(项目基本情况!F5="已注销","3.抵押担保权已注销时的房地产抵押价值","——"))</f>
        <v>——</v>
      </c>
      <c r="G114" s="3444"/>
      <c r="H114" s="1451" t="str">
        <f>C118</f>
        <v>总价（万元）</v>
      </c>
      <c r="I114" s="2785" t="str">
        <f>IF(F114="——","——",I104-I109-I110)</f>
        <v>——</v>
      </c>
      <c r="J114" s="2827"/>
    </row>
    <row r="115" spans="1:27" ht="12.75">
      <c r="A115" s="3453" t="s">
        <v>2732</v>
      </c>
      <c r="B115" s="3454"/>
      <c r="C115" s="2786" t="str">
        <f>C112</f>
        <v>总额（万元）</v>
      </c>
      <c r="D115" s="52">
        <f>C40</f>
        <v>0</v>
      </c>
      <c r="E115" s="1431"/>
      <c r="F115" s="3542"/>
      <c r="G115" s="3543"/>
      <c r="H115" s="2784" t="s">
        <v>2722</v>
      </c>
      <c r="I115" s="52" t="str">
        <f>D119</f>
        <v>——</v>
      </c>
      <c r="J115" s="2811"/>
    </row>
    <row r="116" spans="1:27" ht="12.75">
      <c r="A116" s="3451" t="str">
        <f>IF(项目基本情况!F5="已注销","——","3.房地产抵押价值")</f>
        <v>3.房地产抵押价值</v>
      </c>
      <c r="B116" s="3452"/>
      <c r="C116" s="2784" t="str">
        <f>B103</f>
        <v>总价（万元）</v>
      </c>
      <c r="D116" s="2785">
        <f>IF(A116="——","——",D110-D112)</f>
        <v>0</v>
      </c>
      <c r="E116" s="1431"/>
      <c r="F116" s="3443" t="str">
        <f>IF(项目基本情况!G5="抵押净值",IF(OR(项目基本情况!F5="已注销",项目基本情况!F5="房地产抵押价值"),"4.抵押净值","5.抵押净值"),"——")</f>
        <v>4.抵押净值</v>
      </c>
      <c r="G116" s="3444"/>
      <c r="H116" s="2784" t="str">
        <f>C120</f>
        <v>总价（万元）</v>
      </c>
      <c r="I116" s="2785">
        <f>IF(F116="——","——",O61)</f>
        <v>0</v>
      </c>
      <c r="J116" s="2827"/>
    </row>
    <row r="117" spans="1:27" ht="13.5" thickBot="1">
      <c r="A117" s="3451"/>
      <c r="B117" s="3452"/>
      <c r="C117" s="2784" t="s">
        <v>2729</v>
      </c>
      <c r="D117" s="52">
        <f>ROUND(IF(D116=D110,D111,IF(H19="元",D116/B125,D116*10000/B125)),0)</f>
        <v>0</v>
      </c>
      <c r="E117" s="1431"/>
      <c r="F117" s="3445"/>
      <c r="G117" s="3446"/>
      <c r="H117" s="2789" t="s">
        <v>2722</v>
      </c>
      <c r="I117" s="2773">
        <f>D121</f>
        <v>0</v>
      </c>
      <c r="J117" s="2811"/>
    </row>
    <row r="118" spans="1:27" ht="15.75">
      <c r="A118" s="3451" t="str">
        <f>IF(项目基本情况!F5="已注销及未注销","4.抵押担保权已注销时的房地产抵押价值",IF(项目基本情况!F5="已注销","3.抵押担保权已注销时的房地产抵押价值","——"))</f>
        <v>——</v>
      </c>
      <c r="B118" s="3452"/>
      <c r="C118" s="2784" t="str">
        <f>B103</f>
        <v>总价（万元）</v>
      </c>
      <c r="D118" s="2785" t="str">
        <f>IF(A118="——","——",D110-D114-D115)</f>
        <v>——</v>
      </c>
      <c r="E118" s="1431"/>
      <c r="F118" s="3537"/>
      <c r="G118" s="3537"/>
      <c r="H118" s="3501"/>
      <c r="I118" s="3501"/>
      <c r="J118" s="2831"/>
      <c r="O118" s="32"/>
      <c r="P118" s="32"/>
    </row>
    <row r="119" spans="1:27" s="1278" customFormat="1" ht="12.75">
      <c r="A119" s="3451"/>
      <c r="B119" s="3452"/>
      <c r="C119" s="2784" t="s">
        <v>2729</v>
      </c>
      <c r="D119" s="52" t="str">
        <f>IF(A118="——","——",IF(H19="元",ROUND(D118/B125,0),ROUND(D118*10000/B125,0)))</f>
        <v>——</v>
      </c>
      <c r="E119" s="1431"/>
      <c r="F119" s="3546" t="str">
        <f>IF(B33="总价","（以上估价结果中楼面单价为总价除以建筑面积得出）","（以上估价结果中总价为楼面单价乘以建筑面积得出）")</f>
        <v>（以上估价结果中总价为楼面单价乘以建筑面积得出）</v>
      </c>
      <c r="G119" s="3546"/>
      <c r="H119" s="3546"/>
      <c r="I119" s="3546"/>
      <c r="J119" s="2832"/>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51" t="str">
        <f>IF(项目基本情况!G5="抵押净值",IF(OR(项目基本情况!F5="已注销",项目基本情况!F5="房地产抵押价值"),"4.抵押净值","5.抵押净值"),"——")</f>
        <v>4.抵押净值</v>
      </c>
      <c r="B120" s="3452"/>
      <c r="C120" s="2784" t="str">
        <f>B103</f>
        <v>总价（万元）</v>
      </c>
      <c r="D120" s="2785">
        <f>IF(A120="——","——",O61)</f>
        <v>0</v>
      </c>
      <c r="E120" s="1431"/>
      <c r="F120" s="1485"/>
      <c r="G120" s="1485"/>
      <c r="H120" s="1485"/>
      <c r="I120" s="1485"/>
      <c r="J120" s="2832"/>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56"/>
      <c r="B121" s="3457"/>
      <c r="C121" s="2789" t="s">
        <v>2729</v>
      </c>
      <c r="D121" s="2773">
        <f>IF(D120=D110,D111,IF(A120="——","——",O63))</f>
        <v>0</v>
      </c>
      <c r="E121" s="1431"/>
      <c r="F121" s="1485"/>
      <c r="G121" s="1485"/>
      <c r="H121" s="1485"/>
      <c r="I121" s="1485"/>
      <c r="J121" s="2832"/>
      <c r="K121" s="659"/>
      <c r="L121" s="659"/>
      <c r="M121" s="659"/>
      <c r="N121" s="659"/>
      <c r="O121" s="32"/>
      <c r="P121" s="32"/>
      <c r="Q121" s="659"/>
      <c r="R121" s="659"/>
      <c r="S121" s="659"/>
      <c r="T121" s="659"/>
      <c r="U121" s="659"/>
      <c r="V121" s="659"/>
      <c r="W121" s="659"/>
      <c r="X121" s="659"/>
      <c r="Y121" s="659"/>
      <c r="Z121" s="659"/>
      <c r="AA121" s="659"/>
    </row>
    <row r="122" spans="1:27" s="1278" customFormat="1" ht="15">
      <c r="A122" s="3502" t="s">
        <v>1855</v>
      </c>
      <c r="B122" s="3503"/>
      <c r="C122" s="3503"/>
      <c r="D122" s="3503"/>
      <c r="E122" s="3503"/>
      <c r="F122" s="3503"/>
      <c r="G122" s="3503"/>
      <c r="H122" s="3503"/>
      <c r="I122" s="3503"/>
      <c r="J122" s="2833"/>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6" t="s">
        <v>2733</v>
      </c>
      <c r="B123" s="3462" t="s">
        <v>2734</v>
      </c>
      <c r="C123" s="3462" t="s">
        <v>2740</v>
      </c>
      <c r="D123" s="3524" t="s">
        <v>2735</v>
      </c>
      <c r="E123" s="3525"/>
      <c r="F123" s="3437" t="s">
        <v>2741</v>
      </c>
      <c r="G123" s="3437"/>
      <c r="H123" s="3437" t="s">
        <v>2736</v>
      </c>
      <c r="I123" s="3523"/>
      <c r="J123" s="2811"/>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6"/>
      <c r="B124" s="3463"/>
      <c r="C124" s="3463"/>
      <c r="D124" s="2057" t="s">
        <v>2737</v>
      </c>
      <c r="E124" s="2057" t="s">
        <v>2742</v>
      </c>
      <c r="F124" s="2057" t="s">
        <v>2737</v>
      </c>
      <c r="G124" s="2057" t="s">
        <v>2738</v>
      </c>
      <c r="H124" s="2057" t="s">
        <v>2737</v>
      </c>
      <c r="I124" s="52" t="s">
        <v>2738</v>
      </c>
      <c r="J124" s="2811"/>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7" t="str">
        <f>项目基本情况!I1</f>
        <v>北京市房地产</v>
      </c>
      <c r="B125" s="2057">
        <f>典型户型修正!B25</f>
        <v>362.84</v>
      </c>
      <c r="C125" s="1426"/>
      <c r="D125" s="2057">
        <f>C36</f>
        <v>0</v>
      </c>
      <c r="E125" s="2057">
        <f>ROUND(IF(H19="元",D125/B125,D125*10000/B125),0)</f>
        <v>0</v>
      </c>
      <c r="F125" s="2057">
        <f>C37</f>
        <v>0</v>
      </c>
      <c r="G125" s="2057">
        <f>ROUND(IF(H19="元",F125/B125,F125*10000/B125),0)</f>
        <v>0</v>
      </c>
      <c r="H125" s="2057">
        <f>C34</f>
        <v>0</v>
      </c>
      <c r="I125" s="52">
        <f>C35</f>
        <v>0</v>
      </c>
      <c r="J125" s="2811"/>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6" t="s">
        <v>2739</v>
      </c>
      <c r="B126" s="3437"/>
      <c r="C126" s="3437"/>
      <c r="D126" s="3464" t="str">
        <f>IF(H19="元",NUMBERSTRING(INT(D125),2)&amp;"元整",NUMBERSTRING(INT(D125*10000),2)&amp;"元整")</f>
        <v>零元整</v>
      </c>
      <c r="E126" s="3507"/>
      <c r="F126" s="3464" t="str">
        <f>IF(H19="元",NUMBERSTRING(INT(F125),2)&amp;"元整",NUMBERSTRING(INT(F125*10000),2)&amp;"元整")</f>
        <v>零元整</v>
      </c>
      <c r="G126" s="3507"/>
      <c r="H126" s="3464" t="str">
        <f>IF(H19="元",NUMBERSTRING(INT(H125),2)&amp;"元整",NUMBERSTRING(INT(H125*10000),2)&amp;"元整")</f>
        <v>零元整</v>
      </c>
      <c r="I126" s="3465"/>
      <c r="J126" s="2834"/>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41" t="str">
        <f>IF(项目基本情况!D5="房地产市场价值","——",MID(A112,3,LEN(A112)-2))</f>
        <v>估价师所知悉的法定优先受偿款</v>
      </c>
      <c r="B127" s="3447"/>
      <c r="C127" s="3442"/>
      <c r="D127" s="3439">
        <f>I107</f>
        <v>0</v>
      </c>
      <c r="E127" s="3447"/>
      <c r="F127" s="3447"/>
      <c r="G127" s="3447"/>
      <c r="H127" s="3447"/>
      <c r="I127" s="3440"/>
      <c r="J127" s="2827"/>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08" t="s">
        <v>2739</v>
      </c>
      <c r="B128" s="3476"/>
      <c r="C128" s="3477"/>
      <c r="D128" s="3448">
        <f>H111</f>
        <v>0</v>
      </c>
      <c r="E128" s="3449"/>
      <c r="F128" s="3449"/>
      <c r="G128" s="3449"/>
      <c r="H128" s="3449"/>
      <c r="I128" s="3450"/>
      <c r="J128" s="2835"/>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51" t="str">
        <f>IF(项目基本情况!D5="房地产市场价值","——",MID(A116,3,LEN(A116)-2))</f>
        <v>房地产抵押价值</v>
      </c>
      <c r="B129" s="3452"/>
      <c r="C129" s="3452"/>
      <c r="D129" s="3439">
        <f>I112</f>
        <v>0</v>
      </c>
      <c r="E129" s="3447"/>
      <c r="F129" s="3447"/>
      <c r="G129" s="3447"/>
      <c r="H129" s="3447"/>
      <c r="I129" s="3440"/>
      <c r="J129" s="2827"/>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6" t="s">
        <v>2739</v>
      </c>
      <c r="B130" s="3437"/>
      <c r="C130" s="3437"/>
      <c r="D130" s="3448">
        <f>I113</f>
        <v>0</v>
      </c>
      <c r="E130" s="3449"/>
      <c r="F130" s="3449"/>
      <c r="G130" s="3449"/>
      <c r="H130" s="3449"/>
      <c r="I130" s="3450"/>
      <c r="J130" s="2835"/>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51" t="str">
        <f>IF(项目基本情况!D5="房地产市场价值","——",MID(A118,3,LEN(A118)-2))</f>
        <v/>
      </c>
      <c r="B131" s="3452"/>
      <c r="C131" s="3452"/>
      <c r="D131" s="3484" t="str">
        <f>I114</f>
        <v>——</v>
      </c>
      <c r="E131" s="3485"/>
      <c r="F131" s="3485"/>
      <c r="G131" s="3485"/>
      <c r="H131" s="3485"/>
      <c r="I131" s="3536"/>
      <c r="J131" s="2827"/>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6" t="s">
        <v>2739</v>
      </c>
      <c r="B132" s="3437"/>
      <c r="C132" s="3438"/>
      <c r="D132" s="3500" t="str">
        <f>I115</f>
        <v>——</v>
      </c>
      <c r="E132" s="3500"/>
      <c r="F132" s="3500"/>
      <c r="G132" s="3500"/>
      <c r="H132" s="3500"/>
      <c r="I132" s="3500"/>
      <c r="J132" s="2835"/>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51" t="str">
        <f>IF(项目基本情况!D5="房地产市场价值","——",MID(F116,3,LEN(F116)-2))</f>
        <v>抵押净值</v>
      </c>
      <c r="B133" s="3452"/>
      <c r="C133" s="3439"/>
      <c r="D133" s="3455">
        <f>I116</f>
        <v>0</v>
      </c>
      <c r="E133" s="3455"/>
      <c r="F133" s="3455"/>
      <c r="G133" s="3455"/>
      <c r="H133" s="3455"/>
      <c r="I133" s="3455"/>
      <c r="J133" s="2827"/>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60" t="s">
        <v>2739</v>
      </c>
      <c r="B134" s="3461"/>
      <c r="C134" s="3461"/>
      <c r="D134" s="3466">
        <f>H118</f>
        <v>0</v>
      </c>
      <c r="E134" s="3467"/>
      <c r="F134" s="3467"/>
      <c r="G134" s="3467"/>
      <c r="H134" s="3467"/>
      <c r="I134" s="3468"/>
      <c r="J134" s="2835"/>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6"/>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34" t="str">
        <f>IF(B33="总价","（以上估价结果中楼面单价为总价除以建筑面积得出）","（以上估价结果中总价为楼面单价乘以建筑面积得出）")</f>
        <v>（以上估价结果中总价为楼面单价乘以建筑面积得出）</v>
      </c>
      <c r="B136" s="3434"/>
      <c r="C136" s="3434"/>
      <c r="D136" s="3434"/>
      <c r="E136" s="3434"/>
      <c r="F136" s="3434"/>
      <c r="G136" s="3434"/>
      <c r="H136" s="3434"/>
      <c r="I136" s="3434"/>
      <c r="J136" s="2829"/>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37"/>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7"/>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7"/>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38"/>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7"/>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38"/>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39"/>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38"/>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8"/>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39"/>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38"/>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38"/>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39"/>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3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38"/>
    </row>
    <row r="152" spans="1:27" s="659" customFormat="1" ht="21.75" customHeight="1">
      <c r="J152" s="2838"/>
    </row>
    <row r="153" spans="1:27" s="659" customFormat="1" ht="21.75" customHeight="1">
      <c r="J153" s="2838"/>
    </row>
    <row r="154" spans="1:27" s="659" customFormat="1" ht="21.75" customHeight="1">
      <c r="J154" s="2838"/>
    </row>
    <row r="155" spans="1:27" s="659" customFormat="1" ht="21.75" customHeight="1">
      <c r="J155" s="2838"/>
    </row>
    <row r="156" spans="1:27" s="659" customFormat="1" ht="21.75" customHeight="1">
      <c r="J156" s="2838"/>
    </row>
    <row r="157" spans="1:27" s="659" customFormat="1" ht="21.75" customHeight="1">
      <c r="J157" s="2838"/>
    </row>
    <row r="158" spans="1:27" s="659" customFormat="1" ht="21.75" customHeight="1">
      <c r="J158" s="2838"/>
    </row>
    <row r="159" spans="1:27" s="659" customFormat="1" ht="21.75" customHeight="1">
      <c r="J159" s="2838"/>
    </row>
    <row r="160" spans="1:27" s="659" customFormat="1" ht="21.75" customHeight="1">
      <c r="J160" s="2838"/>
    </row>
    <row r="161" spans="10:10" s="659" customFormat="1" ht="21.75" customHeight="1">
      <c r="J161" s="2838"/>
    </row>
    <row r="162" spans="10:10" s="659" customFormat="1" ht="21.75" customHeight="1">
      <c r="J162" s="2838"/>
    </row>
    <row r="163" spans="10:10" s="659" customFormat="1" ht="21.75" customHeight="1">
      <c r="J163" s="2838"/>
    </row>
    <row r="164" spans="10:10" s="659" customFormat="1" ht="21.75" customHeight="1">
      <c r="J164" s="2838"/>
    </row>
    <row r="165" spans="10:10" s="659" customFormat="1" ht="21.75" customHeight="1">
      <c r="J165" s="2838"/>
    </row>
    <row r="166" spans="10:10" s="659" customFormat="1" ht="21.75" customHeight="1">
      <c r="J166" s="2838"/>
    </row>
    <row r="167" spans="10:10" s="659" customFormat="1" ht="21.75" customHeight="1">
      <c r="J167" s="2838"/>
    </row>
    <row r="168" spans="10:10" s="659" customFormat="1" ht="21.75" customHeight="1">
      <c r="J168" s="2838"/>
    </row>
    <row r="169" spans="10:10" s="659" customFormat="1" ht="21.75" customHeight="1">
      <c r="J169" s="2838"/>
    </row>
    <row r="170" spans="10:10" s="659" customFormat="1" ht="21.75" customHeight="1">
      <c r="J170" s="2838"/>
    </row>
    <row r="171" spans="10:10" s="659" customFormat="1" ht="21.75" customHeight="1">
      <c r="J171" s="2838"/>
    </row>
    <row r="172" spans="10:10" s="659" customFormat="1" ht="21.75" customHeight="1">
      <c r="J172" s="2838"/>
    </row>
    <row r="173" spans="10:10" s="659" customFormat="1" ht="21.75" customHeight="1">
      <c r="J173" s="2838"/>
    </row>
    <row r="174" spans="10:10" s="659" customFormat="1" ht="21.75" customHeight="1">
      <c r="J174" s="2838"/>
    </row>
    <row r="175" spans="10:10" s="659" customFormat="1" ht="21.75" customHeight="1">
      <c r="J175" s="2838"/>
    </row>
    <row r="176" spans="10:10" s="659" customFormat="1" ht="21.75" customHeight="1">
      <c r="J176" s="2838"/>
    </row>
    <row r="177" spans="10:10" s="659" customFormat="1" ht="21.75" customHeight="1">
      <c r="J177" s="2838"/>
    </row>
    <row r="178" spans="10:10" s="659" customFormat="1" ht="21.75" customHeight="1">
      <c r="J178" s="2838"/>
    </row>
    <row r="179" spans="10:10" s="659" customFormat="1" ht="21.75" customHeight="1">
      <c r="J179" s="2838"/>
    </row>
    <row r="180" spans="10:10" s="659" customFormat="1" ht="21.75" customHeight="1">
      <c r="J180" s="2838"/>
    </row>
    <row r="181" spans="10:10" s="659" customFormat="1" ht="21.75" customHeight="1">
      <c r="J181" s="2838"/>
    </row>
    <row r="182" spans="10:10" s="659" customFormat="1" ht="21.75" customHeight="1">
      <c r="J182" s="2838"/>
    </row>
    <row r="183" spans="10:10" s="659" customFormat="1" ht="21.75" customHeight="1">
      <c r="J183" s="2838"/>
    </row>
    <row r="184" spans="10:10" s="659" customFormat="1" ht="21.75" customHeight="1">
      <c r="J184" s="2838"/>
    </row>
    <row r="185" spans="10:10" s="659" customFormat="1" ht="21.75" customHeight="1">
      <c r="J185" s="2838"/>
    </row>
    <row r="186" spans="10:10" s="659" customFormat="1" ht="21.75" customHeight="1">
      <c r="J186" s="2838"/>
    </row>
    <row r="187" spans="10:10" s="659" customFormat="1" ht="21.75" customHeight="1">
      <c r="J187" s="2838"/>
    </row>
    <row r="188" spans="10:10" s="659" customFormat="1" ht="21.75" customHeight="1">
      <c r="J188" s="2838"/>
    </row>
    <row r="189" spans="10:10" s="659" customFormat="1" ht="21.75" customHeight="1">
      <c r="J189" s="2838"/>
    </row>
    <row r="190" spans="10:10" s="659" customFormat="1" ht="21.75" customHeight="1">
      <c r="J190" s="2838"/>
    </row>
    <row r="191" spans="10:10" s="659" customFormat="1" ht="21.75" customHeight="1">
      <c r="J191" s="2838"/>
    </row>
    <row r="192" spans="10:10" s="659" customFormat="1" ht="21.75" customHeight="1">
      <c r="J192" s="2838"/>
    </row>
    <row r="193" spans="10:10" s="659" customFormat="1" ht="21.75" customHeight="1">
      <c r="J193" s="2838"/>
    </row>
    <row r="194" spans="10:10" s="659" customFormat="1" ht="21.75" customHeight="1">
      <c r="J194" s="2838"/>
    </row>
    <row r="195" spans="10:10" s="659" customFormat="1" ht="21.75" customHeight="1">
      <c r="J195" s="2838"/>
    </row>
    <row r="196" spans="10:10" s="659" customFormat="1" ht="21.75" customHeight="1">
      <c r="J196" s="2838"/>
    </row>
    <row r="197" spans="10:10" s="659" customFormat="1" ht="21.75" customHeight="1">
      <c r="J197" s="2838"/>
    </row>
    <row r="198" spans="10:10" s="659" customFormat="1" ht="21.75" customHeight="1">
      <c r="J198" s="2838"/>
    </row>
    <row r="199" spans="10:10" s="659" customFormat="1" ht="21.75" customHeight="1">
      <c r="J199" s="2838"/>
    </row>
    <row r="200" spans="10:10" s="659" customFormat="1" ht="21.75" customHeight="1">
      <c r="J200" s="2838"/>
    </row>
    <row r="201" spans="10:10" s="659" customFormat="1" ht="21.75" customHeight="1">
      <c r="J201" s="2838"/>
    </row>
    <row r="202" spans="10:10" s="659" customFormat="1" ht="21.75" customHeight="1">
      <c r="J202" s="2838"/>
    </row>
    <row r="203" spans="10:10" s="659" customFormat="1" ht="21.75" customHeight="1">
      <c r="J203" s="2838"/>
    </row>
    <row r="204" spans="10:10" s="659" customFormat="1" ht="21.75" customHeight="1">
      <c r="J204" s="2838"/>
    </row>
    <row r="205" spans="10:10" s="659" customFormat="1" ht="21.75" customHeight="1">
      <c r="J205" s="2838"/>
    </row>
    <row r="206" spans="10:10" s="659" customFormat="1" ht="21.75" customHeight="1">
      <c r="J206" s="2838"/>
    </row>
    <row r="207" spans="10:10" s="659" customFormat="1" ht="21.75" customHeight="1">
      <c r="J207" s="2838"/>
    </row>
    <row r="208" spans="10:10" s="659" customFormat="1" ht="21.75" customHeight="1">
      <c r="J208" s="2838"/>
    </row>
    <row r="209" spans="10:10" s="659" customFormat="1" ht="21.75" customHeight="1">
      <c r="J209" s="2838"/>
    </row>
    <row r="210" spans="10:10" s="659" customFormat="1" ht="21.75" customHeight="1">
      <c r="J210" s="2838"/>
    </row>
    <row r="211" spans="10:10" s="659" customFormat="1" ht="21.75" customHeight="1">
      <c r="J211" s="2838"/>
    </row>
    <row r="212" spans="10:10" s="659" customFormat="1" ht="21.75" customHeight="1">
      <c r="J212" s="2838"/>
    </row>
    <row r="213" spans="10:10" s="659" customFormat="1" ht="21.75" customHeight="1">
      <c r="J213" s="2838"/>
    </row>
    <row r="214" spans="10:10" s="659" customFormat="1" ht="21.75" customHeight="1">
      <c r="J214" s="2838"/>
    </row>
    <row r="215" spans="10:10" s="659" customFormat="1" ht="21.75" customHeight="1">
      <c r="J215" s="2838"/>
    </row>
    <row r="216" spans="10:10" s="659" customFormat="1" ht="21.75" customHeight="1">
      <c r="J216" s="2838"/>
    </row>
    <row r="217" spans="10:10" s="659" customFormat="1" ht="21.75" customHeight="1">
      <c r="J217" s="2838"/>
    </row>
    <row r="218" spans="10:10" s="659" customFormat="1" ht="21.75" customHeight="1">
      <c r="J218" s="2838"/>
    </row>
    <row r="219" spans="10:10" s="659" customFormat="1" ht="21.75" customHeight="1">
      <c r="J219" s="2838"/>
    </row>
    <row r="220" spans="10:10" s="659" customFormat="1" ht="21.75" customHeight="1">
      <c r="J220" s="2838"/>
    </row>
    <row r="221" spans="10:10" s="659" customFormat="1" ht="21.75" customHeight="1">
      <c r="J221" s="2838"/>
    </row>
    <row r="222" spans="10:10" s="659" customFormat="1" ht="21.75" customHeight="1">
      <c r="J222" s="2838"/>
    </row>
    <row r="223" spans="10:10" s="659" customFormat="1" ht="21.75" customHeight="1">
      <c r="J223" s="2838"/>
    </row>
    <row r="224" spans="10:10" s="659" customFormat="1" ht="21.75" customHeight="1">
      <c r="J224" s="2838"/>
    </row>
    <row r="225" spans="10:10" s="659" customFormat="1" ht="21.75" customHeight="1">
      <c r="J225" s="2838"/>
    </row>
    <row r="226" spans="10:10" s="659" customFormat="1" ht="21.75" customHeight="1">
      <c r="J226" s="2838"/>
    </row>
    <row r="227" spans="10:10" s="659" customFormat="1" ht="21.75" customHeight="1">
      <c r="J227" s="2838"/>
    </row>
    <row r="228" spans="10:10" s="659" customFormat="1" ht="21.75" customHeight="1">
      <c r="J228" s="2838"/>
    </row>
    <row r="229" spans="10:10" s="659" customFormat="1" ht="21.75" customHeight="1">
      <c r="J229" s="2838"/>
    </row>
    <row r="230" spans="10:10" s="659" customFormat="1" ht="21.75" customHeight="1">
      <c r="J230" s="2838"/>
    </row>
    <row r="231" spans="10:10" s="659" customFormat="1" ht="21.75" customHeight="1">
      <c r="J231" s="2838"/>
    </row>
    <row r="232" spans="10:10" s="659" customFormat="1" ht="21.75" customHeight="1">
      <c r="J232" s="2838"/>
    </row>
    <row r="233" spans="10:10" s="659" customFormat="1" ht="21.75" customHeight="1">
      <c r="J233" s="2838"/>
    </row>
    <row r="234" spans="10:10" s="659" customFormat="1" ht="21.75" customHeight="1">
      <c r="J234" s="2838"/>
    </row>
    <row r="235" spans="10:10" s="659" customFormat="1" ht="21.75" customHeight="1">
      <c r="J235" s="2838"/>
    </row>
    <row r="236" spans="10:10" s="659" customFormat="1" ht="21.75" customHeight="1">
      <c r="J236" s="2838"/>
    </row>
    <row r="237" spans="10:10" s="659" customFormat="1" ht="21.75" customHeight="1">
      <c r="J237" s="2838"/>
    </row>
    <row r="238" spans="10:10" s="659" customFormat="1" ht="21.75" customHeight="1">
      <c r="J238" s="2838"/>
    </row>
    <row r="239" spans="10:10" s="659" customFormat="1" ht="21.75" customHeight="1">
      <c r="J239" s="2838"/>
    </row>
    <row r="240" spans="10:10" s="659" customFormat="1" ht="21.75" customHeight="1">
      <c r="J240" s="2838"/>
    </row>
    <row r="241" spans="10:10" s="659" customFormat="1" ht="21.75" customHeight="1">
      <c r="J241" s="2838"/>
    </row>
    <row r="242" spans="10:10" s="659" customFormat="1" ht="21.75" customHeight="1">
      <c r="J242" s="2838"/>
    </row>
    <row r="243" spans="10:10" s="659" customFormat="1" ht="21.75" customHeight="1">
      <c r="J243" s="2838"/>
    </row>
    <row r="244" spans="10:10" s="659" customFormat="1" ht="21.75" customHeight="1">
      <c r="J244" s="2838"/>
    </row>
    <row r="245" spans="10:10" s="659" customFormat="1" ht="21.75" customHeight="1">
      <c r="J245" s="2838"/>
    </row>
    <row r="246" spans="10:10" s="659" customFormat="1" ht="21.75" customHeight="1">
      <c r="J246" s="2838"/>
    </row>
    <row r="247" spans="10:10" s="659" customFormat="1" ht="21.75" customHeight="1">
      <c r="J247" s="2838"/>
    </row>
    <row r="248" spans="10:10" s="659" customFormat="1" ht="21.75" customHeight="1">
      <c r="J248" s="2838"/>
    </row>
    <row r="249" spans="10:10" s="659" customFormat="1" ht="21.75" customHeight="1">
      <c r="J249" s="2838"/>
    </row>
    <row r="250" spans="10:10" s="659" customFormat="1" ht="21.75" customHeight="1">
      <c r="J250" s="2838"/>
    </row>
    <row r="251" spans="10:10" s="659" customFormat="1" ht="21.75" customHeight="1">
      <c r="J251" s="2838"/>
    </row>
    <row r="252" spans="10:10" s="659" customFormat="1" ht="21.75" customHeight="1">
      <c r="J252" s="2838"/>
    </row>
    <row r="253" spans="10:10" s="659" customFormat="1" ht="21.75" customHeight="1">
      <c r="J253" s="2838"/>
    </row>
    <row r="254" spans="10:10" s="659" customFormat="1" ht="21.75" customHeight="1">
      <c r="J254" s="2838"/>
    </row>
    <row r="255" spans="10:10" s="659" customFormat="1" ht="21.75" customHeight="1">
      <c r="J255" s="2838"/>
    </row>
    <row r="256" spans="10:10" s="659" customFormat="1" ht="21.75" customHeight="1">
      <c r="J256" s="2838"/>
    </row>
    <row r="257" spans="10:10" s="659" customFormat="1" ht="21.75" customHeight="1">
      <c r="J257" s="2838"/>
    </row>
    <row r="258" spans="10:10" s="659" customFormat="1" ht="21.75" customHeight="1">
      <c r="J258" s="2838"/>
    </row>
    <row r="259" spans="10:10" s="659" customFormat="1" ht="21.75" customHeight="1">
      <c r="J259" s="2838"/>
    </row>
    <row r="260" spans="10:10" s="659" customFormat="1" ht="21.75" customHeight="1">
      <c r="J260" s="2838"/>
    </row>
    <row r="261" spans="10:10" s="659" customFormat="1" ht="21.75" customHeight="1">
      <c r="J261" s="2838"/>
    </row>
    <row r="262" spans="10:10" s="659" customFormat="1" ht="21.75" customHeight="1">
      <c r="J262" s="2838"/>
    </row>
    <row r="263" spans="10:10" s="659" customFormat="1" ht="21.75" customHeight="1">
      <c r="J263" s="2838"/>
    </row>
    <row r="264" spans="10:10" s="659" customFormat="1" ht="21.75" customHeight="1">
      <c r="J264" s="2838"/>
    </row>
    <row r="265" spans="10:10" s="659" customFormat="1" ht="21.75" customHeight="1">
      <c r="J265" s="2838"/>
    </row>
    <row r="266" spans="10:10" s="659" customFormat="1" ht="21.75" customHeight="1">
      <c r="J266" s="2838"/>
    </row>
    <row r="267" spans="10:10" s="659" customFormat="1" ht="21.75" customHeight="1">
      <c r="J267" s="2838"/>
    </row>
    <row r="268" spans="10:10" s="659" customFormat="1" ht="21.75" customHeight="1">
      <c r="J268" s="2838"/>
    </row>
    <row r="269" spans="10:10" s="659" customFormat="1" ht="21.75" customHeight="1">
      <c r="J269" s="2838"/>
    </row>
    <row r="270" spans="10:10" s="659" customFormat="1" ht="21.75" customHeight="1">
      <c r="J270" s="2838"/>
    </row>
    <row r="271" spans="10:10" s="659" customFormat="1" ht="21.75" customHeight="1">
      <c r="J271" s="2838"/>
    </row>
    <row r="272" spans="10:10" s="659" customFormat="1" ht="21.75" customHeight="1">
      <c r="J272" s="2838"/>
    </row>
    <row r="273" spans="10:10" s="659" customFormat="1" ht="21.75" customHeight="1">
      <c r="J273" s="2838"/>
    </row>
    <row r="274" spans="10:10" s="659" customFormat="1" ht="21.75" customHeight="1">
      <c r="J274" s="2838"/>
    </row>
    <row r="275" spans="10:10" s="659" customFormat="1" ht="21.75" customHeight="1">
      <c r="J275" s="2838"/>
    </row>
    <row r="276" spans="10:10" s="659" customFormat="1" ht="21.75" customHeight="1">
      <c r="J276" s="2838"/>
    </row>
    <row r="277" spans="10:10" s="659" customFormat="1" ht="21.75" customHeight="1">
      <c r="J277" s="2838"/>
    </row>
    <row r="278" spans="10:10" s="659" customFormat="1" ht="21.75" customHeight="1">
      <c r="J278" s="2838"/>
    </row>
    <row r="279" spans="10:10" s="659" customFormat="1" ht="21.75" customHeight="1">
      <c r="J279" s="2838"/>
    </row>
    <row r="280" spans="10:10" s="659" customFormat="1" ht="21.75" customHeight="1">
      <c r="J280" s="2838"/>
    </row>
    <row r="281" spans="10:10" s="659" customFormat="1" ht="21.75" customHeight="1">
      <c r="J281" s="2838"/>
    </row>
    <row r="282" spans="10:10" s="659" customFormat="1" ht="21.75" customHeight="1">
      <c r="J282" s="2838"/>
    </row>
    <row r="283" spans="10:10" s="659" customFormat="1" ht="21.75" customHeight="1">
      <c r="J283" s="2838"/>
    </row>
    <row r="284" spans="10:10" s="659" customFormat="1" ht="21.75" customHeight="1">
      <c r="J284" s="2838"/>
    </row>
    <row r="285" spans="10:10" s="659" customFormat="1" ht="21.75" customHeight="1">
      <c r="J285" s="2838"/>
    </row>
    <row r="286" spans="10:10" s="659" customFormat="1" ht="21.75" customHeight="1">
      <c r="J286" s="2838"/>
    </row>
    <row r="287" spans="10:10" s="659" customFormat="1" ht="21.75" customHeight="1">
      <c r="J287" s="2838"/>
    </row>
    <row r="288" spans="10:10" s="659" customFormat="1" ht="21.75" customHeight="1">
      <c r="J288" s="2838"/>
    </row>
    <row r="289" spans="10:10" s="659" customFormat="1" ht="21.75" customHeight="1">
      <c r="J289" s="2838"/>
    </row>
    <row r="290" spans="10:10" s="659" customFormat="1" ht="21.75" customHeight="1">
      <c r="J290" s="2838"/>
    </row>
    <row r="291" spans="10:10" s="659" customFormat="1" ht="21.75" customHeight="1">
      <c r="J291" s="2838"/>
    </row>
    <row r="292" spans="10:10" s="659" customFormat="1" ht="21.75" customHeight="1">
      <c r="J292" s="2838"/>
    </row>
    <row r="293" spans="10:10" s="659" customFormat="1" ht="21.75" customHeight="1">
      <c r="J293" s="2838"/>
    </row>
    <row r="294" spans="10:10" s="659" customFormat="1" ht="21.75" customHeight="1">
      <c r="J294" s="2838"/>
    </row>
    <row r="295" spans="10:10" s="659" customFormat="1" ht="21.75" customHeight="1">
      <c r="J295" s="2838"/>
    </row>
    <row r="296" spans="10:10" s="659" customFormat="1" ht="21.75" customHeight="1">
      <c r="J296" s="2838"/>
    </row>
    <row r="297" spans="10:10" s="659" customFormat="1" ht="21.75" customHeight="1">
      <c r="J297" s="2838"/>
    </row>
    <row r="298" spans="10:10" s="659" customFormat="1" ht="21.75" customHeight="1">
      <c r="J298" s="2838"/>
    </row>
    <row r="299" spans="10:10" s="659" customFormat="1" ht="21.75" customHeight="1">
      <c r="J299" s="2838"/>
    </row>
    <row r="300" spans="10:10" s="659" customFormat="1" ht="21.75" customHeight="1">
      <c r="J300" s="2838"/>
    </row>
    <row r="301" spans="10:10" s="659" customFormat="1" ht="21.75" customHeight="1">
      <c r="J301" s="2838"/>
    </row>
    <row r="302" spans="10:10" s="659" customFormat="1" ht="21.75" customHeight="1">
      <c r="J302" s="2838"/>
    </row>
    <row r="303" spans="10:10" s="659" customFormat="1" ht="21.75" customHeight="1">
      <c r="J303" s="2838"/>
    </row>
    <row r="304" spans="10:10" s="659" customFormat="1" ht="21.75" customHeight="1">
      <c r="J304" s="2838"/>
    </row>
    <row r="305" spans="10:10" s="659" customFormat="1" ht="21.75" customHeight="1">
      <c r="J305" s="2838"/>
    </row>
    <row r="306" spans="10:10" s="659" customFormat="1" ht="21.75" customHeight="1">
      <c r="J306" s="2838"/>
    </row>
    <row r="307" spans="10:10" s="659" customFormat="1" ht="21.75" customHeight="1">
      <c r="J307" s="2838"/>
    </row>
    <row r="308" spans="10:10" s="659" customFormat="1" ht="21.75" customHeight="1">
      <c r="J308" s="2838"/>
    </row>
    <row r="309" spans="10:10" s="659" customFormat="1" ht="21.75" customHeight="1">
      <c r="J309" s="2838"/>
    </row>
    <row r="310" spans="10:10" s="659" customFormat="1" ht="21.75" customHeight="1">
      <c r="J310" s="2838"/>
    </row>
    <row r="311" spans="10:10" s="659" customFormat="1" ht="21.75" customHeight="1">
      <c r="J311" s="2838"/>
    </row>
    <row r="312" spans="10:10" s="659" customFormat="1" ht="21.75" customHeight="1">
      <c r="J312" s="2838"/>
    </row>
    <row r="313" spans="10:10" s="659" customFormat="1" ht="21.75" customHeight="1">
      <c r="J313" s="2838"/>
    </row>
    <row r="314" spans="10:10" s="659" customFormat="1" ht="21.75" customHeight="1">
      <c r="J314" s="2838"/>
    </row>
    <row r="315" spans="10:10" s="659" customFormat="1" ht="21.75" customHeight="1">
      <c r="J315" s="2838"/>
    </row>
    <row r="316" spans="10:10" s="659" customFormat="1" ht="21.75" customHeight="1">
      <c r="J316" s="2838"/>
    </row>
    <row r="317" spans="10:10" s="659" customFormat="1" ht="21.75" customHeight="1">
      <c r="J317" s="2838"/>
    </row>
    <row r="318" spans="10:10" s="659" customFormat="1" ht="21.75" customHeight="1">
      <c r="J318" s="2838"/>
    </row>
    <row r="319" spans="10:10" s="659" customFormat="1" ht="21.75" customHeight="1">
      <c r="J319" s="2838"/>
    </row>
    <row r="320" spans="10:10" s="659" customFormat="1" ht="21.75" customHeight="1">
      <c r="J320" s="2838"/>
    </row>
    <row r="321" spans="10:10" s="659" customFormat="1" ht="21.75" customHeight="1">
      <c r="J321" s="2838"/>
    </row>
    <row r="322" spans="10:10" s="659" customFormat="1" ht="21.75" customHeight="1">
      <c r="J322" s="2838"/>
    </row>
    <row r="323" spans="10:10" s="659" customFormat="1" ht="21.75" customHeight="1">
      <c r="J323" s="2838"/>
    </row>
    <row r="324" spans="10:10" s="659" customFormat="1" ht="21.75" customHeight="1">
      <c r="J324" s="2838"/>
    </row>
    <row r="325" spans="10:10" s="659" customFormat="1" ht="21.75" customHeight="1">
      <c r="J325" s="2838"/>
    </row>
    <row r="326" spans="10:10" s="659" customFormat="1" ht="21.75" customHeight="1">
      <c r="J326" s="2838"/>
    </row>
    <row r="327" spans="10:10" s="659" customFormat="1" ht="21.75" customHeight="1">
      <c r="J327" s="2838"/>
    </row>
    <row r="328" spans="10:10" s="659" customFormat="1" ht="21.75" customHeight="1">
      <c r="J328" s="2838"/>
    </row>
    <row r="329" spans="10:10" s="659" customFormat="1" ht="21.75" customHeight="1">
      <c r="J329" s="2838"/>
    </row>
    <row r="330" spans="10:10" s="659" customFormat="1" ht="21.75" customHeight="1">
      <c r="J330" s="2838"/>
    </row>
    <row r="331" spans="10:10" s="659" customFormat="1" ht="21.75" customHeight="1">
      <c r="J331" s="2838"/>
    </row>
    <row r="332" spans="10:10" s="659" customFormat="1" ht="21.75" customHeight="1">
      <c r="J332" s="2838"/>
    </row>
    <row r="333" spans="10:10" s="659" customFormat="1" ht="21.75" customHeight="1">
      <c r="J333" s="2838"/>
    </row>
    <row r="334" spans="10:10" s="659" customFormat="1" ht="21.75" customHeight="1">
      <c r="J334" s="2838"/>
    </row>
    <row r="335" spans="10:10" s="659" customFormat="1" ht="21.75" customHeight="1">
      <c r="J335" s="2838"/>
    </row>
    <row r="336" spans="10:10" s="659" customFormat="1" ht="21.75" customHeight="1">
      <c r="J336" s="2838"/>
    </row>
    <row r="337" spans="10:10" s="659" customFormat="1" ht="21.75" customHeight="1">
      <c r="J337" s="2838"/>
    </row>
    <row r="338" spans="10:10" s="659" customFormat="1" ht="21.75" customHeight="1">
      <c r="J338" s="2838"/>
    </row>
    <row r="339" spans="10:10" s="659" customFormat="1" ht="21.75" customHeight="1">
      <c r="J339" s="2838"/>
    </row>
    <row r="340" spans="10:10" s="659" customFormat="1" ht="21.75" customHeight="1">
      <c r="J340" s="2838"/>
    </row>
    <row r="341" spans="10:10" s="659" customFormat="1" ht="21.75" customHeight="1">
      <c r="J341" s="2838"/>
    </row>
    <row r="342" spans="10:10" s="659" customFormat="1" ht="21.75" customHeight="1">
      <c r="J342" s="2838"/>
    </row>
    <row r="343" spans="10:10" s="659" customFormat="1" ht="21.75" customHeight="1">
      <c r="J343" s="2838"/>
    </row>
    <row r="344" spans="10:10" s="659" customFormat="1" ht="21.75" customHeight="1">
      <c r="J344" s="2838"/>
    </row>
    <row r="345" spans="10:10" s="659" customFormat="1" ht="21.75" customHeight="1">
      <c r="J345" s="2838"/>
    </row>
    <row r="346" spans="10:10" s="659" customFormat="1" ht="21.75" customHeight="1">
      <c r="J346" s="2838"/>
    </row>
    <row r="347" spans="10:10" s="659" customFormat="1" ht="21.75" customHeight="1">
      <c r="J347" s="2838"/>
    </row>
    <row r="348" spans="10:10" s="659" customFormat="1" ht="21.75" customHeight="1">
      <c r="J348" s="2838"/>
    </row>
    <row r="349" spans="10:10" s="659" customFormat="1" ht="21.75" customHeight="1">
      <c r="J349" s="2838"/>
    </row>
    <row r="350" spans="10:10" s="659" customFormat="1" ht="21.75" customHeight="1">
      <c r="J350" s="2838"/>
    </row>
    <row r="351" spans="10:10" s="659" customFormat="1" ht="21.75" customHeight="1">
      <c r="J351" s="2838"/>
    </row>
    <row r="352" spans="10:10" s="659" customFormat="1" ht="21.75" customHeight="1">
      <c r="J352" s="2838"/>
    </row>
    <row r="353" spans="10:10" s="659" customFormat="1" ht="21.75" customHeight="1">
      <c r="J353" s="2838"/>
    </row>
    <row r="354" spans="10:10" s="659" customFormat="1" ht="21.75" customHeight="1">
      <c r="J354" s="2838"/>
    </row>
    <row r="355" spans="10:10" s="659" customFormat="1" ht="21.75" customHeight="1">
      <c r="J355" s="2838"/>
    </row>
    <row r="356" spans="10:10" s="659" customFormat="1" ht="21.75" customHeight="1">
      <c r="J356" s="2838"/>
    </row>
    <row r="357" spans="10:10" s="659" customFormat="1" ht="21.75" customHeight="1">
      <c r="J357" s="2838"/>
    </row>
    <row r="358" spans="10:10" s="659" customFormat="1" ht="21.75" customHeight="1">
      <c r="J358" s="2838"/>
    </row>
    <row r="359" spans="10:10" s="659" customFormat="1" ht="21.75" customHeight="1">
      <c r="J359" s="2838"/>
    </row>
    <row r="360" spans="10:10" s="659" customFormat="1" ht="21.75" customHeight="1">
      <c r="J360" s="2838"/>
    </row>
    <row r="361" spans="10:10" s="659" customFormat="1" ht="21.75" customHeight="1">
      <c r="J361" s="2838"/>
    </row>
    <row r="362" spans="10:10" s="659" customFormat="1" ht="21.75" customHeight="1">
      <c r="J362" s="2838"/>
    </row>
    <row r="363" spans="10:10" s="659" customFormat="1" ht="21.75" customHeight="1">
      <c r="J363" s="2838"/>
    </row>
    <row r="364" spans="10:10" s="659" customFormat="1" ht="21.75" customHeight="1">
      <c r="J364" s="2838"/>
    </row>
    <row r="365" spans="10:10" s="659" customFormat="1" ht="21.75" customHeight="1">
      <c r="J365" s="2838"/>
    </row>
    <row r="366" spans="10:10" s="659" customFormat="1" ht="21.75" customHeight="1">
      <c r="J366" s="2838"/>
    </row>
    <row r="367" spans="10:10" s="659" customFormat="1" ht="21.75" customHeight="1">
      <c r="J367" s="2838"/>
    </row>
    <row r="368" spans="10:10" s="659" customFormat="1" ht="21.75" customHeight="1">
      <c r="J368" s="2838"/>
    </row>
    <row r="369" spans="10:27" s="659" customFormat="1" ht="21.75" customHeight="1">
      <c r="J369" s="2838"/>
    </row>
    <row r="370" spans="10:27" s="659" customFormat="1" ht="21.75" customHeight="1">
      <c r="J370" s="2838"/>
    </row>
    <row r="371" spans="10:27" s="659" customFormat="1" ht="21.75" customHeight="1">
      <c r="J371" s="2838"/>
    </row>
    <row r="372" spans="10:27" s="659" customFormat="1" ht="21.75" customHeight="1">
      <c r="J372" s="2838"/>
    </row>
    <row r="373" spans="10:27" s="659" customFormat="1" ht="21.75" customHeight="1">
      <c r="J373" s="2838"/>
    </row>
    <row r="374" spans="10:27" s="659" customFormat="1" ht="21.75" customHeight="1">
      <c r="J374" s="2838"/>
    </row>
    <row r="375" spans="10:27" s="659" customFormat="1" ht="21.75" customHeight="1">
      <c r="J375" s="2838"/>
    </row>
    <row r="376" spans="10:27" s="659" customFormat="1" ht="21.75" customHeight="1">
      <c r="J376" s="2838"/>
    </row>
    <row r="377" spans="10:27" s="659" customFormat="1" ht="21.75" customHeight="1">
      <c r="J377" s="2838"/>
    </row>
    <row r="378" spans="10:27" s="659" customFormat="1" ht="21.75" customHeight="1">
      <c r="J378" s="2838"/>
    </row>
    <row r="379" spans="10:27" s="659" customFormat="1" ht="21.75" customHeight="1">
      <c r="J379" s="2838"/>
    </row>
    <row r="380" spans="10:27" s="659" customFormat="1" ht="21.75" customHeight="1">
      <c r="J380" s="2838"/>
    </row>
    <row r="381" spans="10:27" s="659" customFormat="1" ht="21.75" customHeight="1">
      <c r="J381" s="2838"/>
    </row>
    <row r="382" spans="10:27" s="659" customFormat="1" ht="21.75" customHeight="1">
      <c r="J382" s="2838"/>
    </row>
    <row r="383" spans="10:27" s="1278" customFormat="1" ht="21.75" customHeight="1">
      <c r="J383" s="2808"/>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8"/>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8"/>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8"/>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8"/>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8"/>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8"/>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8"/>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8"/>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8"/>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8"/>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8"/>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8"/>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8"/>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8"/>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8"/>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8"/>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8"/>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8"/>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8"/>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8"/>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8"/>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8"/>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8"/>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8"/>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8"/>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8"/>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8"/>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8"/>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8"/>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8"/>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8"/>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8"/>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8"/>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8"/>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8"/>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8"/>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8"/>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8"/>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8"/>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8"/>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8"/>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8"/>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8"/>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8"/>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8"/>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8"/>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8"/>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8"/>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8"/>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8"/>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8"/>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8"/>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8"/>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8"/>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8"/>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8"/>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8"/>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8"/>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8"/>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8"/>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8"/>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8"/>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8"/>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8"/>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8"/>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8"/>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8"/>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8"/>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8"/>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8"/>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8"/>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8"/>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8"/>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8"/>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8"/>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8"/>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8"/>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8"/>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8"/>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8"/>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8"/>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8"/>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8"/>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8"/>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8"/>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8"/>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8"/>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8"/>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8"/>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8"/>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8"/>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8"/>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8"/>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8"/>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8"/>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8"/>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8"/>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8"/>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8"/>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8"/>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8"/>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8"/>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8"/>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8"/>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8"/>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8"/>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8"/>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8"/>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8"/>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8"/>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8"/>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8"/>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8"/>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8"/>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8"/>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8"/>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8"/>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8"/>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8"/>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8"/>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8"/>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8"/>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8"/>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8"/>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8"/>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8"/>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8"/>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8"/>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8"/>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8"/>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8"/>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8"/>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8"/>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8"/>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8"/>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8"/>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0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880</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24241</v>
      </c>
      <c r="C3" s="1371" t="s">
        <v>1233</v>
      </c>
      <c r="D3" s="924"/>
      <c r="E3" s="924"/>
      <c r="F3" s="924"/>
      <c r="G3" s="924"/>
      <c r="H3" s="924"/>
      <c r="I3" s="924"/>
      <c r="J3" s="924"/>
      <c r="K3" s="924"/>
    </row>
    <row r="4" spans="1:33" s="143" customFormat="1" ht="16.5" customHeight="1">
      <c r="A4" s="140" t="s">
        <v>1234</v>
      </c>
      <c r="B4" s="141"/>
      <c r="C4" s="1094">
        <f>SUM(C8:K8)</f>
        <v>12699400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362.84</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12699400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1269940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38098</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10885</v>
      </c>
      <c r="D14" s="164">
        <f>IF(C1="仅计算典型户型",'数据-取费表'!E5,'数据-取费表'!B5)</f>
        <v>362.84</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19049</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1337972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362.84</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362.84</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1337972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26759</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38098</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210424</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210424</v>
      </c>
      <c r="D30" s="193"/>
      <c r="E30" s="206"/>
      <c r="F30" s="203"/>
      <c r="G30" s="147"/>
      <c r="H30" s="170"/>
      <c r="I30" s="170"/>
      <c r="J30" s="170"/>
      <c r="K30" s="171"/>
    </row>
    <row r="31" spans="1:33" s="182" customFormat="1" ht="13.5" customHeight="1" thickBot="1">
      <c r="A31" s="1373" t="s">
        <v>1290</v>
      </c>
      <c r="B31" s="177" t="s">
        <v>1291</v>
      </c>
      <c r="C31" s="207">
        <f>ROUND(C4*F31/(1+'数据-取费表'!F30),0)</f>
        <v>677301</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8795712</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73" zoomScale="90" zoomScaleNormal="70" zoomScaleSheetLayoutView="90" workbookViewId="0">
      <selection activeCell="C94" sqref="C94:F94"/>
    </sheetView>
  </sheetViews>
  <sheetFormatPr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5" customWidth="1"/>
    <col min="12" max="12" width="12.25" style="1876" customWidth="1"/>
    <col min="13" max="15" width="12.25" style="1637" customWidth="1"/>
    <col min="16" max="16" width="4.75" style="1772"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t="s">
        <v>2688</v>
      </c>
      <c r="D1" s="1610"/>
      <c r="E1" s="1611" t="s">
        <v>2686</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IF(D2="——",IF(C2="元",ROUND(C49*D3,0),ROUND(C49*D3/10000,0)),IF(C2="元",ROUND(C49*D3,0),ROUND(C49*D3/10000,0))-E2)</f>
        <v>#DIV/0!</v>
      </c>
      <c r="C2" s="1621" t="str">
        <f>'数据-取费表'!B3</f>
        <v>万元</v>
      </c>
      <c r="D2" s="1622" t="s">
        <v>1184</v>
      </c>
      <c r="E2" s="1623" t="e">
        <f ca="1">SUMIF(INDIRECT("'"&amp;G2&amp;"'"&amp;"!A:A"),"承租人权益价值",INDIRECT("'"&amp;G2&amp;"'"&amp;"!c:c"))</f>
        <v>#REF!</v>
      </c>
      <c r="F2" s="1624" t="str">
        <f>C2</f>
        <v>万元</v>
      </c>
      <c r="G2" s="1625"/>
      <c r="H2" s="2958"/>
      <c r="I2" s="2958"/>
      <c r="J2" s="2958"/>
      <c r="K2" s="2959"/>
      <c r="L2" s="2960"/>
      <c r="M2" s="2958"/>
      <c r="N2" s="2958"/>
      <c r="O2" s="2958"/>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ROUND(IF(D2="——",C49,IF(C2="万元",B2*10000/D3,B2/D3)),0)</f>
        <v>#DIV/0!</v>
      </c>
      <c r="C3" s="1630" t="s">
        <v>2188</v>
      </c>
      <c r="D3" s="1630">
        <f>IF(C1="仅计算典型户型",'数据-取费表'!E5,'数据-取费表'!B5)</f>
        <v>362.84</v>
      </c>
      <c r="E3" s="2958"/>
      <c r="F3" s="2961"/>
      <c r="G3" s="2958"/>
      <c r="H3" s="2958"/>
      <c r="I3" s="2958"/>
      <c r="J3" s="2958"/>
      <c r="K3" s="2959"/>
      <c r="L3" s="2960"/>
      <c r="M3" s="2958"/>
      <c r="N3" s="2958"/>
      <c r="O3" s="2958"/>
      <c r="P3" s="1631"/>
      <c r="Q3" s="1627"/>
      <c r="R3" s="1627"/>
      <c r="S3" s="1627"/>
      <c r="T3" s="1627"/>
      <c r="U3" s="1627"/>
      <c r="V3" s="1627"/>
      <c r="W3" s="1627"/>
      <c r="X3" s="1627"/>
      <c r="Y3" s="1627"/>
      <c r="Z3" s="1627"/>
      <c r="AA3" s="1627"/>
      <c r="AB3" s="1627"/>
      <c r="AC3" s="1632"/>
    </row>
    <row r="4" spans="1:29" ht="15">
      <c r="A4" s="1633" t="s">
        <v>2189</v>
      </c>
      <c r="B4" s="1634"/>
      <c r="C4" s="3606" t="s">
        <v>2190</v>
      </c>
      <c r="D4" s="3607"/>
      <c r="E4" s="3608" t="s">
        <v>2191</v>
      </c>
      <c r="F4" s="3609"/>
      <c r="G4" s="3606" t="s">
        <v>2192</v>
      </c>
      <c r="H4" s="3607"/>
      <c r="I4" s="3606" t="s">
        <v>2193</v>
      </c>
      <c r="J4" s="3607"/>
      <c r="K4" s="1635" t="s">
        <v>2194</v>
      </c>
      <c r="L4" s="2962"/>
      <c r="M4" s="2963"/>
      <c r="N4" s="2963"/>
      <c r="O4" s="2963"/>
      <c r="P4" s="3610" t="s">
        <v>2195</v>
      </c>
      <c r="Q4" s="3611"/>
      <c r="R4" s="3591" t="s">
        <v>2191</v>
      </c>
      <c r="S4" s="3592"/>
      <c r="T4" s="3591" t="s">
        <v>2192</v>
      </c>
      <c r="U4" s="3592"/>
      <c r="V4" s="3616" t="s">
        <v>2193</v>
      </c>
      <c r="W4" s="3616"/>
      <c r="X4" s="1636"/>
      <c r="Y4" s="3591" t="s">
        <v>2195</v>
      </c>
      <c r="Z4" s="3592"/>
      <c r="AA4" s="3603" t="s">
        <v>2191</v>
      </c>
      <c r="AB4" s="3603" t="s">
        <v>2192</v>
      </c>
      <c r="AC4" s="3603" t="s">
        <v>2193</v>
      </c>
    </row>
    <row r="5" spans="1:29" ht="15">
      <c r="A5" s="1638"/>
      <c r="B5" s="1639"/>
      <c r="C5" s="3617" t="s">
        <v>2196</v>
      </c>
      <c r="D5" s="3618"/>
      <c r="E5" s="3621" t="s">
        <v>3007</v>
      </c>
      <c r="F5" s="3622"/>
      <c r="G5" s="3599" t="s">
        <v>3008</v>
      </c>
      <c r="H5" s="3600"/>
      <c r="I5" s="3599" t="s">
        <v>3009</v>
      </c>
      <c r="J5" s="3600"/>
      <c r="K5" s="1640"/>
      <c r="L5" s="2962"/>
      <c r="M5" s="2963"/>
      <c r="N5" s="2963"/>
      <c r="O5" s="2963"/>
      <c r="P5" s="3612"/>
      <c r="Q5" s="3613"/>
      <c r="R5" s="3593"/>
      <c r="S5" s="3594"/>
      <c r="T5" s="3593"/>
      <c r="U5" s="3594"/>
      <c r="V5" s="3616"/>
      <c r="W5" s="3616"/>
      <c r="X5" s="1636"/>
      <c r="Y5" s="3593"/>
      <c r="Z5" s="3594"/>
      <c r="AA5" s="3604"/>
      <c r="AB5" s="3604"/>
      <c r="AC5" s="3604"/>
    </row>
    <row r="6" spans="1:29" ht="15.75" thickBot="1">
      <c r="A6" s="1641"/>
      <c r="B6" s="1642"/>
      <c r="C6" s="3573" t="s">
        <v>2200</v>
      </c>
      <c r="D6" s="3574"/>
      <c r="E6" s="3619" t="s">
        <v>2200</v>
      </c>
      <c r="F6" s="3620"/>
      <c r="G6" s="3573" t="s">
        <v>2200</v>
      </c>
      <c r="H6" s="3574"/>
      <c r="I6" s="3573" t="s">
        <v>2200</v>
      </c>
      <c r="J6" s="3574"/>
      <c r="K6" s="1640" t="s">
        <v>2201</v>
      </c>
      <c r="L6" s="2962"/>
      <c r="M6" s="2963"/>
      <c r="N6" s="2963"/>
      <c r="O6" s="2963"/>
      <c r="P6" s="3614"/>
      <c r="Q6" s="3615"/>
      <c r="R6" s="3593"/>
      <c r="S6" s="3594"/>
      <c r="T6" s="3595"/>
      <c r="U6" s="3596"/>
      <c r="V6" s="3616"/>
      <c r="W6" s="3616"/>
      <c r="X6" s="1636"/>
      <c r="Y6" s="3595"/>
      <c r="Z6" s="3596"/>
      <c r="AA6" s="3605"/>
      <c r="AB6" s="3605"/>
      <c r="AC6" s="3605"/>
    </row>
    <row r="7" spans="1:29" s="1655" customFormat="1" ht="15.75" thickBot="1">
      <c r="A7" s="1643" t="s">
        <v>2202</v>
      </c>
      <c r="B7" s="1644"/>
      <c r="C7" s="1645">
        <f>'数据-取费表'!B2</f>
        <v>44616</v>
      </c>
      <c r="D7" s="1646">
        <v>100</v>
      </c>
      <c r="E7" s="3321">
        <v>44554</v>
      </c>
      <c r="F7" s="1648">
        <f>SUMIF(58:58,YEAR(E7)&amp;"-"&amp;MONTH(E7),59:59)</f>
        <v>100</v>
      </c>
      <c r="G7" s="1647">
        <f>E7</f>
        <v>44554</v>
      </c>
      <c r="H7" s="1646">
        <f>SUMIF(58:58,YEAR(G7)&amp;"-"&amp;MONTH(G7),59:59)</f>
        <v>100</v>
      </c>
      <c r="I7" s="1647">
        <f>G7</f>
        <v>44554</v>
      </c>
      <c r="J7" s="1646">
        <f>SUMIF(58:58,YEAR(I7)&amp;"-"&amp;MONTH(I7),59:59)</f>
        <v>100</v>
      </c>
      <c r="K7" s="1649"/>
      <c r="L7" s="2962"/>
      <c r="M7" s="2935"/>
      <c r="N7" s="2935"/>
      <c r="O7" s="2935"/>
      <c r="P7" s="3589" t="s">
        <v>2203</v>
      </c>
      <c r="Q7" s="3597"/>
      <c r="R7" s="1651" t="s">
        <v>34</v>
      </c>
      <c r="S7" s="1652">
        <f t="shared" ref="S7:S15" si="0">F7</f>
        <v>100</v>
      </c>
      <c r="T7" s="1651" t="s">
        <v>34</v>
      </c>
      <c r="U7" s="1652">
        <f t="shared" ref="U7:U15" si="1">H7</f>
        <v>100</v>
      </c>
      <c r="V7" s="1651" t="s">
        <v>34</v>
      </c>
      <c r="W7" s="1652">
        <f t="shared" ref="W7:W15" si="2">J7</f>
        <v>100</v>
      </c>
      <c r="X7" s="1653"/>
      <c r="Y7" s="3589" t="s">
        <v>2203</v>
      </c>
      <c r="Z7" s="3590"/>
      <c r="AA7" s="1654">
        <f>D7/F7</f>
        <v>1</v>
      </c>
      <c r="AB7" s="1654">
        <f>D7/H7</f>
        <v>1</v>
      </c>
      <c r="AC7" s="1654">
        <f>D7/J7</f>
        <v>1</v>
      </c>
    </row>
    <row r="8" spans="1:29" s="1655" customFormat="1" ht="15.75" thickBot="1">
      <c r="A8" s="1643" t="s">
        <v>2204</v>
      </c>
      <c r="B8" s="1644"/>
      <c r="C8" s="1656" t="s">
        <v>2205</v>
      </c>
      <c r="D8" s="1646">
        <v>100</v>
      </c>
      <c r="E8" s="3322" t="s">
        <v>2823</v>
      </c>
      <c r="F8" s="1648">
        <f>SUMIF(61:61,E8,62:62)-SUMIF(61:61,C8,62:62)+100</f>
        <v>100</v>
      </c>
      <c r="G8" s="1656" t="s">
        <v>2823</v>
      </c>
      <c r="H8" s="1646">
        <f>SUMIF(61:61,G8,62:62)-SUMIF(61:61,C8,62:62)+100</f>
        <v>100</v>
      </c>
      <c r="I8" s="1656" t="s">
        <v>2823</v>
      </c>
      <c r="J8" s="1646">
        <f>SUMIF(61:61,I8,62:62)-SUMIF(61:61,C8,62:62)+100</f>
        <v>100</v>
      </c>
      <c r="K8" s="1649"/>
      <c r="L8" s="2962"/>
      <c r="M8" s="2935"/>
      <c r="N8" s="2935"/>
      <c r="O8" s="2935"/>
      <c r="P8" s="3589" t="s">
        <v>2206</v>
      </c>
      <c r="Q8" s="3590"/>
      <c r="R8" s="1651" t="s">
        <v>34</v>
      </c>
      <c r="S8" s="1652">
        <f t="shared" si="0"/>
        <v>100</v>
      </c>
      <c r="T8" s="1651" t="s">
        <v>34</v>
      </c>
      <c r="U8" s="1652">
        <f t="shared" si="1"/>
        <v>100</v>
      </c>
      <c r="V8" s="1651" t="s">
        <v>34</v>
      </c>
      <c r="W8" s="1652">
        <f t="shared" si="2"/>
        <v>100</v>
      </c>
      <c r="X8" s="1653"/>
      <c r="Y8" s="3589" t="s">
        <v>2206</v>
      </c>
      <c r="Z8" s="3590"/>
      <c r="AA8" s="1654">
        <f t="shared" ref="AA8:AA46" si="3">D8/F8</f>
        <v>1</v>
      </c>
      <c r="AB8" s="1654">
        <f t="shared" ref="AB8:AB46" si="4">D8/H8</f>
        <v>1</v>
      </c>
      <c r="AC8" s="1654">
        <f t="shared" ref="AC8:AC46" si="5">D8/J8</f>
        <v>1</v>
      </c>
    </row>
    <row r="9" spans="1:29" s="1655" customFormat="1" ht="15">
      <c r="A9" s="1606" t="s">
        <v>2207</v>
      </c>
      <c r="B9" s="1657" t="s">
        <v>2208</v>
      </c>
      <c r="C9" s="3317" t="s">
        <v>2998</v>
      </c>
      <c r="D9" s="1659">
        <v>100</v>
      </c>
      <c r="E9" s="3340" t="s">
        <v>3010</v>
      </c>
      <c r="F9" s="1661">
        <f>SUMIF(63:63,E9,64:64)-SUMIF(63:63,C9,64:64)+100</f>
        <v>0</v>
      </c>
      <c r="G9" s="3320" t="s">
        <v>3020</v>
      </c>
      <c r="H9" s="1659">
        <f>SUMIF(63:63,G9,64:64)-SUMIF(63:63,C9,64:64)+100</f>
        <v>0</v>
      </c>
      <c r="I9" s="3320" t="s">
        <v>3020</v>
      </c>
      <c r="J9" s="1659">
        <f>SUMIF(63:63,I9,64:64)-SUMIF(63:63,C9,64:64)+100</f>
        <v>0</v>
      </c>
      <c r="K9" s="1649"/>
      <c r="L9" s="2962"/>
      <c r="M9" s="2935"/>
      <c r="N9" s="2935"/>
      <c r="O9" s="2935"/>
      <c r="P9" s="3598" t="s">
        <v>2209</v>
      </c>
      <c r="Q9" s="1605" t="str">
        <f t="shared" ref="Q9:Q15" si="6">B9</f>
        <v>用途</v>
      </c>
      <c r="R9" s="1651" t="s">
        <v>25</v>
      </c>
      <c r="S9" s="1652">
        <f t="shared" si="0"/>
        <v>0</v>
      </c>
      <c r="T9" s="1651" t="s">
        <v>25</v>
      </c>
      <c r="U9" s="1652">
        <f t="shared" si="1"/>
        <v>0</v>
      </c>
      <c r="V9" s="1651" t="s">
        <v>25</v>
      </c>
      <c r="W9" s="1652">
        <f t="shared" si="2"/>
        <v>0</v>
      </c>
      <c r="X9" s="1653"/>
      <c r="Y9" s="3469" t="s">
        <v>2210</v>
      </c>
      <c r="Z9" s="1663" t="str">
        <f t="shared" ref="Z9:Z15" si="7">Q9</f>
        <v>用途</v>
      </c>
      <c r="AA9" s="1654" t="e">
        <f t="shared" si="3"/>
        <v>#DIV/0!</v>
      </c>
      <c r="AB9" s="1654" t="e">
        <f t="shared" si="4"/>
        <v>#DIV/0!</v>
      </c>
      <c r="AC9" s="1654" t="e">
        <f t="shared" si="5"/>
        <v>#DIV/0!</v>
      </c>
    </row>
    <row r="10" spans="1:29" s="1671" customFormat="1" ht="27">
      <c r="A10" s="1664"/>
      <c r="B10" s="1665" t="s">
        <v>2211</v>
      </c>
      <c r="C10" s="1666" t="s">
        <v>2997</v>
      </c>
      <c r="D10" s="1667">
        <v>100</v>
      </c>
      <c r="E10" s="3323" t="s">
        <v>3011</v>
      </c>
      <c r="F10" s="1669">
        <f>SUMIF(65:65,E10,66:66)-SUMIF(65:65,C10,66:66)+100</f>
        <v>100</v>
      </c>
      <c r="G10" s="1666" t="s">
        <v>3011</v>
      </c>
      <c r="H10" s="1667">
        <f>SUMIF(65:65,G10,66:66)-SUMIF(65:65,C10,66:66)+100</f>
        <v>100</v>
      </c>
      <c r="I10" s="1666" t="s">
        <v>3011</v>
      </c>
      <c r="J10" s="1667">
        <f>SUMIF(65:65,I10,66:66)-SUMIF(65:65,C10,66:66)+100</f>
        <v>100</v>
      </c>
      <c r="K10" s="1670"/>
      <c r="L10" s="2964"/>
      <c r="M10" s="2965"/>
      <c r="N10" s="2965"/>
      <c r="O10" s="2965"/>
      <c r="P10" s="3598"/>
      <c r="Q10" s="1605" t="str">
        <f t="shared" si="6"/>
        <v>土地使用年限（年）</v>
      </c>
      <c r="R10" s="1651" t="s">
        <v>25</v>
      </c>
      <c r="S10" s="1652">
        <f t="shared" si="0"/>
        <v>100</v>
      </c>
      <c r="T10" s="1651" t="s">
        <v>25</v>
      </c>
      <c r="U10" s="1652">
        <f t="shared" si="1"/>
        <v>100</v>
      </c>
      <c r="V10" s="1651" t="s">
        <v>25</v>
      </c>
      <c r="W10" s="1652">
        <f t="shared" si="2"/>
        <v>100</v>
      </c>
      <c r="X10" s="1653"/>
      <c r="Y10" s="3469"/>
      <c r="Z10" s="1663" t="str">
        <f t="shared" si="7"/>
        <v>土地使用年限（年）</v>
      </c>
      <c r="AA10" s="1654">
        <f t="shared" si="3"/>
        <v>1</v>
      </c>
      <c r="AB10" s="1654">
        <f t="shared" si="4"/>
        <v>1</v>
      </c>
      <c r="AC10" s="1654">
        <f t="shared" si="5"/>
        <v>1</v>
      </c>
    </row>
    <row r="11" spans="1:29" ht="15">
      <c r="A11" s="1672"/>
      <c r="B11" s="1665" t="s">
        <v>2212</v>
      </c>
      <c r="C11" s="1673"/>
      <c r="D11" s="1667">
        <v>100</v>
      </c>
      <c r="E11" s="3324"/>
      <c r="F11" s="1669">
        <f>LOOKUP(E11,68:68,69:69)-LOOKUP(C11,68:68,69:69)+100</f>
        <v>100</v>
      </c>
      <c r="G11" s="1673"/>
      <c r="H11" s="1667">
        <f>LOOKUP(G11,68:68,69:69)-LOOKUP(C11,68:68,69:69)+100</f>
        <v>100</v>
      </c>
      <c r="I11" s="1673"/>
      <c r="J11" s="1667">
        <f>LOOKUP(I11,68:68,69:69)-LOOKUP(C11,68:68,69:69)+100</f>
        <v>100</v>
      </c>
      <c r="K11" s="1670"/>
      <c r="L11" s="2966"/>
      <c r="M11" s="2963"/>
      <c r="N11" s="2963"/>
      <c r="O11" s="2963"/>
      <c r="P11" s="3598"/>
      <c r="Q11" s="1605" t="str">
        <f t="shared" si="6"/>
        <v>容积率</v>
      </c>
      <c r="R11" s="1651" t="s">
        <v>28</v>
      </c>
      <c r="S11" s="1652">
        <f t="shared" si="0"/>
        <v>100</v>
      </c>
      <c r="T11" s="1651" t="s">
        <v>28</v>
      </c>
      <c r="U11" s="1652">
        <f t="shared" si="1"/>
        <v>100</v>
      </c>
      <c r="V11" s="1651" t="s">
        <v>28</v>
      </c>
      <c r="W11" s="1652">
        <f t="shared" si="2"/>
        <v>100</v>
      </c>
      <c r="X11" s="1653"/>
      <c r="Y11" s="3469"/>
      <c r="Z11" s="1663" t="str">
        <f t="shared" si="7"/>
        <v>容积率</v>
      </c>
      <c r="AA11" s="1654">
        <f t="shared" si="3"/>
        <v>1</v>
      </c>
      <c r="AB11" s="1654">
        <f t="shared" si="4"/>
        <v>1</v>
      </c>
      <c r="AC11" s="1654">
        <f t="shared" si="5"/>
        <v>1</v>
      </c>
    </row>
    <row r="12" spans="1:29" s="1655" customFormat="1" ht="15">
      <c r="A12" s="1675"/>
      <c r="B12" s="1676">
        <v>111</v>
      </c>
      <c r="C12" s="1677"/>
      <c r="D12" s="1678">
        <v>100</v>
      </c>
      <c r="E12" s="3325"/>
      <c r="F12" s="1669">
        <f>SUMIF(70:70,E12,71:71)-SUMIF(70:70,C12,71:71)+100</f>
        <v>100</v>
      </c>
      <c r="G12" s="1680"/>
      <c r="H12" s="1667">
        <f>SUMIF(70:70,G12,71:71)-SUMIF(70:70,C12,71:71)+100</f>
        <v>100</v>
      </c>
      <c r="I12" s="1680"/>
      <c r="J12" s="1667">
        <f>SUMIF(70:70,I12,71:71)-SUMIF(70:70,C12,71:71)+100</f>
        <v>100</v>
      </c>
      <c r="K12" s="1679"/>
      <c r="L12" s="2962"/>
      <c r="M12" s="2935"/>
      <c r="N12" s="2935"/>
      <c r="O12" s="2935"/>
      <c r="P12" s="3598"/>
      <c r="Q12" s="1605">
        <f t="shared" si="6"/>
        <v>111</v>
      </c>
      <c r="R12" s="1651" t="s">
        <v>28</v>
      </c>
      <c r="S12" s="1652">
        <f t="shared" si="0"/>
        <v>100</v>
      </c>
      <c r="T12" s="1651" t="s">
        <v>28</v>
      </c>
      <c r="U12" s="1652">
        <f t="shared" si="1"/>
        <v>100</v>
      </c>
      <c r="V12" s="1651" t="s">
        <v>28</v>
      </c>
      <c r="W12" s="1652">
        <f t="shared" si="2"/>
        <v>100</v>
      </c>
      <c r="X12" s="1653"/>
      <c r="Y12" s="3469"/>
      <c r="Z12" s="1663">
        <f t="shared" si="7"/>
        <v>111</v>
      </c>
      <c r="AA12" s="1654">
        <f>D12/F12</f>
        <v>1</v>
      </c>
      <c r="AB12" s="1654">
        <f>D12/H12</f>
        <v>1</v>
      </c>
      <c r="AC12" s="1654">
        <f>D12/J12</f>
        <v>1</v>
      </c>
    </row>
    <row r="13" spans="1:29" ht="15">
      <c r="A13" s="1672"/>
      <c r="B13" s="1676">
        <v>111</v>
      </c>
      <c r="C13" s="1680"/>
      <c r="D13" s="1681">
        <v>100</v>
      </c>
      <c r="E13" s="3325"/>
      <c r="F13" s="1669">
        <f>SUMIF(72:72,E13,73:73)-SUMIF(72:72,C13,73:73)+100</f>
        <v>100</v>
      </c>
      <c r="G13" s="1680"/>
      <c r="H13" s="1681">
        <f>SUMIF(72:72,G13,73:73)-SUMIF(72:72,C13,73:73)+100</f>
        <v>100</v>
      </c>
      <c r="I13" s="1680"/>
      <c r="J13" s="1681">
        <f>SUMIF(72:72,I13,73:73)-SUMIF(72:72,C13,73:73)+100</f>
        <v>100</v>
      </c>
      <c r="K13" s="1679"/>
      <c r="L13" s="2967"/>
      <c r="M13" s="2963"/>
      <c r="N13" s="2963"/>
      <c r="O13" s="2963"/>
      <c r="P13" s="3598"/>
      <c r="Q13" s="1605">
        <f t="shared" si="6"/>
        <v>111</v>
      </c>
      <c r="R13" s="1651" t="s">
        <v>28</v>
      </c>
      <c r="S13" s="1652">
        <f t="shared" si="0"/>
        <v>100</v>
      </c>
      <c r="T13" s="1651" t="s">
        <v>28</v>
      </c>
      <c r="U13" s="1652">
        <f t="shared" si="1"/>
        <v>100</v>
      </c>
      <c r="V13" s="1651" t="s">
        <v>28</v>
      </c>
      <c r="W13" s="1652">
        <f t="shared" si="2"/>
        <v>100</v>
      </c>
      <c r="X13" s="1653"/>
      <c r="Y13" s="3469"/>
      <c r="Z13" s="1663">
        <f t="shared" si="7"/>
        <v>111</v>
      </c>
      <c r="AA13" s="1654">
        <f t="shared" si="3"/>
        <v>1</v>
      </c>
      <c r="AB13" s="1654">
        <f t="shared" si="4"/>
        <v>1</v>
      </c>
      <c r="AC13" s="1654">
        <f t="shared" si="5"/>
        <v>1</v>
      </c>
    </row>
    <row r="14" spans="1:29" ht="15.75" thickBot="1">
      <c r="A14" s="1682"/>
      <c r="B14" s="1683">
        <v>111</v>
      </c>
      <c r="C14" s="1684"/>
      <c r="D14" s="1685">
        <v>100</v>
      </c>
      <c r="E14" s="3325"/>
      <c r="F14" s="1686">
        <f>SUMIF(74:74,E14,75:75)-SUMIF(74:74,C14,75:75)+100</f>
        <v>100</v>
      </c>
      <c r="G14" s="1680"/>
      <c r="H14" s="1685">
        <f>SUMIF(74:74,G14,75:75)-SUMIF(74:74,C14,75:75)+100</f>
        <v>100</v>
      </c>
      <c r="I14" s="1680"/>
      <c r="J14" s="1685">
        <f>SUMIF(74:74,I14,75:75)-SUMIF(74:74,C14,75:75)+100</f>
        <v>100</v>
      </c>
      <c r="K14" s="1679"/>
      <c r="L14" s="2967"/>
      <c r="M14" s="2963"/>
      <c r="N14" s="2963"/>
      <c r="O14" s="2963"/>
      <c r="P14" s="3598"/>
      <c r="Q14" s="1605">
        <f t="shared" si="6"/>
        <v>111</v>
      </c>
      <c r="R14" s="1651" t="s">
        <v>28</v>
      </c>
      <c r="S14" s="1652">
        <f t="shared" si="0"/>
        <v>100</v>
      </c>
      <c r="T14" s="1651" t="s">
        <v>28</v>
      </c>
      <c r="U14" s="1652">
        <f t="shared" si="1"/>
        <v>100</v>
      </c>
      <c r="V14" s="1651" t="s">
        <v>28</v>
      </c>
      <c r="W14" s="1652">
        <f t="shared" si="2"/>
        <v>100</v>
      </c>
      <c r="X14" s="1653"/>
      <c r="Y14" s="3469"/>
      <c r="Z14" s="1663">
        <f t="shared" si="7"/>
        <v>111</v>
      </c>
      <c r="AA14" s="1654">
        <f t="shared" si="3"/>
        <v>1</v>
      </c>
      <c r="AB14" s="1654">
        <f t="shared" si="4"/>
        <v>1</v>
      </c>
      <c r="AC14" s="1654">
        <f t="shared" si="5"/>
        <v>1</v>
      </c>
    </row>
    <row r="15" spans="1:29" ht="99.75">
      <c r="A15" s="1687" t="s">
        <v>2213</v>
      </c>
      <c r="B15" s="1688" t="s">
        <v>1647</v>
      </c>
      <c r="C15" s="1689" t="str">
        <f>估价对象房地状况!C3</f>
        <v>估价对象周边居住用地比例、居住小区规模和社区发展完善程度，综合评价居住社区成熟度一般</v>
      </c>
      <c r="D15" s="1690">
        <v>100</v>
      </c>
      <c r="E15" s="3326"/>
      <c r="F15" s="1692">
        <f>SUMIF(76:76,E16,77:77)-SUMIF(76:76,C16,77:77)+100</f>
        <v>200</v>
      </c>
      <c r="G15" s="1693"/>
      <c r="H15" s="1690">
        <f>SUMIF(76:76,G16,77:77)-SUMIF(76:76,C16,77:77)+100</f>
        <v>200</v>
      </c>
      <c r="I15" s="1691"/>
      <c r="J15" s="1690">
        <f>SUMIF(76:76,I16,77:77)-SUMIF(76:76,C16,77:77)+100</f>
        <v>200</v>
      </c>
      <c r="K15" s="1694"/>
      <c r="L15" s="2967"/>
      <c r="M15" s="2963"/>
      <c r="N15" s="2963"/>
      <c r="O15" s="2963"/>
      <c r="P15" s="3601" t="s">
        <v>2214</v>
      </c>
      <c r="Q15" s="1586" t="str">
        <f t="shared" si="6"/>
        <v>居住社区成熟度</v>
      </c>
      <c r="R15" s="1695" t="s">
        <v>28</v>
      </c>
      <c r="S15" s="1696">
        <f t="shared" si="0"/>
        <v>200</v>
      </c>
      <c r="T15" s="1695" t="s">
        <v>28</v>
      </c>
      <c r="U15" s="1696">
        <f t="shared" si="1"/>
        <v>200</v>
      </c>
      <c r="V15" s="1695" t="s">
        <v>28</v>
      </c>
      <c r="W15" s="1696">
        <f t="shared" si="2"/>
        <v>200</v>
      </c>
      <c r="X15" s="1636"/>
      <c r="Y15" s="3582" t="s">
        <v>2214</v>
      </c>
      <c r="Z15" s="1697" t="str">
        <f t="shared" si="7"/>
        <v>居住社区成熟度</v>
      </c>
      <c r="AA15" s="1698">
        <f t="shared" si="3"/>
        <v>0.5</v>
      </c>
      <c r="AB15" s="1698">
        <f t="shared" si="4"/>
        <v>0.5</v>
      </c>
      <c r="AC15" s="1698">
        <f t="shared" si="5"/>
        <v>0.5</v>
      </c>
    </row>
    <row r="16" spans="1:29" ht="15">
      <c r="A16" s="1672"/>
      <c r="B16" s="1699"/>
      <c r="C16" s="1700"/>
      <c r="D16" s="1701"/>
      <c r="E16" s="3327" t="s">
        <v>29</v>
      </c>
      <c r="F16" s="1703"/>
      <c r="G16" s="1700" t="s">
        <v>30</v>
      </c>
      <c r="H16" s="1705"/>
      <c r="I16" s="1700" t="s">
        <v>30</v>
      </c>
      <c r="J16" s="1701"/>
      <c r="K16" s="1706"/>
      <c r="L16" s="2967"/>
      <c r="M16" s="2963"/>
      <c r="N16" s="2963"/>
      <c r="O16" s="2963"/>
      <c r="P16" s="3602"/>
      <c r="Q16" s="1586"/>
      <c r="R16" s="1695"/>
      <c r="S16" s="1696"/>
      <c r="T16" s="1695"/>
      <c r="U16" s="1696"/>
      <c r="V16" s="1695"/>
      <c r="W16" s="1696"/>
      <c r="X16" s="1636"/>
      <c r="Y16" s="3583"/>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3328"/>
      <c r="F17" s="1710">
        <f>SUMIF(78:78,E18,79:79)-SUMIF(78:78,C18,79:79)+100</f>
        <v>200</v>
      </c>
      <c r="G17" s="1711"/>
      <c r="H17" s="1712">
        <f>SUMIF(78:78,G18,79:79)-SUMIF(78:78,C18,79:79)+100</f>
        <v>200</v>
      </c>
      <c r="I17" s="1709"/>
      <c r="J17" s="1712">
        <f>SUMIF(78:78,I18,79:79)-SUMIF(78:78,C18,79:79)+100</f>
        <v>200</v>
      </c>
      <c r="K17" s="1694"/>
      <c r="L17" s="2967"/>
      <c r="M17" s="2963"/>
      <c r="N17" s="2963"/>
      <c r="O17" s="2963"/>
      <c r="P17" s="3602"/>
      <c r="Q17" s="1586" t="str">
        <f>B17</f>
        <v>交通便捷度</v>
      </c>
      <c r="R17" s="1695" t="s">
        <v>28</v>
      </c>
      <c r="S17" s="1696">
        <f>F17</f>
        <v>200</v>
      </c>
      <c r="T17" s="1695" t="s">
        <v>28</v>
      </c>
      <c r="U17" s="1696">
        <f>H17</f>
        <v>200</v>
      </c>
      <c r="V17" s="1695" t="s">
        <v>28</v>
      </c>
      <c r="W17" s="1696">
        <f>J17</f>
        <v>200</v>
      </c>
      <c r="X17" s="1636"/>
      <c r="Y17" s="3583"/>
      <c r="Z17" s="1697" t="str">
        <f>Q17</f>
        <v>交通便捷度</v>
      </c>
      <c r="AA17" s="1698">
        <f t="shared" si="3"/>
        <v>0.5</v>
      </c>
      <c r="AB17" s="1698">
        <f t="shared" si="4"/>
        <v>0.5</v>
      </c>
      <c r="AC17" s="1698">
        <f t="shared" si="5"/>
        <v>0.5</v>
      </c>
    </row>
    <row r="18" spans="1:29" ht="15">
      <c r="A18" s="1672"/>
      <c r="B18" s="1713"/>
      <c r="C18" s="1714"/>
      <c r="D18" s="1705"/>
      <c r="E18" s="3330" t="s">
        <v>30</v>
      </c>
      <c r="F18" s="1710"/>
      <c r="G18" s="1716" t="s">
        <v>30</v>
      </c>
      <c r="H18" s="1701"/>
      <c r="I18" s="1715" t="s">
        <v>30</v>
      </c>
      <c r="J18" s="1701"/>
      <c r="K18" s="1706"/>
      <c r="L18" s="2967"/>
      <c r="M18" s="2963"/>
      <c r="N18" s="2963"/>
      <c r="O18" s="2963"/>
      <c r="P18" s="3602"/>
      <c r="Q18" s="1586"/>
      <c r="R18" s="1695"/>
      <c r="S18" s="1696"/>
      <c r="T18" s="1695"/>
      <c r="U18" s="1696"/>
      <c r="V18" s="1695"/>
      <c r="W18" s="1696"/>
      <c r="X18" s="1636"/>
      <c r="Y18" s="3583"/>
      <c r="Z18" s="1697"/>
      <c r="AA18" s="1698">
        <v>1</v>
      </c>
      <c r="AB18" s="1698">
        <v>1</v>
      </c>
      <c r="AC18" s="1698">
        <v>1</v>
      </c>
    </row>
    <row r="19" spans="1:29" ht="42.75">
      <c r="A19" s="1672"/>
      <c r="B19" s="1707" t="s">
        <v>1648</v>
      </c>
      <c r="C19" s="1708" t="str">
        <f>估价对象房地状况!C7</f>
        <v>估价对象所在区域公共配套设施齐备情况</v>
      </c>
      <c r="D19" s="1712">
        <v>100</v>
      </c>
      <c r="E19" s="3331"/>
      <c r="F19" s="1718">
        <f>SUMIF(80:80,E20,81:81)-SUMIF(80:80,C20,81:81)+100</f>
        <v>200</v>
      </c>
      <c r="G19" s="1719"/>
      <c r="H19" s="1705">
        <f>SUMIF(80:80,G20,81:81)-SUMIF(80:80,C20,81:81)+100</f>
        <v>200</v>
      </c>
      <c r="I19" s="1717"/>
      <c r="J19" s="1705">
        <f>SUMIF(80:80,I20,81:81)-SUMIF(80:80,C20,81:81)+100</f>
        <v>200</v>
      </c>
      <c r="K19" s="1694"/>
      <c r="L19" s="2967"/>
      <c r="M19" s="2963"/>
      <c r="N19" s="2963"/>
      <c r="O19" s="2963"/>
      <c r="P19" s="3602"/>
      <c r="Q19" s="1586" t="str">
        <f>B19</f>
        <v>公共配套设施</v>
      </c>
      <c r="R19" s="1695" t="s">
        <v>28</v>
      </c>
      <c r="S19" s="1696">
        <f>F19</f>
        <v>200</v>
      </c>
      <c r="T19" s="1695" t="s">
        <v>28</v>
      </c>
      <c r="U19" s="1696">
        <f>H19</f>
        <v>200</v>
      </c>
      <c r="V19" s="1695" t="s">
        <v>28</v>
      </c>
      <c r="W19" s="1696">
        <f>J19</f>
        <v>200</v>
      </c>
      <c r="X19" s="1636"/>
      <c r="Y19" s="3583"/>
      <c r="Z19" s="1697" t="str">
        <f>Q19</f>
        <v>公共配套设施</v>
      </c>
      <c r="AA19" s="1698">
        <f t="shared" si="3"/>
        <v>0.5</v>
      </c>
      <c r="AB19" s="1698">
        <f t="shared" si="4"/>
        <v>0.5</v>
      </c>
      <c r="AC19" s="1698">
        <f t="shared" si="5"/>
        <v>0.5</v>
      </c>
    </row>
    <row r="20" spans="1:29" ht="15">
      <c r="A20" s="1672"/>
      <c r="B20" s="1713"/>
      <c r="C20" s="1700"/>
      <c r="D20" s="1701"/>
      <c r="E20" s="3327" t="s">
        <v>30</v>
      </c>
      <c r="F20" s="1703"/>
      <c r="G20" s="1700" t="s">
        <v>30</v>
      </c>
      <c r="H20" s="1701"/>
      <c r="I20" s="1700" t="s">
        <v>30</v>
      </c>
      <c r="J20" s="1701"/>
      <c r="K20" s="1706"/>
      <c r="L20" s="2967"/>
      <c r="M20" s="2963"/>
      <c r="N20" s="2963"/>
      <c r="O20" s="2963"/>
      <c r="P20" s="3602"/>
      <c r="Q20" s="1586"/>
      <c r="R20" s="1695"/>
      <c r="S20" s="1696"/>
      <c r="T20" s="1695"/>
      <c r="U20" s="1696"/>
      <c r="V20" s="1695"/>
      <c r="W20" s="1696"/>
      <c r="X20" s="1636"/>
      <c r="Y20" s="3583"/>
      <c r="Z20" s="1697"/>
      <c r="AA20" s="1698">
        <v>1</v>
      </c>
      <c r="AB20" s="1698">
        <v>1</v>
      </c>
      <c r="AC20" s="1698">
        <v>1</v>
      </c>
    </row>
    <row r="21" spans="1:29" ht="28.5">
      <c r="A21" s="1672"/>
      <c r="B21" s="1720" t="s">
        <v>1650</v>
      </c>
      <c r="C21" s="1708" t="str">
        <f>估价对象房地状况!C8</f>
        <v>估价对象所在区域基础设施水平</v>
      </c>
      <c r="D21" s="1712">
        <v>100</v>
      </c>
      <c r="E21" s="3331"/>
      <c r="F21" s="1718">
        <f>SUMIF(82:82,E22,83:83)-SUMIF(82:82,C22,83:83)+100</f>
        <v>200</v>
      </c>
      <c r="G21" s="1719"/>
      <c r="H21" s="1705">
        <f>SUMIF(82:82,G22,83:83)-SUMIF(82:82,C22,83:83)+100</f>
        <v>200</v>
      </c>
      <c r="I21" s="1717"/>
      <c r="J21" s="1705">
        <f>SUMIF(82:82,I22,83:83)-SUMIF(82:82,C22,83:83)+100</f>
        <v>200</v>
      </c>
      <c r="K21" s="1694"/>
      <c r="L21" s="2967"/>
      <c r="M21" s="2963"/>
      <c r="N21" s="2963"/>
      <c r="O21" s="2963"/>
      <c r="P21" s="3602"/>
      <c r="Q21" s="1586" t="str">
        <f>B21</f>
        <v>基础设施水平</v>
      </c>
      <c r="R21" s="1695" t="s">
        <v>28</v>
      </c>
      <c r="S21" s="1696">
        <f>F21</f>
        <v>200</v>
      </c>
      <c r="T21" s="1695" t="s">
        <v>28</v>
      </c>
      <c r="U21" s="1696">
        <f>H21</f>
        <v>200</v>
      </c>
      <c r="V21" s="1695" t="s">
        <v>28</v>
      </c>
      <c r="W21" s="1696">
        <f>J21</f>
        <v>200</v>
      </c>
      <c r="X21" s="1636"/>
      <c r="Y21" s="3583"/>
      <c r="Z21" s="1697" t="str">
        <f>Q21</f>
        <v>基础设施水平</v>
      </c>
      <c r="AA21" s="1698">
        <f t="shared" ref="AA21" si="8">D21/F21</f>
        <v>0.5</v>
      </c>
      <c r="AB21" s="1698">
        <f t="shared" ref="AB21" si="9">D21/H21</f>
        <v>0.5</v>
      </c>
      <c r="AC21" s="1698">
        <f t="shared" ref="AC21" si="10">D21/J21</f>
        <v>0.5</v>
      </c>
    </row>
    <row r="22" spans="1:29" ht="15">
      <c r="A22" s="1672"/>
      <c r="B22" s="1720"/>
      <c r="C22" s="1714"/>
      <c r="D22" s="1701"/>
      <c r="E22" s="3329" t="s">
        <v>3012</v>
      </c>
      <c r="F22" s="1703"/>
      <c r="G22" s="1714" t="s">
        <v>3012</v>
      </c>
      <c r="H22" s="1701"/>
      <c r="I22" s="1714" t="s">
        <v>3012</v>
      </c>
      <c r="J22" s="1701"/>
      <c r="K22" s="1721"/>
      <c r="L22" s="2967"/>
      <c r="M22" s="2963"/>
      <c r="N22" s="2963"/>
      <c r="O22" s="2963"/>
      <c r="P22" s="3602"/>
      <c r="Q22" s="1586"/>
      <c r="R22" s="1695"/>
      <c r="S22" s="1696"/>
      <c r="T22" s="1695"/>
      <c r="U22" s="1696"/>
      <c r="V22" s="1695"/>
      <c r="W22" s="1696"/>
      <c r="X22" s="1636"/>
      <c r="Y22" s="3583"/>
      <c r="Z22" s="1697"/>
      <c r="AA22" s="1698">
        <v>1</v>
      </c>
      <c r="AB22" s="1698">
        <v>1</v>
      </c>
      <c r="AC22" s="1698">
        <v>1</v>
      </c>
    </row>
    <row r="23" spans="1:29" ht="57">
      <c r="A23" s="1672"/>
      <c r="B23" s="1707" t="s">
        <v>1651</v>
      </c>
      <c r="C23" s="1708" t="str">
        <f>估价对象房地状况!C9</f>
        <v>区域自然环境：；人文环境；综合评价环境状况一般</v>
      </c>
      <c r="D23" s="1705">
        <v>100</v>
      </c>
      <c r="E23" s="3328"/>
      <c r="F23" s="1710">
        <f>SUMIF(84:84,E24,85:85)-SUMIF(84:84,C24,85:85)+100</f>
        <v>200</v>
      </c>
      <c r="G23" s="1711"/>
      <c r="H23" s="1705">
        <f>SUMIF(84:84,G24,85:85)-SUMIF(84:84,C24,85:85)+100</f>
        <v>200</v>
      </c>
      <c r="I23" s="1709"/>
      <c r="J23" s="1705">
        <f>SUMIF(84:84,I24,85:85)-SUMIF(84:84,C24,85:85)+100</f>
        <v>200</v>
      </c>
      <c r="K23" s="1694"/>
      <c r="L23" s="2967"/>
      <c r="M23" s="2963"/>
      <c r="N23" s="2963"/>
      <c r="O23" s="2963"/>
      <c r="P23" s="3602"/>
      <c r="Q23" s="1586" t="str">
        <f>B23</f>
        <v>自然及人文环境</v>
      </c>
      <c r="R23" s="1695" t="s">
        <v>28</v>
      </c>
      <c r="S23" s="1696">
        <f>F23</f>
        <v>200</v>
      </c>
      <c r="T23" s="1695" t="s">
        <v>28</v>
      </c>
      <c r="U23" s="1696">
        <f>H23</f>
        <v>200</v>
      </c>
      <c r="V23" s="1695" t="s">
        <v>28</v>
      </c>
      <c r="W23" s="1696">
        <f>J23</f>
        <v>200</v>
      </c>
      <c r="X23" s="1636"/>
      <c r="Y23" s="3583"/>
      <c r="Z23" s="1697" t="str">
        <f>Q23</f>
        <v>自然及人文环境</v>
      </c>
      <c r="AA23" s="1698">
        <f t="shared" si="3"/>
        <v>0.5</v>
      </c>
      <c r="AB23" s="1698">
        <f t="shared" si="4"/>
        <v>0.5</v>
      </c>
      <c r="AC23" s="1698">
        <f t="shared" si="5"/>
        <v>0.5</v>
      </c>
    </row>
    <row r="24" spans="1:29" ht="15">
      <c r="A24" s="1672"/>
      <c r="B24" s="1713"/>
      <c r="C24" s="1700"/>
      <c r="D24" s="1701"/>
      <c r="E24" s="3327" t="s">
        <v>30</v>
      </c>
      <c r="F24" s="1703"/>
      <c r="G24" s="1700" t="s">
        <v>30</v>
      </c>
      <c r="H24" s="1701"/>
      <c r="I24" s="1700" t="s">
        <v>30</v>
      </c>
      <c r="J24" s="1701"/>
      <c r="K24" s="1706"/>
      <c r="L24" s="2967"/>
      <c r="M24" s="2963"/>
      <c r="N24" s="2963"/>
      <c r="O24" s="2963"/>
      <c r="P24" s="3602"/>
      <c r="Q24" s="1586"/>
      <c r="R24" s="1695"/>
      <c r="S24" s="1696"/>
      <c r="T24" s="1695"/>
      <c r="U24" s="1696"/>
      <c r="V24" s="1695"/>
      <c r="W24" s="1696"/>
      <c r="X24" s="1636"/>
      <c r="Y24" s="3583"/>
      <c r="Z24" s="1697"/>
      <c r="AA24" s="1698">
        <v>1</v>
      </c>
      <c r="AB24" s="1698">
        <v>1</v>
      </c>
      <c r="AC24" s="1698">
        <v>1</v>
      </c>
    </row>
    <row r="25" spans="1:29" ht="15">
      <c r="A25" s="1672"/>
      <c r="B25" s="1665" t="s">
        <v>2215</v>
      </c>
      <c r="C25" s="1722"/>
      <c r="D25" s="1681">
        <v>100</v>
      </c>
      <c r="E25" s="3337" t="s">
        <v>3013</v>
      </c>
      <c r="F25" s="1723">
        <f>SUMIF(86:86,E25,87:87)-SUMIF(86:86,C25,87:87)+100</f>
        <v>100</v>
      </c>
      <c r="G25" s="1957" t="s">
        <v>3021</v>
      </c>
      <c r="H25" s="1681">
        <f>SUMIF(86:86,G25,87:87)-SUMIF(86:86,C25,87:87)+100</f>
        <v>100</v>
      </c>
      <c r="I25" s="1957" t="s">
        <v>3021</v>
      </c>
      <c r="J25" s="1681">
        <f>SUMIF(86:86,I25,87:87)-SUMIF(86:86,C25,87:87)+100</f>
        <v>100</v>
      </c>
      <c r="K25" s="1670"/>
      <c r="L25" s="2967"/>
      <c r="M25" s="2963"/>
      <c r="N25" s="2963"/>
      <c r="O25" s="2963"/>
      <c r="P25" s="3602"/>
      <c r="Q25" s="1586" t="str">
        <f t="shared" ref="Q25:Q46" si="11">B25</f>
        <v>楼层-1</v>
      </c>
      <c r="R25" s="1695" t="s">
        <v>28</v>
      </c>
      <c r="S25" s="1696">
        <f>F25</f>
        <v>100</v>
      </c>
      <c r="T25" s="1695" t="s">
        <v>28</v>
      </c>
      <c r="U25" s="1696">
        <f>H25</f>
        <v>100</v>
      </c>
      <c r="V25" s="1695" t="s">
        <v>28</v>
      </c>
      <c r="W25" s="1696">
        <f>J25</f>
        <v>100</v>
      </c>
      <c r="X25" s="1636"/>
      <c r="Y25" s="3583"/>
      <c r="Z25" s="1697" t="str">
        <f>Q25</f>
        <v>楼层-1</v>
      </c>
      <c r="AA25" s="1698">
        <f t="shared" si="3"/>
        <v>1</v>
      </c>
      <c r="AB25" s="1698">
        <f t="shared" si="4"/>
        <v>1</v>
      </c>
      <c r="AC25" s="1698">
        <f t="shared" si="5"/>
        <v>1</v>
      </c>
    </row>
    <row r="26" spans="1:29" ht="15">
      <c r="A26" s="1672"/>
      <c r="B26" s="1665" t="s">
        <v>2216</v>
      </c>
      <c r="C26" s="3318" t="s">
        <v>2999</v>
      </c>
      <c r="D26" s="1681">
        <v>100</v>
      </c>
      <c r="E26" s="3341" t="s">
        <v>29</v>
      </c>
      <c r="F26" s="1723">
        <f>SUMIF(88:88,E26,89:89)-SUMIF(88:88,C26,89:89)+100</f>
        <v>100</v>
      </c>
      <c r="G26" s="3315" t="s">
        <v>3022</v>
      </c>
      <c r="H26" s="1681">
        <f>SUMIF(88:88,G26,89:89)-SUMIF(88:88,C26,89:89)+100</f>
        <v>100</v>
      </c>
      <c r="I26" s="3315" t="s">
        <v>3022</v>
      </c>
      <c r="J26" s="1681">
        <f>SUMIF(88:88,I26,89:89)-SUMIF(88:88,C26,89:89)+100</f>
        <v>100</v>
      </c>
      <c r="K26" s="1670"/>
      <c r="L26" s="2967"/>
      <c r="M26" s="2963"/>
      <c r="N26" s="2963"/>
      <c r="O26" s="2963"/>
      <c r="P26" s="3602"/>
      <c r="Q26" s="1586" t="str">
        <f t="shared" si="11"/>
        <v>朝向</v>
      </c>
      <c r="R26" s="1695" t="s">
        <v>28</v>
      </c>
      <c r="S26" s="1696">
        <f>F26</f>
        <v>100</v>
      </c>
      <c r="T26" s="1695" t="s">
        <v>28</v>
      </c>
      <c r="U26" s="1696">
        <f>H26</f>
        <v>100</v>
      </c>
      <c r="V26" s="1695" t="s">
        <v>28</v>
      </c>
      <c r="W26" s="1696">
        <f>J26</f>
        <v>100</v>
      </c>
      <c r="X26" s="1636"/>
      <c r="Y26" s="3583"/>
      <c r="Z26" s="1697" t="str">
        <f>Q26</f>
        <v>朝向</v>
      </c>
      <c r="AA26" s="1698">
        <f t="shared" si="3"/>
        <v>1</v>
      </c>
      <c r="AB26" s="1698">
        <f t="shared" si="4"/>
        <v>1</v>
      </c>
      <c r="AC26" s="1698">
        <f t="shared" si="5"/>
        <v>1</v>
      </c>
    </row>
    <row r="27" spans="1:29" s="1655" customFormat="1" ht="15">
      <c r="A27" s="1675"/>
      <c r="B27" s="1676" t="s">
        <v>2217</v>
      </c>
      <c r="C27" s="1677"/>
      <c r="D27" s="1725">
        <v>100</v>
      </c>
      <c r="E27" s="3338" t="s">
        <v>3014</v>
      </c>
      <c r="F27" s="1727">
        <f>SUMIF(90:90,E27,91:91)-SUMIF(90:90,C27,91:91)+100</f>
        <v>100</v>
      </c>
      <c r="G27" s="2442" t="s">
        <v>3014</v>
      </c>
      <c r="H27" s="1725">
        <f>SUMIF(90:90,G27,91:91)-SUMIF(90:90,C27,91:91)+100</f>
        <v>100</v>
      </c>
      <c r="I27" s="2442" t="s">
        <v>3014</v>
      </c>
      <c r="J27" s="1725">
        <f>SUMIF(90:90,I27,91:91)-SUMIF(90:90,C27,91:91)+100</f>
        <v>100</v>
      </c>
      <c r="K27" s="1679"/>
      <c r="L27" s="2962"/>
      <c r="M27" s="2935"/>
      <c r="N27" s="2935"/>
      <c r="O27" s="2935"/>
      <c r="P27" s="3602"/>
      <c r="Q27" s="1605" t="str">
        <f t="shared" si="11"/>
        <v>道路级别</v>
      </c>
      <c r="R27" s="1651" t="s">
        <v>28</v>
      </c>
      <c r="S27" s="1652">
        <f>F27</f>
        <v>100</v>
      </c>
      <c r="T27" s="1651" t="s">
        <v>28</v>
      </c>
      <c r="U27" s="1652">
        <f>H27</f>
        <v>100</v>
      </c>
      <c r="V27" s="1651" t="s">
        <v>28</v>
      </c>
      <c r="W27" s="1652">
        <f>J27</f>
        <v>100</v>
      </c>
      <c r="X27" s="1653"/>
      <c r="Y27" s="3583"/>
      <c r="Z27" s="1663" t="str">
        <f>Q27</f>
        <v>道路级别</v>
      </c>
      <c r="AA27" s="1698">
        <f>D27/F27</f>
        <v>1</v>
      </c>
      <c r="AB27" s="1698">
        <f>D27/H27</f>
        <v>1</v>
      </c>
      <c r="AC27" s="1698">
        <f>D27/J27</f>
        <v>1</v>
      </c>
    </row>
    <row r="28" spans="1:29" ht="15">
      <c r="A28" s="1672"/>
      <c r="B28" s="3313" t="s">
        <v>2987</v>
      </c>
      <c r="C28" s="3315" t="s">
        <v>2991</v>
      </c>
      <c r="D28" s="1681">
        <v>100</v>
      </c>
      <c r="E28" s="3337" t="s">
        <v>3015</v>
      </c>
      <c r="F28" s="1723">
        <f>SUMIF(92:92,E28,93:93)-SUMIF(92:92,C28,93:93)+100</f>
        <v>-2</v>
      </c>
      <c r="G28" s="1957" t="s">
        <v>3015</v>
      </c>
      <c r="H28" s="1681">
        <f>SUMIF(92:92,G28,93:93)-SUMIF(92:92,C28,93:93)+100</f>
        <v>-2</v>
      </c>
      <c r="I28" s="1957" t="s">
        <v>3025</v>
      </c>
      <c r="J28" s="1681">
        <f>SUMIF(92:92,I28,93:93)-SUMIF(92:92,C28,93:93)+100</f>
        <v>-2</v>
      </c>
      <c r="K28" s="1679"/>
      <c r="L28" s="2967"/>
      <c r="M28" s="2963"/>
      <c r="N28" s="2963"/>
      <c r="O28" s="2963"/>
      <c r="P28" s="3602"/>
      <c r="Q28" s="1586" t="str">
        <f t="shared" si="11"/>
        <v>楼层</v>
      </c>
      <c r="R28" s="1695" t="s">
        <v>28</v>
      </c>
      <c r="S28" s="1696">
        <f t="shared" ref="S28:S46" si="12">F28</f>
        <v>-2</v>
      </c>
      <c r="T28" s="1695" t="s">
        <v>28</v>
      </c>
      <c r="U28" s="1696">
        <f t="shared" ref="U28:U46" si="13">H28</f>
        <v>-2</v>
      </c>
      <c r="V28" s="1695" t="s">
        <v>28</v>
      </c>
      <c r="W28" s="1696">
        <f t="shared" ref="W28:W46" si="14">J28</f>
        <v>-2</v>
      </c>
      <c r="X28" s="1636"/>
      <c r="Y28" s="3583"/>
      <c r="Z28" s="1697" t="str">
        <f t="shared" ref="Z28:Z46" si="15">Q28</f>
        <v>楼层</v>
      </c>
      <c r="AA28" s="1698">
        <f t="shared" si="3"/>
        <v>-50</v>
      </c>
      <c r="AB28" s="1698">
        <f t="shared" si="4"/>
        <v>-50</v>
      </c>
      <c r="AC28" s="1698">
        <f t="shared" si="5"/>
        <v>-50</v>
      </c>
    </row>
    <row r="29" spans="1:29" ht="15">
      <c r="A29" s="1672"/>
      <c r="B29" s="1729">
        <v>111</v>
      </c>
      <c r="C29" s="1680" t="s">
        <v>3000</v>
      </c>
      <c r="D29" s="1681">
        <v>100</v>
      </c>
      <c r="E29" s="3325"/>
      <c r="F29" s="1723">
        <f>SUMIF(94:94,E29,95:95)-SUMIF(94:94,C29,95:95)+100</f>
        <v>100</v>
      </c>
      <c r="G29" s="1680"/>
      <c r="H29" s="1681">
        <f>SUMIF(94:94,G29,95:95)-SUMIF(94:94,C29,95:95)+100</f>
        <v>100</v>
      </c>
      <c r="I29" s="1680"/>
      <c r="J29" s="1681">
        <f>SUMIF(94:94,I29,95:95)-SUMIF(94:94,C29,95:95)+100</f>
        <v>100</v>
      </c>
      <c r="K29" s="1679"/>
      <c r="L29" s="2967"/>
      <c r="M29" s="2963"/>
      <c r="N29" s="2963"/>
      <c r="O29" s="2963"/>
      <c r="P29" s="3602"/>
      <c r="Q29" s="1586">
        <f t="shared" si="11"/>
        <v>111</v>
      </c>
      <c r="R29" s="1695" t="s">
        <v>28</v>
      </c>
      <c r="S29" s="1696">
        <f t="shared" si="12"/>
        <v>100</v>
      </c>
      <c r="T29" s="1695" t="s">
        <v>28</v>
      </c>
      <c r="U29" s="1696">
        <f t="shared" si="13"/>
        <v>100</v>
      </c>
      <c r="V29" s="1695" t="s">
        <v>28</v>
      </c>
      <c r="W29" s="1696">
        <f t="shared" si="14"/>
        <v>100</v>
      </c>
      <c r="X29" s="1636"/>
      <c r="Y29" s="3583"/>
      <c r="Z29" s="1697">
        <f t="shared" si="15"/>
        <v>111</v>
      </c>
      <c r="AA29" s="1698">
        <f t="shared" si="3"/>
        <v>1</v>
      </c>
      <c r="AB29" s="1698">
        <f t="shared" si="4"/>
        <v>1</v>
      </c>
      <c r="AC29" s="1698">
        <f t="shared" si="5"/>
        <v>1</v>
      </c>
    </row>
    <row r="30" spans="1:29" ht="15">
      <c r="A30" s="1672"/>
      <c r="B30" s="1729">
        <v>111</v>
      </c>
      <c r="C30" s="1680"/>
      <c r="D30" s="1681">
        <v>100</v>
      </c>
      <c r="E30" s="3325"/>
      <c r="F30" s="1723">
        <f>SUMIF(96:96,E30,97:97)-SUMIF(96:96,C30,97:97)+100</f>
        <v>100</v>
      </c>
      <c r="G30" s="1680"/>
      <c r="H30" s="1681">
        <f>SUMIF(96:96,G30,97:97)-SUMIF(96:96,C30,97:97)+100</f>
        <v>100</v>
      </c>
      <c r="I30" s="1680"/>
      <c r="J30" s="1681">
        <f>SUMIF(96:96,I30,97:97)-SUMIF(96:96,C30,97:97)+100</f>
        <v>100</v>
      </c>
      <c r="K30" s="1679"/>
      <c r="L30" s="2967"/>
      <c r="M30" s="2963"/>
      <c r="N30" s="2963"/>
      <c r="O30" s="2963"/>
      <c r="P30" s="3602"/>
      <c r="Q30" s="1586">
        <f t="shared" si="11"/>
        <v>111</v>
      </c>
      <c r="R30" s="1695" t="s">
        <v>28</v>
      </c>
      <c r="S30" s="1696">
        <f t="shared" si="12"/>
        <v>100</v>
      </c>
      <c r="T30" s="1695" t="s">
        <v>28</v>
      </c>
      <c r="U30" s="1696">
        <f t="shared" si="13"/>
        <v>100</v>
      </c>
      <c r="V30" s="1695" t="s">
        <v>28</v>
      </c>
      <c r="W30" s="1696">
        <f t="shared" si="14"/>
        <v>100</v>
      </c>
      <c r="X30" s="1636"/>
      <c r="Y30" s="3583"/>
      <c r="Z30" s="1697">
        <f t="shared" si="15"/>
        <v>111</v>
      </c>
      <c r="AA30" s="1698">
        <f t="shared" si="3"/>
        <v>1</v>
      </c>
      <c r="AB30" s="1698">
        <f t="shared" si="4"/>
        <v>1</v>
      </c>
      <c r="AC30" s="1698">
        <f t="shared" si="5"/>
        <v>1</v>
      </c>
    </row>
    <row r="31" spans="1:29" ht="15.75" thickBot="1">
      <c r="A31" s="1682"/>
      <c r="B31" s="1729">
        <v>111</v>
      </c>
      <c r="C31" s="1684"/>
      <c r="D31" s="1685">
        <v>100</v>
      </c>
      <c r="E31" s="3325"/>
      <c r="F31" s="1686">
        <f>SUMIF(98:98,E31,99:99)-SUMIF(98:98,C31,99:99)+100</f>
        <v>100</v>
      </c>
      <c r="G31" s="1680"/>
      <c r="H31" s="1685">
        <f>SUMIF(98:98,G31,99:99)-SUMIF(98:98,C31,99:99)+100</f>
        <v>100</v>
      </c>
      <c r="I31" s="1680"/>
      <c r="J31" s="1685">
        <f>SUMIF(98:98,I31,99:99)-SUMIF(98:98,C31,99:99)+100</f>
        <v>100</v>
      </c>
      <c r="K31" s="1679"/>
      <c r="L31" s="2967"/>
      <c r="M31" s="2963"/>
      <c r="N31" s="2963"/>
      <c r="O31" s="2963"/>
      <c r="P31" s="3602"/>
      <c r="Q31" s="1586">
        <f t="shared" si="11"/>
        <v>111</v>
      </c>
      <c r="R31" s="1695" t="s">
        <v>28</v>
      </c>
      <c r="S31" s="1696">
        <f t="shared" si="12"/>
        <v>100</v>
      </c>
      <c r="T31" s="1695" t="s">
        <v>28</v>
      </c>
      <c r="U31" s="1696">
        <f t="shared" si="13"/>
        <v>100</v>
      </c>
      <c r="V31" s="1695" t="s">
        <v>28</v>
      </c>
      <c r="W31" s="1696">
        <f t="shared" si="14"/>
        <v>100</v>
      </c>
      <c r="X31" s="1636"/>
      <c r="Y31" s="3583"/>
      <c r="Z31" s="1697">
        <f t="shared" si="15"/>
        <v>111</v>
      </c>
      <c r="AA31" s="1698">
        <f t="shared" si="3"/>
        <v>1</v>
      </c>
      <c r="AB31" s="1698">
        <f t="shared" si="4"/>
        <v>1</v>
      </c>
      <c r="AC31" s="1698">
        <f t="shared" si="5"/>
        <v>1</v>
      </c>
    </row>
    <row r="32" spans="1:29" ht="15">
      <c r="A32" s="1687" t="s">
        <v>2218</v>
      </c>
      <c r="B32" s="1657" t="s">
        <v>2219</v>
      </c>
      <c r="C32" s="1730" t="s">
        <v>2992</v>
      </c>
      <c r="D32" s="1731">
        <v>100</v>
      </c>
      <c r="E32" s="3333" t="s">
        <v>3016</v>
      </c>
      <c r="F32" s="1723">
        <f>SUMIF(100:100,E32,101:101)-SUMIF(100:100,C32,101:101)+100</f>
        <v>5</v>
      </c>
      <c r="G32" s="1730" t="s">
        <v>3016</v>
      </c>
      <c r="H32" s="1731">
        <f>SUMIF(100:100,G32,101:101)-SUMIF(100:100,C32,101:101)+100</f>
        <v>5</v>
      </c>
      <c r="I32" s="1730" t="s">
        <v>3016</v>
      </c>
      <c r="J32" s="1681">
        <f>SUMIF(100:100,I32,101:101)-SUMIF(100:100,C32,101:101)+100</f>
        <v>5</v>
      </c>
      <c r="K32" s="1670">
        <v>5</v>
      </c>
      <c r="L32" s="2967"/>
      <c r="M32" s="2963"/>
      <c r="N32" s="2963"/>
      <c r="O32" s="2963"/>
      <c r="P32" s="3584" t="s">
        <v>2220</v>
      </c>
      <c r="Q32" s="1586" t="str">
        <f t="shared" si="11"/>
        <v>建筑类型</v>
      </c>
      <c r="R32" s="1695" t="s">
        <v>28</v>
      </c>
      <c r="S32" s="1696">
        <f t="shared" si="12"/>
        <v>5</v>
      </c>
      <c r="T32" s="1695" t="s">
        <v>28</v>
      </c>
      <c r="U32" s="1696">
        <f t="shared" si="13"/>
        <v>5</v>
      </c>
      <c r="V32" s="1695" t="s">
        <v>28</v>
      </c>
      <c r="W32" s="1696">
        <f t="shared" si="14"/>
        <v>5</v>
      </c>
      <c r="X32" s="1636"/>
      <c r="Y32" s="3587" t="s">
        <v>2220</v>
      </c>
      <c r="Z32" s="1697" t="str">
        <f t="shared" si="15"/>
        <v>建筑类型</v>
      </c>
      <c r="AA32" s="1698">
        <f t="shared" si="3"/>
        <v>20</v>
      </c>
      <c r="AB32" s="1698">
        <f t="shared" si="4"/>
        <v>20</v>
      </c>
      <c r="AC32" s="1698">
        <f t="shared" si="5"/>
        <v>20</v>
      </c>
    </row>
    <row r="33" spans="1:29" s="1739" customFormat="1" ht="15">
      <c r="A33" s="1732"/>
      <c r="B33" s="1665" t="s">
        <v>2221</v>
      </c>
      <c r="C33" s="1733">
        <f>'数据-取费表'!B5</f>
        <v>362.84</v>
      </c>
      <c r="D33" s="1667">
        <v>100</v>
      </c>
      <c r="E33" s="3324">
        <v>220</v>
      </c>
      <c r="F33" s="1669">
        <f>LOOKUP(E33,103:103,104:104)-LOOKUP(C33,103:103,104:104)+100</f>
        <v>103</v>
      </c>
      <c r="G33" s="1673">
        <v>60</v>
      </c>
      <c r="H33" s="1667">
        <f>LOOKUP(G33,103:103,104:104)-LOOKUP(C33,103:103,104:104)+100</f>
        <v>112</v>
      </c>
      <c r="I33" s="1673">
        <v>336</v>
      </c>
      <c r="J33" s="1667">
        <f>LOOKUP(I33,103:103,104:104)-LOOKUP(C33,103:103,104:104)+100</f>
        <v>100</v>
      </c>
      <c r="K33" s="1679"/>
      <c r="L33" s="2966"/>
      <c r="M33" s="2025"/>
      <c r="N33" s="2025"/>
      <c r="O33" s="2025"/>
      <c r="P33" s="3585"/>
      <c r="Q33" s="1734" t="str">
        <f t="shared" si="11"/>
        <v>项目建筑规模</v>
      </c>
      <c r="R33" s="1735" t="s">
        <v>28</v>
      </c>
      <c r="S33" s="1736">
        <f t="shared" si="12"/>
        <v>103</v>
      </c>
      <c r="T33" s="1735" t="s">
        <v>28</v>
      </c>
      <c r="U33" s="1736">
        <f t="shared" si="13"/>
        <v>112</v>
      </c>
      <c r="V33" s="1735" t="s">
        <v>28</v>
      </c>
      <c r="W33" s="1736">
        <f t="shared" si="14"/>
        <v>100</v>
      </c>
      <c r="X33" s="1737"/>
      <c r="Y33" s="3587"/>
      <c r="Z33" s="1738" t="str">
        <f t="shared" si="15"/>
        <v>项目建筑规模</v>
      </c>
      <c r="AA33" s="1698">
        <f t="shared" si="3"/>
        <v>0.970873786407767</v>
      </c>
      <c r="AB33" s="1698">
        <f t="shared" si="4"/>
        <v>0.8928571428571429</v>
      </c>
      <c r="AC33" s="1698">
        <f t="shared" si="5"/>
        <v>1</v>
      </c>
    </row>
    <row r="34" spans="1:29" ht="15">
      <c r="A34" s="1740"/>
      <c r="B34" s="1665" t="s">
        <v>2222</v>
      </c>
      <c r="C34" s="1741"/>
      <c r="D34" s="1681">
        <v>100</v>
      </c>
      <c r="E34" s="3334"/>
      <c r="F34" s="1723">
        <f>SUMIF(105:105,E34,106:106)-SUMIF(105:105,C34,106:106)+100</f>
        <v>100</v>
      </c>
      <c r="G34" s="1741"/>
      <c r="H34" s="1681">
        <f>SUMIF(105:105,G34,106:106)-SUMIF(105:105,C34,106:106)+100</f>
        <v>100</v>
      </c>
      <c r="I34" s="1741"/>
      <c r="J34" s="1681">
        <f>SUMIF(105:105,I34,106:106)-SUMIF(105:105,C34,106:106)+100</f>
        <v>100</v>
      </c>
      <c r="K34" s="1670"/>
      <c r="L34" s="2967"/>
      <c r="M34" s="2963"/>
      <c r="N34" s="2963"/>
      <c r="O34" s="2963"/>
      <c r="P34" s="3585"/>
      <c r="Q34" s="1586" t="str">
        <f t="shared" si="11"/>
        <v>建筑结构</v>
      </c>
      <c r="R34" s="1695" t="s">
        <v>28</v>
      </c>
      <c r="S34" s="1696">
        <f t="shared" si="12"/>
        <v>100</v>
      </c>
      <c r="T34" s="1695" t="s">
        <v>28</v>
      </c>
      <c r="U34" s="1696">
        <f t="shared" si="13"/>
        <v>100</v>
      </c>
      <c r="V34" s="1695" t="s">
        <v>28</v>
      </c>
      <c r="W34" s="1696">
        <f t="shared" si="14"/>
        <v>100</v>
      </c>
      <c r="X34" s="1636"/>
      <c r="Y34" s="3587"/>
      <c r="Z34" s="1697" t="str">
        <f t="shared" si="15"/>
        <v>建筑结构</v>
      </c>
      <c r="AA34" s="1698">
        <f t="shared" si="3"/>
        <v>1</v>
      </c>
      <c r="AB34" s="1698">
        <f t="shared" si="4"/>
        <v>1</v>
      </c>
      <c r="AC34" s="1698">
        <f t="shared" si="5"/>
        <v>1</v>
      </c>
    </row>
    <row r="35" spans="1:29" ht="15">
      <c r="A35" s="1740"/>
      <c r="B35" s="1665" t="s">
        <v>2223</v>
      </c>
      <c r="C35" s="1724"/>
      <c r="D35" s="1681">
        <v>100</v>
      </c>
      <c r="E35" s="3332"/>
      <c r="F35" s="1723">
        <f>SUMIF(107:107,E35,108:108)-SUMIF(107:107,C35,108:108)+100</f>
        <v>100</v>
      </c>
      <c r="G35" s="1724"/>
      <c r="H35" s="1681">
        <f>SUMIF(107:107,G35,108:108)-SUMIF(107:107,C35,108:108)+100</f>
        <v>100</v>
      </c>
      <c r="I35" s="1724"/>
      <c r="J35" s="1681">
        <f>SUMIF(107:107,I35,108:108)-SUMIF(107:107,C35,108:108)+100</f>
        <v>100</v>
      </c>
      <c r="K35" s="1670"/>
      <c r="L35" s="2967"/>
      <c r="M35" s="2963"/>
      <c r="N35" s="2963"/>
      <c r="O35" s="2963"/>
      <c r="P35" s="3585"/>
      <c r="Q35" s="1586" t="str">
        <f t="shared" si="11"/>
        <v>建筑品质</v>
      </c>
      <c r="R35" s="1695" t="s">
        <v>28</v>
      </c>
      <c r="S35" s="1696">
        <f t="shared" si="12"/>
        <v>100</v>
      </c>
      <c r="T35" s="1695" t="s">
        <v>28</v>
      </c>
      <c r="U35" s="1696">
        <f t="shared" si="13"/>
        <v>100</v>
      </c>
      <c r="V35" s="1695" t="s">
        <v>28</v>
      </c>
      <c r="W35" s="1696">
        <f t="shared" si="14"/>
        <v>100</v>
      </c>
      <c r="X35" s="1636"/>
      <c r="Y35" s="3587"/>
      <c r="Z35" s="1697" t="str">
        <f t="shared" si="15"/>
        <v>建筑品质</v>
      </c>
      <c r="AA35" s="1698">
        <f t="shared" si="3"/>
        <v>1</v>
      </c>
      <c r="AB35" s="1698">
        <f t="shared" si="4"/>
        <v>1</v>
      </c>
      <c r="AC35" s="1698">
        <f t="shared" si="5"/>
        <v>1</v>
      </c>
    </row>
    <row r="36" spans="1:29" ht="15">
      <c r="A36" s="1740"/>
      <c r="B36" s="1665" t="s">
        <v>2224</v>
      </c>
      <c r="C36" s="1724"/>
      <c r="D36" s="1681">
        <v>100</v>
      </c>
      <c r="E36" s="3335">
        <v>0.72</v>
      </c>
      <c r="F36" s="1723">
        <f>SUMIF(109:109,E36,110:110)-SUMIF(109:109,C36,110:110)+100</f>
        <v>100</v>
      </c>
      <c r="G36" s="1744">
        <v>0.55000000000000004</v>
      </c>
      <c r="H36" s="1681">
        <f>SUMIF(109:109,G36,110:110)-SUMIF(109:109,C36,110:110)+100</f>
        <v>100</v>
      </c>
      <c r="I36" s="1744">
        <v>0.65</v>
      </c>
      <c r="J36" s="1681">
        <f>SUMIF(109:109,I36,110:110)-SUMIF(109:109,C36,110:110)+100</f>
        <v>100</v>
      </c>
      <c r="K36" s="1670"/>
      <c r="L36" s="2967"/>
      <c r="M36" s="2963"/>
      <c r="N36" s="2963"/>
      <c r="O36" s="2963"/>
      <c r="P36" s="3585"/>
      <c r="Q36" s="1586" t="str">
        <f t="shared" si="11"/>
        <v>公共部分装修</v>
      </c>
      <c r="R36" s="1695" t="s">
        <v>28</v>
      </c>
      <c r="S36" s="1696">
        <f t="shared" si="12"/>
        <v>100</v>
      </c>
      <c r="T36" s="1695" t="s">
        <v>28</v>
      </c>
      <c r="U36" s="1696">
        <f t="shared" si="13"/>
        <v>100</v>
      </c>
      <c r="V36" s="1695" t="s">
        <v>28</v>
      </c>
      <c r="W36" s="1696">
        <f t="shared" si="14"/>
        <v>100</v>
      </c>
      <c r="X36" s="1636"/>
      <c r="Y36" s="3587"/>
      <c r="Z36" s="1697" t="str">
        <f t="shared" si="15"/>
        <v>公共部分装修</v>
      </c>
      <c r="AA36" s="1698">
        <f t="shared" si="3"/>
        <v>1</v>
      </c>
      <c r="AB36" s="1698">
        <f t="shared" si="4"/>
        <v>1</v>
      </c>
      <c r="AC36" s="1698">
        <f t="shared" si="5"/>
        <v>1</v>
      </c>
    </row>
    <row r="37" spans="1:29" s="1655" customFormat="1" ht="15">
      <c r="A37" s="1743"/>
      <c r="B37" s="1665" t="s">
        <v>2225</v>
      </c>
      <c r="C37" s="1744">
        <f>'数据-取费表'!E20</f>
        <v>0.85</v>
      </c>
      <c r="D37" s="1667">
        <v>100</v>
      </c>
      <c r="E37" s="3332"/>
      <c r="F37" s="1669" t="e">
        <f>LOOKUP(E37,112:112,113:113)-LOOKUP(C37,112:112,113:113)+100</f>
        <v>#N/A</v>
      </c>
      <c r="G37" s="1724"/>
      <c r="H37" s="1667" t="e">
        <f>LOOKUP(G37,112:112,113:113)-LOOKUP(C37,112:112,113:113)+100</f>
        <v>#N/A</v>
      </c>
      <c r="I37" s="1724"/>
      <c r="J37" s="1667" t="e">
        <f>LOOKUP(I37,112:112,113:113)-LOOKUP(C37,112:112,113:113)+100</f>
        <v>#N/A</v>
      </c>
      <c r="K37" s="1670"/>
      <c r="L37" s="2962"/>
      <c r="M37" s="2935"/>
      <c r="N37" s="2935"/>
      <c r="O37" s="2935"/>
      <c r="P37" s="3585"/>
      <c r="Q37" s="1605" t="str">
        <f t="shared" si="11"/>
        <v>成新度</v>
      </c>
      <c r="R37" s="1651" t="s">
        <v>28</v>
      </c>
      <c r="S37" s="1652" t="e">
        <f t="shared" si="12"/>
        <v>#N/A</v>
      </c>
      <c r="T37" s="1651" t="s">
        <v>28</v>
      </c>
      <c r="U37" s="1652" t="e">
        <f t="shared" si="13"/>
        <v>#N/A</v>
      </c>
      <c r="V37" s="1651" t="s">
        <v>28</v>
      </c>
      <c r="W37" s="1652" t="e">
        <f t="shared" si="14"/>
        <v>#N/A</v>
      </c>
      <c r="X37" s="1653"/>
      <c r="Y37" s="3587"/>
      <c r="Z37" s="1663" t="str">
        <f t="shared" si="15"/>
        <v>成新度</v>
      </c>
      <c r="AA37" s="1654" t="e">
        <f t="shared" si="3"/>
        <v>#N/A</v>
      </c>
      <c r="AB37" s="1654" t="e">
        <f t="shared" si="4"/>
        <v>#N/A</v>
      </c>
      <c r="AC37" s="1654" t="e">
        <f t="shared" si="5"/>
        <v>#N/A</v>
      </c>
    </row>
    <row r="38" spans="1:29" ht="15">
      <c r="A38" s="1740"/>
      <c r="B38" s="1665" t="s">
        <v>2226</v>
      </c>
      <c r="C38" s="1724"/>
      <c r="D38" s="1681">
        <v>100</v>
      </c>
      <c r="E38" s="3332" t="s">
        <v>3017</v>
      </c>
      <c r="F38" s="1723">
        <f>SUMIF(114:114,E38,115:115)-SUMIF(114:114,C38,115:115)+100</f>
        <v>100</v>
      </c>
      <c r="G38" s="1724" t="s">
        <v>3017</v>
      </c>
      <c r="H38" s="1681">
        <f>SUMIF(114:114,G38,115:115)-SUMIF(114:114,C38,115:115)+100</f>
        <v>100</v>
      </c>
      <c r="I38" s="1724" t="s">
        <v>3017</v>
      </c>
      <c r="J38" s="1681">
        <f>SUMIF(114:114,I38,115:115)-SUMIF(114:114,C38,115:115)+100</f>
        <v>100</v>
      </c>
      <c r="K38" s="1670"/>
      <c r="L38" s="2967"/>
      <c r="M38" s="2963"/>
      <c r="N38" s="2963"/>
      <c r="O38" s="2963"/>
      <c r="P38" s="3585" t="s">
        <v>2220</v>
      </c>
      <c r="Q38" s="1586" t="str">
        <f t="shared" si="11"/>
        <v>物业管理</v>
      </c>
      <c r="R38" s="1695" t="s">
        <v>28</v>
      </c>
      <c r="S38" s="1696">
        <f t="shared" si="12"/>
        <v>100</v>
      </c>
      <c r="T38" s="1695" t="s">
        <v>28</v>
      </c>
      <c r="U38" s="1696">
        <f t="shared" si="13"/>
        <v>100</v>
      </c>
      <c r="V38" s="1695" t="s">
        <v>28</v>
      </c>
      <c r="W38" s="1696">
        <f t="shared" si="14"/>
        <v>100</v>
      </c>
      <c r="X38" s="1636"/>
      <c r="Y38" s="3587" t="s">
        <v>2220</v>
      </c>
      <c r="Z38" s="1697" t="str">
        <f t="shared" si="15"/>
        <v>物业管理</v>
      </c>
      <c r="AA38" s="1698">
        <f t="shared" si="3"/>
        <v>1</v>
      </c>
      <c r="AB38" s="1698">
        <f t="shared" si="4"/>
        <v>1</v>
      </c>
      <c r="AC38" s="1698">
        <f t="shared" si="5"/>
        <v>1</v>
      </c>
    </row>
    <row r="39" spans="1:29" ht="15">
      <c r="A39" s="1740"/>
      <c r="B39" s="1665" t="s">
        <v>2227</v>
      </c>
      <c r="C39" s="1724"/>
      <c r="D39" s="1681">
        <v>100</v>
      </c>
      <c r="E39" s="3332" t="s">
        <v>3018</v>
      </c>
      <c r="F39" s="1723">
        <f>SUMIF(116:116,E39,117:117)-SUMIF(116:116,C39,117:117)+100</f>
        <v>100</v>
      </c>
      <c r="G39" s="1724" t="s">
        <v>3023</v>
      </c>
      <c r="H39" s="1681">
        <f>SUMIF(116:116,G39,117:117)-SUMIF(116:116,C39,117:117)+100</f>
        <v>100</v>
      </c>
      <c r="I39" s="3319" t="s">
        <v>3026</v>
      </c>
      <c r="J39" s="1681">
        <f>SUMIF(116:116,I39,117:117)-SUMIF(116:116,C39,117:117)+100</f>
        <v>100</v>
      </c>
      <c r="K39" s="1670"/>
      <c r="L39" s="2967"/>
      <c r="M39" s="2963"/>
      <c r="N39" s="2963"/>
      <c r="O39" s="2963"/>
      <c r="P39" s="3585"/>
      <c r="Q39" s="1586" t="str">
        <f t="shared" si="11"/>
        <v>市政基础设施</v>
      </c>
      <c r="R39" s="1695" t="s">
        <v>28</v>
      </c>
      <c r="S39" s="1696">
        <f t="shared" si="12"/>
        <v>100</v>
      </c>
      <c r="T39" s="1695" t="s">
        <v>28</v>
      </c>
      <c r="U39" s="1696">
        <f t="shared" si="13"/>
        <v>100</v>
      </c>
      <c r="V39" s="1695" t="s">
        <v>28</v>
      </c>
      <c r="W39" s="1696">
        <f t="shared" si="14"/>
        <v>100</v>
      </c>
      <c r="X39" s="1636"/>
      <c r="Y39" s="3587"/>
      <c r="Z39" s="1697" t="str">
        <f t="shared" si="15"/>
        <v>市政基础设施</v>
      </c>
      <c r="AA39" s="1698">
        <f t="shared" si="3"/>
        <v>1</v>
      </c>
      <c r="AB39" s="1698">
        <f t="shared" si="4"/>
        <v>1</v>
      </c>
      <c r="AC39" s="1698">
        <f t="shared" si="5"/>
        <v>1</v>
      </c>
    </row>
    <row r="40" spans="1:29" ht="15">
      <c r="A40" s="1740"/>
      <c r="B40" s="1665" t="s">
        <v>2228</v>
      </c>
      <c r="C40" s="1724"/>
      <c r="D40" s="1681">
        <v>100</v>
      </c>
      <c r="E40" s="3339"/>
      <c r="F40" s="1723">
        <f>SUMIF(118:118,E40,119:119)-SUMIF(118:118,C40,119:119)+100</f>
        <v>100</v>
      </c>
      <c r="G40" s="2444"/>
      <c r="H40" s="1681">
        <f>SUMIF(118:118,G40,119:119)-SUMIF(118:118,C40,119:119)+100</f>
        <v>100</v>
      </c>
      <c r="I40" s="2444"/>
      <c r="J40" s="1681">
        <f>SUMIF(118:118,I40,119:119)-SUMIF(118:118,C40,119:119)+100</f>
        <v>100</v>
      </c>
      <c r="K40" s="1670"/>
      <c r="L40" s="2967"/>
      <c r="M40" s="2963"/>
      <c r="N40" s="2963"/>
      <c r="O40" s="2963"/>
      <c r="P40" s="3585"/>
      <c r="Q40" s="1586" t="str">
        <f t="shared" si="11"/>
        <v>房型</v>
      </c>
      <c r="R40" s="1695" t="s">
        <v>28</v>
      </c>
      <c r="S40" s="1696">
        <f t="shared" si="12"/>
        <v>100</v>
      </c>
      <c r="T40" s="1695" t="s">
        <v>28</v>
      </c>
      <c r="U40" s="1696">
        <f t="shared" si="13"/>
        <v>100</v>
      </c>
      <c r="V40" s="1695" t="s">
        <v>28</v>
      </c>
      <c r="W40" s="1696">
        <f t="shared" si="14"/>
        <v>100</v>
      </c>
      <c r="X40" s="1636"/>
      <c r="Y40" s="3587"/>
      <c r="Z40" s="1697" t="str">
        <f t="shared" si="15"/>
        <v>房型</v>
      </c>
      <c r="AA40" s="1698">
        <f t="shared" si="3"/>
        <v>1</v>
      </c>
      <c r="AB40" s="1698">
        <f t="shared" si="4"/>
        <v>1</v>
      </c>
      <c r="AC40" s="1698">
        <f t="shared" si="5"/>
        <v>1</v>
      </c>
    </row>
    <row r="41" spans="1:29" s="1739" customFormat="1" ht="28.5">
      <c r="A41" s="1732"/>
      <c r="B41" s="1665" t="s">
        <v>2229</v>
      </c>
      <c r="C41" s="1733"/>
      <c r="D41" s="1667">
        <v>100</v>
      </c>
      <c r="E41" s="3337"/>
      <c r="F41" s="1669">
        <f>SUMIF(120:120,E41,121:121)-SUMIF(120:120,C41,121:121)+100</f>
        <v>100</v>
      </c>
      <c r="G41" s="1957"/>
      <c r="H41" s="1667">
        <f>SUMIF(120:120,G41,121:121)-SUMIF(120:120,C41,121:121)+100</f>
        <v>100</v>
      </c>
      <c r="I41" s="1957"/>
      <c r="J41" s="1681">
        <f>SUMIF(120:120,I41,121:121)-SUMIF(120:120,C41,121:121)+100</f>
        <v>100</v>
      </c>
      <c r="K41" s="1679"/>
      <c r="L41" s="2966"/>
      <c r="M41" s="2025"/>
      <c r="N41" s="2025"/>
      <c r="O41" s="2025"/>
      <c r="P41" s="3585"/>
      <c r="Q41" s="1734" t="str">
        <f t="shared" si="11"/>
        <v>单套/主力户型建筑面积</v>
      </c>
      <c r="R41" s="1735" t="s">
        <v>28</v>
      </c>
      <c r="S41" s="1736">
        <f t="shared" si="12"/>
        <v>100</v>
      </c>
      <c r="T41" s="1735" t="s">
        <v>28</v>
      </c>
      <c r="U41" s="1736">
        <f t="shared" si="13"/>
        <v>100</v>
      </c>
      <c r="V41" s="1735" t="s">
        <v>28</v>
      </c>
      <c r="W41" s="1736">
        <f t="shared" si="14"/>
        <v>100</v>
      </c>
      <c r="X41" s="1737"/>
      <c r="Y41" s="3587"/>
      <c r="Z41" s="1738" t="str">
        <f t="shared" si="15"/>
        <v>单套/主力户型建筑面积</v>
      </c>
      <c r="AA41" s="1698">
        <f t="shared" si="3"/>
        <v>1</v>
      </c>
      <c r="AB41" s="1698">
        <f t="shared" si="4"/>
        <v>1</v>
      </c>
      <c r="AC41" s="1698">
        <f t="shared" si="5"/>
        <v>1</v>
      </c>
    </row>
    <row r="42" spans="1:29" ht="15">
      <c r="A42" s="1740"/>
      <c r="B42" s="1665" t="s">
        <v>2230</v>
      </c>
      <c r="C42" s="3319" t="s">
        <v>3001</v>
      </c>
      <c r="D42" s="1681">
        <v>100</v>
      </c>
      <c r="E42" s="3332"/>
      <c r="F42" s="1723">
        <f>SUMIF(122:122,E42,123:123)-SUMIF(122:122,C42,123:123)+100</f>
        <v>100</v>
      </c>
      <c r="G42" s="1724"/>
      <c r="H42" s="1681">
        <f>SUMIF(122:122,G42,123:123)-SUMIF(122:122,C42,123:123)+100</f>
        <v>100</v>
      </c>
      <c r="I42" s="1724"/>
      <c r="J42" s="1681">
        <f>SUMIF(122:122,I42,123:123)-SUMIF(122:122,C42,123:123)+100</f>
        <v>100</v>
      </c>
      <c r="K42" s="1670"/>
      <c r="L42" s="2967"/>
      <c r="M42" s="2963"/>
      <c r="N42" s="2963"/>
      <c r="O42" s="2963"/>
      <c r="P42" s="3585"/>
      <c r="Q42" s="1586" t="str">
        <f t="shared" si="11"/>
        <v>内部装修</v>
      </c>
      <c r="R42" s="1695" t="s">
        <v>28</v>
      </c>
      <c r="S42" s="1696">
        <f t="shared" si="12"/>
        <v>100</v>
      </c>
      <c r="T42" s="1695" t="s">
        <v>28</v>
      </c>
      <c r="U42" s="1696">
        <f t="shared" si="13"/>
        <v>100</v>
      </c>
      <c r="V42" s="1695" t="s">
        <v>28</v>
      </c>
      <c r="W42" s="1696">
        <f t="shared" si="14"/>
        <v>100</v>
      </c>
      <c r="X42" s="1636"/>
      <c r="Y42" s="3587"/>
      <c r="Z42" s="1697" t="str">
        <f t="shared" si="15"/>
        <v>内部装修</v>
      </c>
      <c r="AA42" s="1698">
        <f t="shared" si="3"/>
        <v>1</v>
      </c>
      <c r="AB42" s="1698">
        <f t="shared" si="4"/>
        <v>1</v>
      </c>
      <c r="AC42" s="1698">
        <f t="shared" si="5"/>
        <v>1</v>
      </c>
    </row>
    <row r="43" spans="1:29" ht="15">
      <c r="A43" s="1740"/>
      <c r="B43" s="1665" t="s">
        <v>2231</v>
      </c>
      <c r="C43" s="1724"/>
      <c r="D43" s="1681">
        <v>100</v>
      </c>
      <c r="E43" s="3332"/>
      <c r="F43" s="1723">
        <f>SUMIF(124:124,E43,125:125)-SUMIF(124:124,C43,125:125)+100</f>
        <v>100</v>
      </c>
      <c r="G43" s="1724"/>
      <c r="H43" s="1681">
        <f>SUMIF(124:124,G43,125:125)-SUMIF(124:124,C43,125:125)+100</f>
        <v>100</v>
      </c>
      <c r="I43" s="1724"/>
      <c r="J43" s="1681">
        <f>SUMIF(124:124,I43,125:125)-SUMIF(124:124,C43,125:125)+100</f>
        <v>100</v>
      </c>
      <c r="K43" s="1670"/>
      <c r="L43" s="2967"/>
      <c r="M43" s="2963"/>
      <c r="N43" s="2963"/>
      <c r="O43" s="2963"/>
      <c r="P43" s="3585"/>
      <c r="Q43" s="1586" t="str">
        <f t="shared" si="11"/>
        <v>内部装修维护情况</v>
      </c>
      <c r="R43" s="1695" t="s">
        <v>28</v>
      </c>
      <c r="S43" s="1696">
        <f t="shared" si="12"/>
        <v>100</v>
      </c>
      <c r="T43" s="1695" t="s">
        <v>28</v>
      </c>
      <c r="U43" s="1696">
        <f t="shared" si="13"/>
        <v>100</v>
      </c>
      <c r="V43" s="1695" t="s">
        <v>28</v>
      </c>
      <c r="W43" s="1696">
        <f t="shared" si="14"/>
        <v>100</v>
      </c>
      <c r="X43" s="1636"/>
      <c r="Y43" s="3587"/>
      <c r="Z43" s="1697" t="str">
        <f t="shared" si="15"/>
        <v>内部装修维护情况</v>
      </c>
      <c r="AA43" s="1698">
        <f t="shared" si="3"/>
        <v>1</v>
      </c>
      <c r="AB43" s="1698">
        <f t="shared" si="4"/>
        <v>1</v>
      </c>
      <c r="AC43" s="1698">
        <f t="shared" si="5"/>
        <v>1</v>
      </c>
    </row>
    <row r="44" spans="1:29" s="1655" customFormat="1" ht="15">
      <c r="A44" s="1743"/>
      <c r="B44" s="1729">
        <v>111</v>
      </c>
      <c r="C44" s="1733"/>
      <c r="D44" s="1667">
        <v>100</v>
      </c>
      <c r="E44" s="3325"/>
      <c r="F44" s="1669">
        <f>SUMIF(126:126,E44,127:127)-SUMIF(126:126,C44,127:127)+100</f>
        <v>100</v>
      </c>
      <c r="G44" s="1680" t="s">
        <v>3024</v>
      </c>
      <c r="H44" s="1667">
        <f>SUMIF(126:126,G44,127:127)-SUMIF(126:126,C44,127:127)+100</f>
        <v>100</v>
      </c>
      <c r="I44" s="1680" t="s">
        <v>3024</v>
      </c>
      <c r="J44" s="1667">
        <f>SUMIF(126:126,I44,127:127)-SUMIF(126:126,C44,127:127)+100</f>
        <v>100</v>
      </c>
      <c r="K44" s="1679"/>
      <c r="L44" s="2962"/>
      <c r="M44" s="2935"/>
      <c r="N44" s="2935"/>
      <c r="O44" s="2935"/>
      <c r="P44" s="3585"/>
      <c r="Q44" s="1605">
        <f t="shared" si="11"/>
        <v>111</v>
      </c>
      <c r="R44" s="1651" t="s">
        <v>28</v>
      </c>
      <c r="S44" s="1652">
        <f t="shared" si="12"/>
        <v>100</v>
      </c>
      <c r="T44" s="1651" t="s">
        <v>28</v>
      </c>
      <c r="U44" s="1652">
        <f t="shared" si="13"/>
        <v>100</v>
      </c>
      <c r="V44" s="1651" t="s">
        <v>28</v>
      </c>
      <c r="W44" s="1652">
        <f t="shared" si="14"/>
        <v>100</v>
      </c>
      <c r="X44" s="1653"/>
      <c r="Y44" s="3587"/>
      <c r="Z44" s="1663">
        <f t="shared" si="15"/>
        <v>111</v>
      </c>
      <c r="AA44" s="1654">
        <f t="shared" si="3"/>
        <v>1</v>
      </c>
      <c r="AB44" s="1654">
        <f t="shared" si="4"/>
        <v>1</v>
      </c>
      <c r="AC44" s="1654">
        <f t="shared" si="5"/>
        <v>1</v>
      </c>
    </row>
    <row r="45" spans="1:29" ht="15">
      <c r="A45" s="1740"/>
      <c r="B45" s="1729">
        <v>111</v>
      </c>
      <c r="C45" s="1680"/>
      <c r="D45" s="1681">
        <v>100</v>
      </c>
      <c r="E45" s="3325" t="s">
        <v>3019</v>
      </c>
      <c r="F45" s="1723">
        <f>SUMIF(128:128,E45,129:129)-SUMIF(128:128,C45,129:129)+100</f>
        <v>100</v>
      </c>
      <c r="G45" s="1680">
        <v>94</v>
      </c>
      <c r="H45" s="1681">
        <f>SUMIF(128:128,G45,129:129)-SUMIF(128:128,C45,129:129)+100</f>
        <v>100</v>
      </c>
      <c r="I45" s="1680">
        <v>2000</v>
      </c>
      <c r="J45" s="1681">
        <f>SUMIF(128:128,I45,129:129)-SUMIF(128:128,C45,129:129)+100</f>
        <v>100</v>
      </c>
      <c r="K45" s="1679"/>
      <c r="L45" s="2967"/>
      <c r="M45" s="2963"/>
      <c r="N45" s="2963"/>
      <c r="O45" s="2963"/>
      <c r="P45" s="3585"/>
      <c r="Q45" s="1586">
        <f t="shared" si="11"/>
        <v>111</v>
      </c>
      <c r="R45" s="1695" t="s">
        <v>28</v>
      </c>
      <c r="S45" s="1696">
        <f t="shared" si="12"/>
        <v>100</v>
      </c>
      <c r="T45" s="1695" t="s">
        <v>28</v>
      </c>
      <c r="U45" s="1696">
        <f t="shared" si="13"/>
        <v>100</v>
      </c>
      <c r="V45" s="1695" t="s">
        <v>28</v>
      </c>
      <c r="W45" s="1696">
        <f t="shared" si="14"/>
        <v>100</v>
      </c>
      <c r="X45" s="1636"/>
      <c r="Y45" s="3587"/>
      <c r="Z45" s="1697">
        <f t="shared" si="15"/>
        <v>111</v>
      </c>
      <c r="AA45" s="1698">
        <f t="shared" si="3"/>
        <v>1</v>
      </c>
      <c r="AB45" s="1698">
        <f t="shared" si="4"/>
        <v>1</v>
      </c>
      <c r="AC45" s="1698">
        <f t="shared" si="5"/>
        <v>1</v>
      </c>
    </row>
    <row r="46" spans="1:29" ht="15.75" thickBot="1">
      <c r="A46" s="1746"/>
      <c r="B46" s="1683">
        <v>111</v>
      </c>
      <c r="C46" s="1684"/>
      <c r="D46" s="1685">
        <v>100</v>
      </c>
      <c r="E46" s="3325"/>
      <c r="F46" s="1686">
        <f>SUMIF(130:130,E46,131:131)-SUMIF(130:130,C46,131:131)+100</f>
        <v>100</v>
      </c>
      <c r="G46" s="1680"/>
      <c r="H46" s="1685">
        <f>SUMIF(130:130,G46,131:131)-SUMIF(130:130,C46,131:131)+100</f>
        <v>100</v>
      </c>
      <c r="I46" s="1680"/>
      <c r="J46" s="1685">
        <f>SUMIF(130:130,I46,131:131)-SUMIF(130:130,C46,131:131)+100</f>
        <v>100</v>
      </c>
      <c r="K46" s="1679"/>
      <c r="L46" s="2967"/>
      <c r="M46" s="2963"/>
      <c r="N46" s="2963"/>
      <c r="O46" s="2963"/>
      <c r="P46" s="3586"/>
      <c r="Q46" s="1586">
        <f t="shared" si="11"/>
        <v>111</v>
      </c>
      <c r="R46" s="1695" t="s">
        <v>27</v>
      </c>
      <c r="S46" s="1696">
        <f t="shared" si="12"/>
        <v>100</v>
      </c>
      <c r="T46" s="1695" t="s">
        <v>27</v>
      </c>
      <c r="U46" s="1696">
        <f t="shared" si="13"/>
        <v>100</v>
      </c>
      <c r="V46" s="1695" t="s">
        <v>27</v>
      </c>
      <c r="W46" s="1696">
        <f t="shared" si="14"/>
        <v>100</v>
      </c>
      <c r="X46" s="1636"/>
      <c r="Y46" s="3588"/>
      <c r="Z46" s="1697">
        <f t="shared" si="15"/>
        <v>111</v>
      </c>
      <c r="AA46" s="1698">
        <f t="shared" si="3"/>
        <v>1</v>
      </c>
      <c r="AB46" s="1698">
        <f t="shared" si="4"/>
        <v>1</v>
      </c>
      <c r="AC46" s="1698">
        <f t="shared" si="5"/>
        <v>1</v>
      </c>
    </row>
    <row r="47" spans="1:29" ht="15">
      <c r="A47" s="1747" t="s">
        <v>2232</v>
      </c>
      <c r="B47" s="1748"/>
      <c r="C47" s="1749" t="s">
        <v>26</v>
      </c>
      <c r="D47" s="1750"/>
      <c r="E47" s="3336">
        <v>65000</v>
      </c>
      <c r="F47" s="1752"/>
      <c r="G47" s="1753">
        <v>51700</v>
      </c>
      <c r="H47" s="1754"/>
      <c r="I47" s="1751">
        <v>58200</v>
      </c>
      <c r="J47" s="1754"/>
      <c r="K47" s="1755"/>
      <c r="L47" s="2968"/>
      <c r="N47" s="2963"/>
      <c r="P47" s="3578" t="str">
        <f>A47</f>
        <v>成交单价（元/平方米）</v>
      </c>
      <c r="Q47" s="3578"/>
      <c r="R47" s="3579">
        <f>E47</f>
        <v>65000</v>
      </c>
      <c r="S47" s="3579"/>
      <c r="T47" s="3579">
        <f>G47</f>
        <v>51700</v>
      </c>
      <c r="U47" s="3579"/>
      <c r="V47" s="3579">
        <f>I47</f>
        <v>58200</v>
      </c>
      <c r="W47" s="3579"/>
      <c r="X47" s="1757"/>
      <c r="Y47" s="1758"/>
      <c r="Z47" s="1757"/>
      <c r="AA47" s="1757"/>
      <c r="AB47" s="1757"/>
      <c r="AC47" s="1757"/>
    </row>
    <row r="48" spans="1:29" ht="15.75" thickBot="1">
      <c r="A48" s="1759" t="s">
        <v>2233</v>
      </c>
      <c r="B48" s="1760"/>
      <c r="C48" s="1761" t="e">
        <f>R49</f>
        <v>#DIV/0!</v>
      </c>
      <c r="D48" s="1762" t="s">
        <v>2685</v>
      </c>
      <c r="E48" s="1763" t="e">
        <f>R48</f>
        <v>#DIV/0!</v>
      </c>
      <c r="F48" s="1764"/>
      <c r="G48" s="1761" t="e">
        <f>T48</f>
        <v>#DIV/0!</v>
      </c>
      <c r="H48" s="1764"/>
      <c r="I48" s="1763" t="e">
        <f>V48</f>
        <v>#DIV/0!</v>
      </c>
      <c r="J48" s="1764"/>
      <c r="K48" s="2477">
        <f>F48+H48+J48</f>
        <v>0</v>
      </c>
      <c r="L48" s="2968"/>
      <c r="P48" s="3578" t="str">
        <f>A48</f>
        <v>比较价值（元/平方米）</v>
      </c>
      <c r="Q48" s="3578"/>
      <c r="R48" s="3579" t="e">
        <f>IF(E1="售价",ROUND(PRODUCT(R47,AA7:AA46),0),ROUND(PRODUCT(R47,AA7:AA46),1))</f>
        <v>#DIV/0!</v>
      </c>
      <c r="S48" s="3579"/>
      <c r="T48" s="3580" t="e">
        <f>IF(E1="售价",ROUND(PRODUCT(T47,AB7:AB46),0),ROUND(PRODUCT(T47,AB7:AB46),1))</f>
        <v>#DIV/0!</v>
      </c>
      <c r="U48" s="3581"/>
      <c r="V48" s="3579" t="e">
        <f>IF(E1="售价",ROUND(PRODUCT(V47,AC7:AC46),0),ROUND(PRODUCT(V47,AC7:AC46),1))</f>
        <v>#DIV/0!</v>
      </c>
      <c r="W48" s="3579"/>
      <c r="X48" s="1757"/>
      <c r="Y48" s="1757"/>
      <c r="Z48" s="1757"/>
      <c r="AA48" s="1757"/>
      <c r="AB48" s="1757"/>
      <c r="AC48" s="1757"/>
    </row>
    <row r="49" spans="1:29" ht="15.75" thickBot="1">
      <c r="A49" s="1765" t="s">
        <v>2234</v>
      </c>
      <c r="B49" s="1766"/>
      <c r="C49" s="1767" t="e">
        <f>R49</f>
        <v>#DIV/0!</v>
      </c>
      <c r="D49" s="1768"/>
      <c r="E49" s="1768"/>
      <c r="F49" s="1768"/>
      <c r="G49" s="1768"/>
      <c r="H49" s="1768"/>
      <c r="I49" s="1768"/>
      <c r="J49" s="1768"/>
      <c r="K49" s="1769"/>
      <c r="L49" s="2968"/>
      <c r="P49" s="3575" t="str">
        <f>A49</f>
        <v>估价对象XX用房的比较价值（楼面单价，元/平方米）</v>
      </c>
      <c r="Q49" s="3576"/>
      <c r="R49" s="3577" t="e">
        <f>IF(E1="售价",ROUND(IF(D48="简单平均",AVERAGE(R48:V48),R48*F48+T48*H48+V48*J48),0),ROUND(IF(D48="简单平均",AVERAGE(R48:V48),R48*F48+T48*H48+V48*J48),1))</f>
        <v>#DIV/0!</v>
      </c>
      <c r="S49" s="3577"/>
      <c r="T49" s="3577"/>
      <c r="U49" s="3577"/>
      <c r="V49" s="3577"/>
      <c r="W49" s="3577"/>
      <c r="X49" s="1757"/>
      <c r="Y49" s="1757"/>
      <c r="Z49" s="1757"/>
      <c r="AA49" s="1757"/>
      <c r="AB49" s="1757"/>
      <c r="AC49" s="1757"/>
    </row>
    <row r="50" spans="1:29">
      <c r="G50" s="2972"/>
    </row>
    <row r="52" spans="1:29" ht="13.5" customHeight="1">
      <c r="C52" s="383" t="s">
        <v>2235</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2236</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2237</v>
      </c>
      <c r="D54" s="1776"/>
      <c r="E54" s="1774">
        <f>IF(E47&lt;G47,G47/E47-1,E47/G47-1)</f>
        <v>0.25725338491295946</v>
      </c>
      <c r="F54" s="1775" t="str">
        <f>IF(OR(E54&gt;=0.3,E54&lt;=-0.3),"超过30%","")</f>
        <v/>
      </c>
      <c r="G54" s="1774">
        <f>IF(G47&lt;I47,I47/G47-1,G47/I47-1)</f>
        <v>0.12572533849129597</v>
      </c>
      <c r="H54" s="1775" t="str">
        <f>IF(OR(G54&gt;=0.3,G54&lt;=-0.3),"超过30%","")</f>
        <v/>
      </c>
      <c r="I54" s="1774">
        <f>IF(I47&lt;E47,E47/I47-1,I47/E47-1)</f>
        <v>0.11683848797250862</v>
      </c>
      <c r="J54" s="1775" t="str">
        <f>IF(OR(I54&gt;=0.3,I54&lt;=-0.3),"超过30%","")</f>
        <v/>
      </c>
      <c r="K54" s="2975"/>
      <c r="L54" s="2969"/>
      <c r="P54" s="1778"/>
    </row>
    <row r="55" spans="1:29" s="1779" customFormat="1">
      <c r="B55" s="2973"/>
      <c r="C55" s="2974"/>
      <c r="K55" s="2975"/>
      <c r="L55" s="2969"/>
      <c r="P55" s="1778"/>
    </row>
    <row r="56" spans="1:29">
      <c r="B56" s="2973"/>
      <c r="C56" s="2974"/>
    </row>
    <row r="57" spans="1:29" ht="21.75" thickBot="1">
      <c r="A57" s="1782" t="s">
        <v>2238</v>
      </c>
      <c r="B57" s="1757"/>
      <c r="C57" s="1783"/>
      <c r="D57" s="1783"/>
      <c r="E57" s="1783"/>
      <c r="F57" s="1783"/>
      <c r="G57" s="1783"/>
      <c r="H57" s="1783"/>
      <c r="I57" s="1783"/>
      <c r="J57" s="1783"/>
      <c r="K57" s="1784"/>
      <c r="L57" s="2970"/>
      <c r="M57" s="2971"/>
      <c r="N57" s="2971"/>
      <c r="O57" s="2971"/>
      <c r="P57" s="1786"/>
      <c r="Q57" s="1787"/>
    </row>
    <row r="58" spans="1:29" s="1793" customFormat="1" ht="15">
      <c r="A58" s="1788" t="s">
        <v>2239</v>
      </c>
      <c r="B58" s="1789"/>
      <c r="C58" s="1790" t="str">
        <f>YEAR(C7)&amp;"-"&amp;MONTH(C7)</f>
        <v>2022-2</v>
      </c>
      <c r="D58" s="1791">
        <f>EDATE(C58,-1)</f>
        <v>44562</v>
      </c>
      <c r="E58" s="1791">
        <f t="shared" ref="E58:O58" si="16">EDATE(D58,-1)</f>
        <v>44531</v>
      </c>
      <c r="F58" s="1791">
        <f t="shared" si="16"/>
        <v>44501</v>
      </c>
      <c r="G58" s="1791">
        <f t="shared" si="16"/>
        <v>44470</v>
      </c>
      <c r="H58" s="1791">
        <f t="shared" si="16"/>
        <v>44440</v>
      </c>
      <c r="I58" s="1791">
        <f t="shared" si="16"/>
        <v>44409</v>
      </c>
      <c r="J58" s="1791">
        <f t="shared" si="16"/>
        <v>44378</v>
      </c>
      <c r="K58" s="1791">
        <f t="shared" si="16"/>
        <v>44348</v>
      </c>
      <c r="L58" s="1791">
        <f t="shared" si="16"/>
        <v>44317</v>
      </c>
      <c r="M58" s="1791">
        <f t="shared" si="16"/>
        <v>44287</v>
      </c>
      <c r="N58" s="1791">
        <f t="shared" si="16"/>
        <v>44256</v>
      </c>
      <c r="O58" s="1791">
        <f t="shared" si="16"/>
        <v>44228</v>
      </c>
      <c r="P58" s="1792"/>
    </row>
    <row r="59" spans="1:29" s="1655" customFormat="1" ht="15">
      <c r="A59" s="1794"/>
      <c r="B59" s="1795"/>
      <c r="C59" s="1796">
        <v>100</v>
      </c>
      <c r="D59" s="1797">
        <v>100</v>
      </c>
      <c r="E59" s="1797">
        <v>100</v>
      </c>
      <c r="F59" s="1797">
        <v>100</v>
      </c>
      <c r="G59" s="1797"/>
      <c r="H59" s="1797"/>
      <c r="I59" s="1797"/>
      <c r="J59" s="1797"/>
      <c r="K59" s="1797"/>
      <c r="L59" s="1797"/>
      <c r="M59" s="1798"/>
      <c r="N59" s="1797"/>
      <c r="O59" s="1798"/>
      <c r="P59" s="1799"/>
    </row>
    <row r="60" spans="1:29" s="1655" customFormat="1" ht="15.75" thickBot="1">
      <c r="A60" s="1800" t="s">
        <v>2240</v>
      </c>
      <c r="B60" s="1801"/>
      <c r="C60" s="1802"/>
      <c r="D60" s="1803"/>
      <c r="E60" s="1803"/>
      <c r="F60" s="1803"/>
      <c r="G60" s="1803"/>
      <c r="H60" s="1803"/>
      <c r="I60" s="1803"/>
      <c r="J60" s="1803"/>
      <c r="K60" s="1803"/>
      <c r="L60" s="1803"/>
      <c r="M60" s="1804"/>
      <c r="N60" s="1803"/>
      <c r="O60" s="1804"/>
      <c r="P60" s="1799"/>
      <c r="Q60" s="1787"/>
    </row>
    <row r="61" spans="1:29" s="1655" customFormat="1" ht="15">
      <c r="A61" s="1805" t="s">
        <v>2241</v>
      </c>
      <c r="B61" s="1795"/>
      <c r="C61" s="1806" t="s">
        <v>2242</v>
      </c>
      <c r="D61" s="409"/>
      <c r="E61" s="409"/>
      <c r="F61" s="409"/>
      <c r="G61" s="409"/>
      <c r="H61" s="409"/>
      <c r="I61" s="409"/>
      <c r="J61" s="409"/>
      <c r="K61" s="409"/>
      <c r="L61" s="409"/>
      <c r="M61" s="1807"/>
      <c r="N61" s="1808"/>
      <c r="O61" s="1808"/>
      <c r="P61" s="1809"/>
      <c r="Q61" s="1787"/>
    </row>
    <row r="62" spans="1:29" s="1655" customFormat="1" ht="15.75" thickBot="1">
      <c r="A62" s="1805"/>
      <c r="B62" s="1795"/>
      <c r="C62" s="1810">
        <v>100</v>
      </c>
      <c r="D62" s="1797"/>
      <c r="E62" s="1797"/>
      <c r="F62" s="1797"/>
      <c r="G62" s="1797"/>
      <c r="H62" s="1797"/>
      <c r="I62" s="1797"/>
      <c r="J62" s="1797"/>
      <c r="K62" s="1797"/>
      <c r="L62" s="1797"/>
      <c r="M62" s="1811"/>
      <c r="N62" s="1808"/>
      <c r="O62" s="1808"/>
      <c r="P62" s="1799"/>
      <c r="Q62" s="1787"/>
    </row>
    <row r="63" spans="1:29">
      <c r="A63" s="1812" t="s">
        <v>2243</v>
      </c>
      <c r="B63" s="1813" t="s">
        <v>2208</v>
      </c>
      <c r="C63" s="1814" t="str">
        <f>C9</f>
        <v>住宅</v>
      </c>
      <c r="D63" s="1815"/>
      <c r="E63" s="1815"/>
      <c r="F63" s="1815"/>
      <c r="G63" s="1815"/>
      <c r="H63" s="1815"/>
      <c r="I63" s="1815"/>
      <c r="J63" s="1815"/>
      <c r="K63" s="417"/>
      <c r="L63" s="417"/>
      <c r="M63" s="1816"/>
      <c r="N63" s="1817"/>
      <c r="O63" s="1817"/>
      <c r="P63" s="1818"/>
      <c r="Q63" s="1787"/>
    </row>
    <row r="64" spans="1:29" ht="15.75" thickBot="1">
      <c r="A64" s="1819"/>
      <c r="B64" s="1820"/>
      <c r="C64" s="1821">
        <v>100</v>
      </c>
      <c r="D64" s="1821"/>
      <c r="E64" s="1821"/>
      <c r="F64" s="1821"/>
      <c r="G64" s="1821"/>
      <c r="H64" s="1821"/>
      <c r="I64" s="1821"/>
      <c r="J64" s="1821"/>
      <c r="K64" s="1821"/>
      <c r="L64" s="1821"/>
      <c r="M64" s="1822"/>
      <c r="N64" s="1823"/>
      <c r="O64" s="1823"/>
      <c r="P64" s="1818"/>
      <c r="Q64" s="1787"/>
    </row>
    <row r="65" spans="1:17" ht="27.75" thickTop="1">
      <c r="A65" s="1819"/>
      <c r="B65" s="1824" t="s">
        <v>2211</v>
      </c>
      <c r="C65" s="1825" t="s">
        <v>2244</v>
      </c>
      <c r="D65" s="1825" t="s">
        <v>2245</v>
      </c>
      <c r="E65" s="1825" t="s">
        <v>2246</v>
      </c>
      <c r="F65" s="1825" t="s">
        <v>2247</v>
      </c>
      <c r="G65" s="1825" t="s">
        <v>2248</v>
      </c>
      <c r="H65" s="1825" t="s">
        <v>2249</v>
      </c>
      <c r="I65" s="1825" t="s">
        <v>2250</v>
      </c>
      <c r="J65" s="1825"/>
      <c r="K65" s="428"/>
      <c r="L65" s="428"/>
      <c r="M65" s="1826"/>
      <c r="N65" s="1817"/>
      <c r="O65" s="1817"/>
      <c r="P65" s="1818"/>
      <c r="Q65" s="1787"/>
    </row>
    <row r="66" spans="1:17" ht="15.75"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75" thickTop="1">
      <c r="A67" s="1819"/>
      <c r="B67" s="1830" t="s">
        <v>2212</v>
      </c>
      <c r="C67" s="1831" t="str">
        <f>C68&amp;"（含）"&amp;"-"&amp;D68</f>
        <v>0（含）-1</v>
      </c>
      <c r="D67" s="1831" t="str">
        <f t="shared" ref="D67:L67" si="18">D68&amp;"（含）"&amp;"-"&amp;E68</f>
        <v>1（含）-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701" t="str">
        <f>M68&amp;"（含）"&amp;"-"&amp;P68</f>
        <v>（含）-</v>
      </c>
      <c r="N67" s="1823"/>
      <c r="O67" s="1823"/>
      <c r="P67" s="1818"/>
      <c r="Q67" s="1787"/>
    </row>
    <row r="68" spans="1:17" ht="15">
      <c r="A68" s="1819"/>
      <c r="B68" s="1832"/>
      <c r="C68" s="1833">
        <v>0</v>
      </c>
      <c r="D68" s="1833">
        <v>1</v>
      </c>
      <c r="E68" s="1833"/>
      <c r="F68" s="1833"/>
      <c r="G68" s="1833"/>
      <c r="H68" s="1833"/>
      <c r="I68" s="1833"/>
      <c r="J68" s="1833"/>
      <c r="K68" s="438"/>
      <c r="L68" s="438"/>
      <c r="M68" s="1834"/>
      <c r="N68" s="1817"/>
      <c r="O68" s="1817"/>
      <c r="P68" s="1818"/>
      <c r="Q68" s="1787"/>
    </row>
    <row r="69" spans="1:17" ht="15.75"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9" customFormat="1" ht="15.75" thickTop="1">
      <c r="A70" s="1835"/>
      <c r="B70" s="1824">
        <f>B12</f>
        <v>111</v>
      </c>
      <c r="C70" s="468"/>
      <c r="D70" s="468"/>
      <c r="E70" s="468"/>
      <c r="F70" s="468"/>
      <c r="G70" s="468"/>
      <c r="H70" s="443"/>
      <c r="I70" s="443"/>
      <c r="J70" s="443"/>
      <c r="K70" s="443"/>
      <c r="L70" s="443"/>
      <c r="M70" s="1836"/>
      <c r="N70" s="1837"/>
      <c r="O70" s="1837"/>
      <c r="P70" s="1838"/>
      <c r="Q70" s="1839"/>
    </row>
    <row r="71" spans="1:17" s="1739" customFormat="1" ht="15.75" thickBot="1">
      <c r="A71" s="1835"/>
      <c r="B71" s="1827"/>
      <c r="C71" s="1840"/>
      <c r="D71" s="1821"/>
      <c r="E71" s="1821"/>
      <c r="F71" s="1821"/>
      <c r="G71" s="1821"/>
      <c r="H71" s="1821"/>
      <c r="I71" s="1821"/>
      <c r="J71" s="1821"/>
      <c r="K71" s="1821"/>
      <c r="L71" s="1821"/>
      <c r="M71" s="1822"/>
      <c r="N71" s="1823"/>
      <c r="O71" s="1823"/>
      <c r="P71" s="1838"/>
      <c r="Q71" s="1839"/>
    </row>
    <row r="72" spans="1:17" s="1739" customFormat="1" ht="15.75" thickTop="1">
      <c r="A72" s="1835"/>
      <c r="B72" s="1824">
        <f>B13</f>
        <v>111</v>
      </c>
      <c r="C72" s="468"/>
      <c r="D72" s="468"/>
      <c r="E72" s="468"/>
      <c r="F72" s="468"/>
      <c r="G72" s="468"/>
      <c r="H72" s="443"/>
      <c r="I72" s="443"/>
      <c r="J72" s="443"/>
      <c r="K72" s="443"/>
      <c r="L72" s="443"/>
      <c r="M72" s="1836"/>
      <c r="N72" s="1837"/>
      <c r="O72" s="1837"/>
      <c r="P72" s="1841"/>
      <c r="Q72" s="1842"/>
    </row>
    <row r="73" spans="1:17" s="1739" customFormat="1" ht="15.75" thickBot="1">
      <c r="A73" s="1835"/>
      <c r="B73" s="1827"/>
      <c r="C73" s="1840"/>
      <c r="D73" s="1840"/>
      <c r="E73" s="1840"/>
      <c r="F73" s="1840"/>
      <c r="G73" s="1840"/>
      <c r="H73" s="1843"/>
      <c r="I73" s="1843"/>
      <c r="J73" s="1843"/>
      <c r="K73" s="1843"/>
      <c r="L73" s="1843"/>
      <c r="M73" s="1844"/>
      <c r="N73" s="1837"/>
      <c r="O73" s="1837"/>
      <c r="P73" s="1838"/>
      <c r="Q73" s="1839"/>
    </row>
    <row r="74" spans="1:17" s="1739" customFormat="1" ht="15.75" thickTop="1">
      <c r="A74" s="1835"/>
      <c r="B74" s="1830">
        <f>B14</f>
        <v>111</v>
      </c>
      <c r="C74" s="468"/>
      <c r="D74" s="468"/>
      <c r="E74" s="468"/>
      <c r="F74" s="468"/>
      <c r="G74" s="409"/>
      <c r="H74" s="453"/>
      <c r="I74" s="453"/>
      <c r="J74" s="453"/>
      <c r="K74" s="453"/>
      <c r="L74" s="453"/>
      <c r="M74" s="1845"/>
      <c r="N74" s="1837"/>
      <c r="O74" s="1837"/>
      <c r="P74" s="1838"/>
      <c r="Q74" s="1839"/>
    </row>
    <row r="75" spans="1:17" s="1739" customFormat="1" ht="15.75" thickBot="1">
      <c r="A75" s="1846"/>
      <c r="B75" s="1847"/>
      <c r="C75" s="1848"/>
      <c r="D75" s="1848"/>
      <c r="E75" s="1848"/>
      <c r="F75" s="1848"/>
      <c r="G75" s="1848"/>
      <c r="H75" s="1849"/>
      <c r="I75" s="1849"/>
      <c r="J75" s="1849"/>
      <c r="K75" s="1849"/>
      <c r="L75" s="1849"/>
      <c r="M75" s="1850"/>
      <c r="N75" s="1837"/>
      <c r="O75" s="1837"/>
      <c r="P75" s="1838"/>
      <c r="Q75" s="1839"/>
    </row>
    <row r="76" spans="1:17">
      <c r="A76" s="1812" t="s">
        <v>2213</v>
      </c>
      <c r="B76" s="1813" t="s">
        <v>2251</v>
      </c>
      <c r="C76" s="1851" t="s">
        <v>2252</v>
      </c>
      <c r="D76" s="1851" t="s">
        <v>2253</v>
      </c>
      <c r="E76" s="1851" t="s">
        <v>2254</v>
      </c>
      <c r="F76" s="1851" t="s">
        <v>2255</v>
      </c>
      <c r="G76" s="1851" t="s">
        <v>2256</v>
      </c>
      <c r="H76" s="1814"/>
      <c r="I76" s="1814"/>
      <c r="J76" s="1814"/>
      <c r="K76" s="463"/>
      <c r="L76" s="463"/>
      <c r="M76" s="1852"/>
      <c r="N76" s="1817"/>
      <c r="O76" s="1817"/>
      <c r="P76" s="1818"/>
      <c r="Q76" s="1787"/>
    </row>
    <row r="77" spans="1:17" ht="15.75"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75" thickTop="1">
      <c r="A78" s="1819"/>
      <c r="B78" s="1824" t="s">
        <v>2257</v>
      </c>
      <c r="C78" s="579" t="s">
        <v>2252</v>
      </c>
      <c r="D78" s="579" t="s">
        <v>2253</v>
      </c>
      <c r="E78" s="579" t="s">
        <v>2254</v>
      </c>
      <c r="F78" s="579" t="s">
        <v>2255</v>
      </c>
      <c r="G78" s="579" t="s">
        <v>2256</v>
      </c>
      <c r="H78" s="1825"/>
      <c r="I78" s="1825"/>
      <c r="J78" s="1825"/>
      <c r="K78" s="428"/>
      <c r="L78" s="428"/>
      <c r="M78" s="1826"/>
      <c r="N78" s="1817"/>
      <c r="O78" s="1817"/>
      <c r="P78" s="1818"/>
      <c r="Q78" s="1787"/>
    </row>
    <row r="79" spans="1:17" ht="15.75"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75" thickTop="1">
      <c r="A80" s="1819"/>
      <c r="B80" s="1824" t="s">
        <v>2258</v>
      </c>
      <c r="C80" s="579" t="s">
        <v>2252</v>
      </c>
      <c r="D80" s="579" t="s">
        <v>2253</v>
      </c>
      <c r="E80" s="579" t="s">
        <v>2254</v>
      </c>
      <c r="F80" s="579" t="s">
        <v>2255</v>
      </c>
      <c r="G80" s="579" t="s">
        <v>2256</v>
      </c>
      <c r="H80" s="1825"/>
      <c r="I80" s="1825"/>
      <c r="J80" s="1825"/>
      <c r="K80" s="428"/>
      <c r="L80" s="428"/>
      <c r="M80" s="1826"/>
      <c r="N80" s="1817"/>
      <c r="O80" s="1817"/>
      <c r="P80" s="1818"/>
      <c r="Q80" s="1787"/>
    </row>
    <row r="81" spans="1:17" ht="15.75"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75" thickTop="1">
      <c r="A82" s="1819"/>
      <c r="B82" s="1830" t="s">
        <v>1650</v>
      </c>
      <c r="C82" s="1825" t="s">
        <v>2259</v>
      </c>
      <c r="D82" s="1825" t="s">
        <v>2260</v>
      </c>
      <c r="E82" s="1825" t="s">
        <v>2261</v>
      </c>
      <c r="F82" s="1825" t="s">
        <v>2262</v>
      </c>
      <c r="G82" s="1825" t="s">
        <v>2263</v>
      </c>
      <c r="H82" s="1825"/>
      <c r="I82" s="1825"/>
      <c r="J82" s="1825"/>
      <c r="K82" s="1825"/>
      <c r="L82" s="1825"/>
      <c r="M82" s="1853"/>
      <c r="N82" s="1823"/>
      <c r="O82" s="1823"/>
      <c r="P82" s="1818"/>
      <c r="Q82" s="1787"/>
    </row>
    <row r="83" spans="1:17" ht="15.75" thickBot="1">
      <c r="A83" s="1819"/>
      <c r="B83" s="1830"/>
      <c r="C83" s="1828">
        <v>100</v>
      </c>
      <c r="D83" s="1828">
        <f>C83-$K21</f>
        <v>100</v>
      </c>
      <c r="E83" s="1828">
        <f>D83-$K21</f>
        <v>100</v>
      </c>
      <c r="F83" s="1828">
        <f>E83-$K21</f>
        <v>100</v>
      </c>
      <c r="G83" s="1828">
        <f>F83-$K21</f>
        <v>100</v>
      </c>
      <c r="H83" s="1854"/>
      <c r="I83" s="1854"/>
      <c r="J83" s="1854"/>
      <c r="K83" s="1854"/>
      <c r="L83" s="1854"/>
      <c r="M83" s="1705"/>
      <c r="N83" s="1823"/>
      <c r="O83" s="1823"/>
      <c r="P83" s="1818"/>
      <c r="Q83" s="1787"/>
    </row>
    <row r="84" spans="1:17" ht="15.75" thickTop="1">
      <c r="A84" s="1819"/>
      <c r="B84" s="1824" t="s">
        <v>2264</v>
      </c>
      <c r="C84" s="579" t="s">
        <v>2252</v>
      </c>
      <c r="D84" s="579" t="s">
        <v>2253</v>
      </c>
      <c r="E84" s="579" t="s">
        <v>2254</v>
      </c>
      <c r="F84" s="579" t="s">
        <v>2255</v>
      </c>
      <c r="G84" s="579" t="s">
        <v>2256</v>
      </c>
      <c r="H84" s="1825"/>
      <c r="I84" s="1825"/>
      <c r="J84" s="1825"/>
      <c r="K84" s="428"/>
      <c r="L84" s="428"/>
      <c r="M84" s="1826"/>
      <c r="N84" s="1817"/>
      <c r="O84" s="1817"/>
      <c r="P84" s="1818"/>
      <c r="Q84" s="1787"/>
    </row>
    <row r="85" spans="1:17" ht="15.75"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5" customFormat="1" ht="15.75" thickTop="1">
      <c r="A86" s="1855"/>
      <c r="B86" s="1824" t="s">
        <v>2265</v>
      </c>
      <c r="C86" s="468"/>
      <c r="D86" s="468"/>
      <c r="E86" s="468"/>
      <c r="F86" s="468"/>
      <c r="G86" s="468"/>
      <c r="H86" s="468"/>
      <c r="I86" s="468"/>
      <c r="J86" s="468"/>
      <c r="K86" s="468"/>
      <c r="L86" s="468"/>
      <c r="M86" s="1856"/>
      <c r="N86" s="1808"/>
      <c r="O86" s="1808"/>
      <c r="P86" s="1818"/>
      <c r="Q86" s="1787"/>
    </row>
    <row r="87" spans="1:17" s="1655" customFormat="1" ht="15.75"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5" customFormat="1" ht="15.75" thickTop="1">
      <c r="A88" s="1855"/>
      <c r="B88" s="1824" t="s">
        <v>2266</v>
      </c>
      <c r="C88" s="468"/>
      <c r="D88" s="468"/>
      <c r="E88" s="468"/>
      <c r="F88" s="1858"/>
      <c r="G88" s="468"/>
      <c r="H88" s="468"/>
      <c r="I88" s="468"/>
      <c r="J88" s="468"/>
      <c r="K88" s="468"/>
      <c r="L88" s="468"/>
      <c r="M88" s="1856"/>
      <c r="N88" s="1808"/>
      <c r="O88" s="1808"/>
      <c r="P88" s="1818"/>
      <c r="Q88" s="1787"/>
    </row>
    <row r="89" spans="1:17" s="1655" customFormat="1" ht="15.75"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9" customFormat="1" ht="15.75" thickTop="1">
      <c r="A90" s="1835"/>
      <c r="B90" s="1824" t="str">
        <f>B27</f>
        <v>道路级别</v>
      </c>
      <c r="C90" s="468"/>
      <c r="D90" s="468"/>
      <c r="E90" s="468"/>
      <c r="F90" s="468"/>
      <c r="G90" s="468"/>
      <c r="H90" s="443"/>
      <c r="I90" s="443"/>
      <c r="J90" s="443"/>
      <c r="K90" s="443"/>
      <c r="L90" s="443"/>
      <c r="M90" s="1836"/>
      <c r="N90" s="1837"/>
      <c r="O90" s="1837"/>
      <c r="P90" s="1838"/>
      <c r="Q90" s="1839"/>
    </row>
    <row r="91" spans="1:17" s="1739" customFormat="1" ht="15.75" thickBot="1">
      <c r="A91" s="1835"/>
      <c r="B91" s="1827"/>
      <c r="C91" s="1840"/>
      <c r="D91" s="1840"/>
      <c r="E91" s="1840"/>
      <c r="F91" s="1840"/>
      <c r="G91" s="1840"/>
      <c r="H91" s="1843"/>
      <c r="I91" s="1843"/>
      <c r="J91" s="1843"/>
      <c r="K91" s="1843"/>
      <c r="L91" s="1843"/>
      <c r="M91" s="1844"/>
      <c r="N91" s="1837"/>
      <c r="O91" s="1837"/>
      <c r="P91" s="1838"/>
      <c r="Q91" s="1839"/>
    </row>
    <row r="92" spans="1:17" ht="15.75" thickTop="1">
      <c r="A92" s="1819"/>
      <c r="B92" s="1824" t="str">
        <f>B28</f>
        <v>楼层</v>
      </c>
      <c r="C92" s="3314" t="s">
        <v>2988</v>
      </c>
      <c r="D92" s="3314" t="s">
        <v>2989</v>
      </c>
      <c r="E92" s="3314" t="s">
        <v>2990</v>
      </c>
      <c r="F92" s="468">
        <v>4</v>
      </c>
      <c r="G92" s="1548">
        <v>5</v>
      </c>
      <c r="H92" s="1548">
        <v>6</v>
      </c>
      <c r="I92" s="1548"/>
      <c r="J92" s="1548"/>
      <c r="K92" s="473"/>
      <c r="L92" s="473"/>
      <c r="M92" s="1859"/>
      <c r="N92" s="1817"/>
      <c r="O92" s="1817"/>
      <c r="P92" s="1818"/>
      <c r="Q92" s="1787"/>
    </row>
    <row r="93" spans="1:17" ht="15.75" thickBot="1">
      <c r="A93" s="1819"/>
      <c r="B93" s="1827"/>
      <c r="C93" s="1840">
        <v>100</v>
      </c>
      <c r="D93" s="1821">
        <v>102</v>
      </c>
      <c r="E93" s="1821">
        <v>100</v>
      </c>
      <c r="F93" s="1821"/>
      <c r="G93" s="1821"/>
      <c r="H93" s="1821"/>
      <c r="I93" s="1821"/>
      <c r="J93" s="1821"/>
      <c r="K93" s="1821"/>
      <c r="L93" s="1821"/>
      <c r="M93" s="1822"/>
      <c r="N93" s="1823"/>
      <c r="O93" s="1823"/>
      <c r="P93" s="1818"/>
      <c r="Q93" s="1787"/>
    </row>
    <row r="94" spans="1:17" ht="15.75" thickTop="1">
      <c r="A94" s="1819"/>
      <c r="B94" s="1824">
        <f>B29</f>
        <v>111</v>
      </c>
      <c r="C94" s="3314" t="s">
        <v>3027</v>
      </c>
      <c r="D94" s="3314" t="s">
        <v>3028</v>
      </c>
      <c r="E94" s="3314" t="s">
        <v>3029</v>
      </c>
      <c r="F94" s="3314" t="s">
        <v>3030</v>
      </c>
      <c r="G94" s="1548"/>
      <c r="H94" s="1548"/>
      <c r="I94" s="1548"/>
      <c r="J94" s="1548"/>
      <c r="K94" s="473"/>
      <c r="L94" s="473"/>
      <c r="M94" s="1859"/>
      <c r="N94" s="1817"/>
      <c r="O94" s="1817"/>
      <c r="P94" s="1818"/>
      <c r="Q94" s="1787"/>
    </row>
    <row r="95" spans="1:17" ht="15.75" thickBot="1">
      <c r="A95" s="1819"/>
      <c r="B95" s="1827"/>
      <c r="C95" s="1840"/>
      <c r="D95" s="1840"/>
      <c r="E95" s="1840"/>
      <c r="F95" s="1840"/>
      <c r="G95" s="1821"/>
      <c r="H95" s="1821"/>
      <c r="I95" s="1821"/>
      <c r="J95" s="1821"/>
      <c r="K95" s="1821"/>
      <c r="L95" s="1821"/>
      <c r="M95" s="1822"/>
      <c r="N95" s="1823"/>
      <c r="O95" s="1823"/>
      <c r="P95" s="1818"/>
      <c r="Q95" s="1787"/>
    </row>
    <row r="96" spans="1:17" ht="15.75" thickTop="1">
      <c r="A96" s="1819"/>
      <c r="B96" s="1824">
        <f>B30</f>
        <v>111</v>
      </c>
      <c r="C96" s="468"/>
      <c r="D96" s="468"/>
      <c r="E96" s="468"/>
      <c r="F96" s="468"/>
      <c r="G96" s="1548"/>
      <c r="H96" s="1548"/>
      <c r="I96" s="1548"/>
      <c r="J96" s="1548"/>
      <c r="K96" s="473"/>
      <c r="L96" s="473"/>
      <c r="M96" s="1859"/>
      <c r="N96" s="1817"/>
      <c r="O96" s="1817"/>
      <c r="P96" s="1818"/>
      <c r="Q96" s="1787"/>
    </row>
    <row r="97" spans="1:17" ht="15.75" thickBot="1">
      <c r="A97" s="1819"/>
      <c r="B97" s="1827"/>
      <c r="C97" s="1848"/>
      <c r="D97" s="1848"/>
      <c r="E97" s="1848"/>
      <c r="F97" s="1848"/>
      <c r="G97" s="1821"/>
      <c r="H97" s="1821"/>
      <c r="I97" s="1821"/>
      <c r="J97" s="1821"/>
      <c r="K97" s="1821"/>
      <c r="L97" s="1821"/>
      <c r="M97" s="1822"/>
      <c r="N97" s="1823"/>
      <c r="O97" s="1823"/>
      <c r="P97" s="1818"/>
      <c r="Q97" s="1787"/>
    </row>
    <row r="98" spans="1:17" ht="15.75" thickTop="1">
      <c r="A98" s="1819"/>
      <c r="B98" s="1830">
        <f>B31</f>
        <v>111</v>
      </c>
      <c r="C98" s="1860"/>
      <c r="D98" s="1860"/>
      <c r="E98" s="1860"/>
      <c r="F98" s="1860"/>
      <c r="G98" s="1860"/>
      <c r="H98" s="1860"/>
      <c r="I98" s="1860"/>
      <c r="J98" s="1860"/>
      <c r="K98" s="477"/>
      <c r="L98" s="477"/>
      <c r="M98" s="1861"/>
      <c r="N98" s="1817"/>
      <c r="O98" s="1817"/>
      <c r="P98" s="1818"/>
      <c r="Q98" s="1787"/>
    </row>
    <row r="99" spans="1:17" ht="15.75" thickBot="1">
      <c r="A99" s="1862"/>
      <c r="B99" s="1847"/>
      <c r="C99" s="1863"/>
      <c r="D99" s="1863"/>
      <c r="E99" s="1863"/>
      <c r="F99" s="1863"/>
      <c r="G99" s="1863"/>
      <c r="H99" s="1863"/>
      <c r="I99" s="1863"/>
      <c r="J99" s="1863"/>
      <c r="K99" s="1863"/>
      <c r="L99" s="1863"/>
      <c r="M99" s="1864"/>
      <c r="N99" s="1823"/>
      <c r="O99" s="1823"/>
      <c r="P99" s="1818"/>
      <c r="Q99" s="1787"/>
    </row>
    <row r="100" spans="1:17">
      <c r="A100" s="1812" t="s">
        <v>2218</v>
      </c>
      <c r="B100" s="1813" t="s">
        <v>2267</v>
      </c>
      <c r="C100" s="3316" t="s">
        <v>2994</v>
      </c>
      <c r="D100" s="3316" t="s">
        <v>2993</v>
      </c>
      <c r="E100" s="1815"/>
      <c r="F100" s="1815"/>
      <c r="G100" s="1815"/>
      <c r="H100" s="1815"/>
      <c r="I100" s="1815"/>
      <c r="J100" s="1815"/>
      <c r="K100" s="417"/>
      <c r="L100" s="417"/>
      <c r="M100" s="1816"/>
      <c r="N100" s="1817"/>
      <c r="O100" s="1817"/>
      <c r="P100" s="1818"/>
      <c r="Q100" s="1787"/>
    </row>
    <row r="101" spans="1:17" ht="15.75" thickBot="1">
      <c r="A101" s="1819"/>
      <c r="B101" s="1827"/>
      <c r="C101" s="1828">
        <v>100</v>
      </c>
      <c r="D101" s="1828">
        <f t="shared" ref="D101:M101" si="22">C101-$K32</f>
        <v>95</v>
      </c>
      <c r="E101" s="1828">
        <f t="shared" si="22"/>
        <v>90</v>
      </c>
      <c r="F101" s="1828">
        <f t="shared" si="22"/>
        <v>85</v>
      </c>
      <c r="G101" s="1828">
        <f t="shared" si="22"/>
        <v>80</v>
      </c>
      <c r="H101" s="1828">
        <f t="shared" si="22"/>
        <v>75</v>
      </c>
      <c r="I101" s="1828">
        <f t="shared" si="22"/>
        <v>70</v>
      </c>
      <c r="J101" s="1828">
        <f t="shared" si="22"/>
        <v>65</v>
      </c>
      <c r="K101" s="1828">
        <f t="shared" si="22"/>
        <v>60</v>
      </c>
      <c r="L101" s="1828">
        <f t="shared" si="22"/>
        <v>55</v>
      </c>
      <c r="M101" s="1828">
        <f t="shared" si="22"/>
        <v>50</v>
      </c>
      <c r="N101" s="1823"/>
      <c r="O101" s="1823"/>
      <c r="P101" s="1818"/>
      <c r="Q101" s="1787"/>
    </row>
    <row r="102" spans="1:17" ht="15.75" thickTop="1">
      <c r="A102" s="1819"/>
      <c r="B102" s="1824" t="s">
        <v>2268</v>
      </c>
      <c r="C102" s="579" t="str">
        <f>C103&amp;"(含)"&amp;"-"&amp;D103</f>
        <v>0(含)-50</v>
      </c>
      <c r="D102" s="579" t="str">
        <f t="shared" ref="D102:L102" si="23">D103&amp;"(含)"&amp;"-"&amp;E103</f>
        <v>50(含)-100</v>
      </c>
      <c r="E102" s="579" t="str">
        <f t="shared" si="23"/>
        <v>100(含)-150</v>
      </c>
      <c r="F102" s="579" t="str">
        <f t="shared" si="23"/>
        <v>150(含)-200</v>
      </c>
      <c r="G102" s="579" t="str">
        <f t="shared" si="23"/>
        <v>200(含)-300</v>
      </c>
      <c r="H102" s="579" t="str">
        <f t="shared" si="23"/>
        <v>300(含)-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9" customFormat="1">
      <c r="A103" s="1865"/>
      <c r="B103" s="1866"/>
      <c r="C103" s="1867">
        <v>0</v>
      </c>
      <c r="D103" s="1867">
        <v>50</v>
      </c>
      <c r="E103" s="1867">
        <v>100</v>
      </c>
      <c r="F103" s="1867">
        <v>150</v>
      </c>
      <c r="G103" s="1867">
        <v>200</v>
      </c>
      <c r="H103" s="1867">
        <v>300</v>
      </c>
      <c r="I103" s="1867"/>
      <c r="J103" s="485"/>
      <c r="K103" s="485"/>
      <c r="L103" s="485"/>
      <c r="M103" s="1868"/>
      <c r="N103" s="1837"/>
      <c r="O103" s="1837"/>
      <c r="P103" s="1838"/>
      <c r="Q103" s="1839"/>
    </row>
    <row r="104" spans="1:17" s="1739" customFormat="1" ht="15.75" thickBot="1">
      <c r="A104" s="1835"/>
      <c r="B104" s="1827"/>
      <c r="C104" s="1840">
        <v>100</v>
      </c>
      <c r="D104" s="1821">
        <v>97</v>
      </c>
      <c r="E104" s="1840">
        <v>94</v>
      </c>
      <c r="F104" s="1821">
        <v>91</v>
      </c>
      <c r="G104" s="1840">
        <v>88</v>
      </c>
      <c r="H104" s="1821">
        <v>85</v>
      </c>
      <c r="I104" s="1821"/>
      <c r="J104" s="1821"/>
      <c r="K104" s="1821"/>
      <c r="L104" s="1821"/>
      <c r="M104" s="1821"/>
      <c r="N104" s="1823"/>
      <c r="O104" s="1823"/>
      <c r="P104" s="1838"/>
      <c r="Q104" s="1839"/>
    </row>
    <row r="105" spans="1:17" ht="15" thickTop="1">
      <c r="A105" s="1869"/>
      <c r="B105" s="1824" t="s">
        <v>2269</v>
      </c>
      <c r="C105" s="468"/>
      <c r="D105" s="468"/>
      <c r="E105" s="1548"/>
      <c r="F105" s="1548"/>
      <c r="G105" s="1548"/>
      <c r="H105" s="1548"/>
      <c r="I105" s="1548"/>
      <c r="J105" s="1548"/>
      <c r="K105" s="473"/>
      <c r="L105" s="473"/>
      <c r="M105" s="1859"/>
      <c r="N105" s="1817"/>
      <c r="O105" s="1817"/>
      <c r="P105" s="1818"/>
      <c r="Q105" s="1787"/>
    </row>
    <row r="106" spans="1:17" ht="15.75"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2270</v>
      </c>
      <c r="C107" s="1548"/>
      <c r="D107" s="1548"/>
      <c r="E107" s="1548"/>
      <c r="F107" s="1548"/>
      <c r="G107" s="1548"/>
      <c r="H107" s="1548"/>
      <c r="I107" s="1548"/>
      <c r="J107" s="1548"/>
      <c r="K107" s="473"/>
      <c r="L107" s="473"/>
      <c r="M107" s="1859"/>
      <c r="N107" s="1817"/>
      <c r="O107" s="1817"/>
      <c r="P107" s="1818"/>
      <c r="Q107" s="1787"/>
    </row>
    <row r="108" spans="1:17" ht="15.75"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2271</v>
      </c>
      <c r="C109" s="468"/>
      <c r="D109" s="468"/>
      <c r="E109" s="468"/>
      <c r="F109" s="1548"/>
      <c r="G109" s="1548"/>
      <c r="H109" s="1548"/>
      <c r="I109" s="1548"/>
      <c r="J109" s="1548"/>
      <c r="K109" s="473"/>
      <c r="L109" s="473"/>
      <c r="M109" s="1859"/>
      <c r="N109" s="1817"/>
      <c r="O109" s="1817"/>
      <c r="P109" s="1818"/>
      <c r="Q109" s="1787"/>
    </row>
    <row r="110" spans="1:17" ht="15.75"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9" customFormat="1" ht="15" thickTop="1">
      <c r="A111" s="1865"/>
      <c r="B111" s="1824"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9"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9" customFormat="1" ht="15.75"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2273</v>
      </c>
      <c r="C114" s="468"/>
      <c r="D114" s="468"/>
      <c r="E114" s="1548"/>
      <c r="F114" s="1548"/>
      <c r="G114" s="1548"/>
      <c r="H114" s="1548"/>
      <c r="I114" s="1548"/>
      <c r="J114" s="1548"/>
      <c r="K114" s="473"/>
      <c r="L114" s="473"/>
      <c r="M114" s="1859"/>
      <c r="N114" s="1817"/>
      <c r="O114" s="1817"/>
      <c r="P114" s="1818"/>
      <c r="Q114" s="1787"/>
    </row>
    <row r="115" spans="1:17" ht="15.75"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2274</v>
      </c>
      <c r="C116" s="468"/>
      <c r="D116" s="468"/>
      <c r="E116" s="468"/>
      <c r="F116" s="468"/>
      <c r="G116" s="468"/>
      <c r="H116" s="1548"/>
      <c r="I116" s="1548"/>
      <c r="J116" s="1548"/>
      <c r="K116" s="473"/>
      <c r="L116" s="473"/>
      <c r="M116" s="1859"/>
      <c r="N116" s="1817"/>
      <c r="O116" s="1817"/>
      <c r="P116" s="1818"/>
      <c r="Q116" s="1787"/>
    </row>
    <row r="117" spans="1:17" ht="15.75"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2275</v>
      </c>
      <c r="C118" s="1548"/>
      <c r="D118" s="1548"/>
      <c r="E118" s="1548"/>
      <c r="F118" s="1548"/>
      <c r="G118" s="1548"/>
      <c r="H118" s="1548"/>
      <c r="I118" s="1548"/>
      <c r="J118" s="1548"/>
      <c r="K118" s="473"/>
      <c r="L118" s="473"/>
      <c r="M118" s="1859"/>
      <c r="N118" s="1817"/>
      <c r="O118" s="1817"/>
      <c r="P118" s="1818"/>
      <c r="Q118" s="1787"/>
    </row>
    <row r="119" spans="1:17" ht="15.75"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9" customFormat="1" ht="28.5" thickTop="1">
      <c r="A120" s="1865"/>
      <c r="B120" s="1824" t="s">
        <v>2229</v>
      </c>
      <c r="C120" s="468"/>
      <c r="D120" s="468"/>
      <c r="E120" s="468"/>
      <c r="F120" s="468"/>
      <c r="G120" s="468"/>
      <c r="H120" s="468"/>
      <c r="I120" s="468"/>
      <c r="J120" s="468"/>
      <c r="K120" s="468"/>
      <c r="L120" s="468"/>
      <c r="M120" s="1856"/>
      <c r="N120" s="1837"/>
      <c r="O120" s="1837"/>
      <c r="P120" s="1838"/>
      <c r="Q120" s="1839"/>
    </row>
    <row r="121" spans="1:17" s="1739" customFormat="1" ht="15.75"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2276</v>
      </c>
      <c r="C122" s="468"/>
      <c r="D122" s="468"/>
      <c r="E122" s="468"/>
      <c r="F122" s="1548"/>
      <c r="G122" s="1548"/>
      <c r="H122" s="1548"/>
      <c r="I122" s="1548"/>
      <c r="J122" s="1548"/>
      <c r="K122" s="473"/>
      <c r="L122" s="473"/>
      <c r="M122" s="1859"/>
      <c r="N122" s="1817"/>
      <c r="O122" s="1817"/>
      <c r="P122" s="1818"/>
      <c r="Q122" s="1787"/>
    </row>
    <row r="123" spans="1:17" ht="15.75"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15" thickTop="1">
      <c r="A124" s="1869"/>
      <c r="B124" s="1824" t="s">
        <v>2277</v>
      </c>
      <c r="C124" s="579" t="s">
        <v>2252</v>
      </c>
      <c r="D124" s="579" t="s">
        <v>2253</v>
      </c>
      <c r="E124" s="579" t="s">
        <v>2254</v>
      </c>
      <c r="F124" s="579" t="s">
        <v>2255</v>
      </c>
      <c r="G124" s="579" t="s">
        <v>2256</v>
      </c>
      <c r="H124" s="1825"/>
      <c r="I124" s="1825"/>
      <c r="J124" s="1825"/>
      <c r="K124" s="428"/>
      <c r="L124" s="428"/>
      <c r="M124" s="1826"/>
      <c r="N124" s="1817"/>
      <c r="O124" s="1817"/>
      <c r="P124" s="1838"/>
      <c r="Q124" s="1787"/>
    </row>
    <row r="125" spans="1:17" ht="15.75"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9" customFormat="1" ht="15" thickTop="1">
      <c r="A126" s="1865"/>
      <c r="B126" s="1824">
        <f>B44</f>
        <v>111</v>
      </c>
      <c r="C126" s="468"/>
      <c r="D126" s="468"/>
      <c r="E126" s="468"/>
      <c r="F126" s="468"/>
      <c r="G126" s="468"/>
      <c r="H126" s="443"/>
      <c r="I126" s="443"/>
      <c r="J126" s="443"/>
      <c r="K126" s="443"/>
      <c r="L126" s="443"/>
      <c r="M126" s="1836"/>
      <c r="N126" s="1837"/>
      <c r="O126" s="1837"/>
      <c r="P126" s="1838"/>
      <c r="Q126" s="1839"/>
    </row>
    <row r="127" spans="1:17" s="1739" customFormat="1" ht="15.75" thickBot="1">
      <c r="A127" s="1835"/>
      <c r="B127" s="1827"/>
      <c r="C127" s="1840"/>
      <c r="D127" s="1821"/>
      <c r="E127" s="1821"/>
      <c r="F127" s="1821"/>
      <c r="G127" s="1840"/>
      <c r="H127" s="1843"/>
      <c r="I127" s="1843"/>
      <c r="J127" s="1843"/>
      <c r="K127" s="1843"/>
      <c r="L127" s="1843"/>
      <c r="M127" s="1844"/>
      <c r="N127" s="1837"/>
      <c r="O127" s="1837"/>
      <c r="P127" s="1838"/>
      <c r="Q127" s="1839"/>
    </row>
    <row r="128" spans="1:17" ht="15" thickTop="1">
      <c r="A128" s="1869"/>
      <c r="B128" s="1824">
        <f>B45</f>
        <v>111</v>
      </c>
      <c r="C128" s="468"/>
      <c r="D128" s="468"/>
      <c r="E128" s="468"/>
      <c r="F128" s="468"/>
      <c r="G128" s="1548"/>
      <c r="H128" s="1548"/>
      <c r="I128" s="1548"/>
      <c r="J128" s="1548"/>
      <c r="K128" s="473"/>
      <c r="L128" s="473"/>
      <c r="M128" s="1859"/>
      <c r="N128" s="1817"/>
      <c r="O128" s="1817"/>
      <c r="P128" s="1818"/>
      <c r="Q128" s="1787"/>
    </row>
    <row r="129" spans="1:17" ht="15.75" thickBot="1">
      <c r="A129" s="1819"/>
      <c r="B129" s="1827"/>
      <c r="C129" s="1840"/>
      <c r="D129" s="1840"/>
      <c r="E129" s="1840"/>
      <c r="F129" s="1840"/>
      <c r="G129" s="1821"/>
      <c r="H129" s="1821"/>
      <c r="I129" s="1821"/>
      <c r="J129" s="1821"/>
      <c r="K129" s="1821"/>
      <c r="L129" s="1821"/>
      <c r="M129" s="1822"/>
      <c r="N129" s="1823"/>
      <c r="O129" s="1823"/>
      <c r="P129" s="1818"/>
      <c r="Q129" s="1787"/>
    </row>
    <row r="130" spans="1:17" ht="15"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5.75"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43" t="s">
        <v>2278</v>
      </c>
    </row>
    <row r="137" spans="1:17" ht="15">
      <c r="B137" s="1877" t="s">
        <v>2279</v>
      </c>
      <c r="C137" s="1878"/>
      <c r="D137" s="1878"/>
      <c r="E137" s="1878"/>
      <c r="F137" s="1878"/>
      <c r="G137" s="1879"/>
      <c r="H137" s="1880"/>
      <c r="I137" s="1881" t="s">
        <v>2280</v>
      </c>
      <c r="J137" s="1878"/>
      <c r="K137" s="1882"/>
    </row>
    <row r="138" spans="1:17" ht="15">
      <c r="B138" s="1883"/>
      <c r="C138" s="1884" t="s">
        <v>2281</v>
      </c>
      <c r="D138" s="1884" t="s">
        <v>2282</v>
      </c>
      <c r="E138" s="1885" t="s">
        <v>2283</v>
      </c>
      <c r="F138" s="1886" t="s">
        <v>2284</v>
      </c>
      <c r="G138" s="1884" t="s">
        <v>2282</v>
      </c>
      <c r="H138" s="1887" t="s">
        <v>2283</v>
      </c>
      <c r="I138" s="1888"/>
      <c r="J138" s="1884" t="s">
        <v>2285</v>
      </c>
      <c r="K138" s="1887" t="s">
        <v>2286</v>
      </c>
    </row>
    <row r="139" spans="1:17" ht="15">
      <c r="B139" s="1889">
        <v>6</v>
      </c>
      <c r="C139" s="1890">
        <v>96</v>
      </c>
      <c r="D139" s="1891" t="s">
        <v>2287</v>
      </c>
      <c r="E139" s="1892">
        <v>100</v>
      </c>
      <c r="F139" s="1893">
        <v>102.5</v>
      </c>
      <c r="G139" s="1891" t="s">
        <v>2287</v>
      </c>
      <c r="H139" s="1894">
        <v>105</v>
      </c>
      <c r="I139" s="1895" t="s">
        <v>2288</v>
      </c>
      <c r="J139" s="1890">
        <v>20</v>
      </c>
      <c r="K139" s="1896">
        <f>C145/(J139-2)</f>
        <v>4.0555555555555553E-3</v>
      </c>
    </row>
    <row r="140" spans="1:17" ht="15">
      <c r="B140" s="1897">
        <v>5</v>
      </c>
      <c r="C140" s="1898">
        <v>100</v>
      </c>
      <c r="D140" s="1898"/>
      <c r="E140" s="1899"/>
      <c r="F140" s="1900">
        <v>102</v>
      </c>
      <c r="G140" s="1898"/>
      <c r="H140" s="1901"/>
      <c r="I140" s="1902" t="s">
        <v>2289</v>
      </c>
      <c r="J140" s="1903">
        <f>ROUNDUP((J139-1)/2,0)</f>
        <v>10</v>
      </c>
      <c r="K140" s="1904">
        <v>100</v>
      </c>
    </row>
    <row r="141" spans="1:17" ht="15">
      <c r="B141" s="1897">
        <v>4</v>
      </c>
      <c r="C141" s="1898">
        <v>102</v>
      </c>
      <c r="D141" s="1898"/>
      <c r="E141" s="1899"/>
      <c r="F141" s="1900">
        <v>101.5</v>
      </c>
      <c r="G141" s="1898"/>
      <c r="H141" s="1901"/>
      <c r="I141" s="1902" t="s">
        <v>2290</v>
      </c>
      <c r="J141" s="1903">
        <v>1</v>
      </c>
      <c r="K141" s="1905">
        <f>ROUND(100+(J141-J140)*K139*100,1)</f>
        <v>96.4</v>
      </c>
    </row>
    <row r="142" spans="1:17" ht="15">
      <c r="B142" s="1897">
        <v>3</v>
      </c>
      <c r="C142" s="1898">
        <v>103</v>
      </c>
      <c r="D142" s="1898"/>
      <c r="E142" s="1899"/>
      <c r="F142" s="1900">
        <v>101</v>
      </c>
      <c r="G142" s="1898"/>
      <c r="H142" s="1901"/>
      <c r="I142" s="1902" t="s">
        <v>2291</v>
      </c>
      <c r="J142" s="1903">
        <f>J139</f>
        <v>20</v>
      </c>
      <c r="K142" s="1906">
        <v>95</v>
      </c>
    </row>
    <row r="143" spans="1:17" ht="15">
      <c r="B143" s="1897">
        <v>2</v>
      </c>
      <c r="C143" s="1898">
        <v>100</v>
      </c>
      <c r="D143" s="1898"/>
      <c r="E143" s="1899"/>
      <c r="F143" s="1900">
        <v>100.5</v>
      </c>
      <c r="G143" s="1898"/>
      <c r="H143" s="1901"/>
      <c r="I143" s="1902" t="s">
        <v>2292</v>
      </c>
      <c r="J143" s="1898">
        <v>15</v>
      </c>
      <c r="K143" s="1905">
        <f>ROUND(100+(J143-J140)*K139*100,1)</f>
        <v>102</v>
      </c>
    </row>
    <row r="144" spans="1:17" ht="15">
      <c r="B144" s="1897">
        <v>1</v>
      </c>
      <c r="C144" s="1898">
        <v>98</v>
      </c>
      <c r="D144" s="1390" t="s">
        <v>2293</v>
      </c>
      <c r="E144" s="1899">
        <v>102</v>
      </c>
      <c r="F144" s="1907">
        <v>100</v>
      </c>
      <c r="G144" s="1390" t="s">
        <v>2293</v>
      </c>
      <c r="H144" s="1901">
        <v>105</v>
      </c>
      <c r="I144" s="1902" t="s">
        <v>2292</v>
      </c>
      <c r="J144" s="1898">
        <v>18</v>
      </c>
      <c r="K144" s="1905">
        <f>ROUND(100+(J144-J140)*K139*100,1)</f>
        <v>103.2</v>
      </c>
    </row>
    <row r="145" spans="2:11" ht="15.75" thickBot="1">
      <c r="B145" s="1908" t="s">
        <v>2294</v>
      </c>
      <c r="C145" s="1909">
        <f>ROUND(MAX(C139:C144)/MIN(C139:C144)-1,3)</f>
        <v>7.2999999999999995E-2</v>
      </c>
      <c r="D145" s="1910"/>
      <c r="E145" s="1910"/>
      <c r="F145" s="1544" t="s">
        <v>2295</v>
      </c>
      <c r="G145" s="1911"/>
      <c r="H145" s="1912"/>
      <c r="I145" s="1913" t="s">
        <v>2292</v>
      </c>
      <c r="J145" s="1914">
        <v>8</v>
      </c>
      <c r="K145" s="1915">
        <f>ROUND(100+(J145-J140)*K139*100,1)</f>
        <v>99.2</v>
      </c>
    </row>
    <row r="147" spans="2:11">
      <c r="B147" s="1543" t="s">
        <v>2296</v>
      </c>
    </row>
    <row r="148" spans="2:11">
      <c r="B148" s="1543"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C5:D5"/>
    <mergeCell ref="C6:D6"/>
    <mergeCell ref="E6:F6"/>
    <mergeCell ref="E5:F5"/>
    <mergeCell ref="G5:H5"/>
    <mergeCell ref="Y15:Y31"/>
    <mergeCell ref="P32:P46"/>
    <mergeCell ref="Y32:Y46"/>
    <mergeCell ref="I6:J6"/>
    <mergeCell ref="P8:Q8"/>
    <mergeCell ref="Y8:Z8"/>
    <mergeCell ref="Y4:Z6"/>
    <mergeCell ref="P7:Q7"/>
    <mergeCell ref="P9:P14"/>
    <mergeCell ref="Y9:Y14"/>
    <mergeCell ref="Y7:Z7"/>
    <mergeCell ref="I5:J5"/>
    <mergeCell ref="P15:P31"/>
    <mergeCell ref="G6:H6"/>
    <mergeCell ref="P49:Q49"/>
    <mergeCell ref="R49:W49"/>
    <mergeCell ref="P48:Q48"/>
    <mergeCell ref="R48:S48"/>
    <mergeCell ref="P47:Q47"/>
    <mergeCell ref="R47:S47"/>
    <mergeCell ref="T47:U47"/>
    <mergeCell ref="V47:W47"/>
    <mergeCell ref="T48:U48"/>
    <mergeCell ref="V48:W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view="pageBreakPreview" topLeftCell="A34" zoomScaleNormal="70" zoomScaleSheetLayoutView="100" workbookViewId="0">
      <selection activeCell="K11" sqref="K1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5" customWidth="1"/>
    <col min="12" max="12" width="12.25" style="1876" customWidth="1"/>
    <col min="13" max="15" width="12.25" style="1637" customWidth="1"/>
    <col min="16" max="16" width="4.75" style="1772"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t="s">
        <v>2688</v>
      </c>
      <c r="D1" s="2435"/>
      <c r="E1" s="1611" t="s">
        <v>2686</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5" customFormat="1" ht="28.5" customHeight="1" thickTop="1">
      <c r="A2" s="1619" t="s">
        <v>1857</v>
      </c>
      <c r="B2" s="1620">
        <f>IF(D2="——",IF(C2="元",ROUND(C49*D3,0),ROUND(C49*D3/10000,0)),IF(C2="元",ROUND(C49*D3,0),ROUND(C49*D3/10000,0))-E2)</f>
        <v>1795</v>
      </c>
      <c r="C2" s="1621" t="str">
        <f>'数据-取费表'!B3</f>
        <v>万元</v>
      </c>
      <c r="D2" s="1622" t="s">
        <v>1184</v>
      </c>
      <c r="E2" s="2436" t="e">
        <f ca="1">SUMIF(INDIRECT("'"&amp;G2&amp;"'"&amp;"!A:A"),"承租人权益价值",INDIRECT("'"&amp;G2&amp;"'"&amp;"!c:c"))</f>
        <v>#REF!</v>
      </c>
      <c r="F2" s="1624" t="str">
        <f>C2</f>
        <v>万元</v>
      </c>
      <c r="G2" s="1625"/>
      <c r="H2" s="2977"/>
      <c r="I2" s="2977"/>
      <c r="J2" s="2977"/>
      <c r="K2" s="2977"/>
      <c r="L2" s="2979"/>
      <c r="M2" s="2977"/>
      <c r="N2" s="2977"/>
      <c r="O2" s="2977"/>
      <c r="P2" s="2437"/>
      <c r="Q2" s="1922"/>
      <c r="R2" s="1922"/>
      <c r="S2" s="1922"/>
      <c r="T2" s="1922"/>
      <c r="U2" s="1922"/>
      <c r="V2" s="1922"/>
      <c r="W2" s="1922"/>
      <c r="X2" s="1922"/>
      <c r="Y2" s="1922"/>
      <c r="Z2" s="1922"/>
      <c r="AA2" s="1922"/>
      <c r="AB2" s="1922"/>
      <c r="AC2" s="1923"/>
    </row>
    <row r="3" spans="1:29" s="1925" customFormat="1" ht="28.5" customHeight="1" thickBot="1">
      <c r="A3" s="1629" t="s">
        <v>1858</v>
      </c>
      <c r="B3" s="1928">
        <f>ROUND(IF(D2="——",C49,IF(C2="万元",B2*10000/D3,B2/D3)),0)</f>
        <v>49467</v>
      </c>
      <c r="C3" s="1630" t="s">
        <v>2188</v>
      </c>
      <c r="D3" s="1630">
        <f>IF(C1="仅计算典型户型",'数据-取费表'!E5,'数据-取费表'!B5)</f>
        <v>362.84</v>
      </c>
      <c r="F3" s="2976"/>
      <c r="G3" s="2977"/>
      <c r="H3" s="2977"/>
      <c r="I3" s="2977"/>
      <c r="J3" s="2977"/>
      <c r="K3" s="2978"/>
      <c r="L3" s="2979"/>
      <c r="M3" s="2977"/>
      <c r="N3" s="2977"/>
      <c r="O3" s="2977"/>
      <c r="P3" s="2437"/>
      <c r="Q3" s="1922"/>
      <c r="R3" s="1922"/>
      <c r="S3" s="1922"/>
      <c r="T3" s="1922"/>
      <c r="U3" s="1922"/>
      <c r="V3" s="1922"/>
      <c r="W3" s="1922"/>
      <c r="X3" s="1922"/>
      <c r="Y3" s="1922"/>
      <c r="Z3" s="1922"/>
      <c r="AA3" s="1922"/>
      <c r="AB3" s="1922"/>
      <c r="AC3" s="1930"/>
    </row>
    <row r="4" spans="1:29" ht="15">
      <c r="A4" s="1633" t="s">
        <v>2189</v>
      </c>
      <c r="B4" s="1634"/>
      <c r="C4" s="3606" t="s">
        <v>2190</v>
      </c>
      <c r="D4" s="3607"/>
      <c r="E4" s="3608" t="s">
        <v>2191</v>
      </c>
      <c r="F4" s="3609"/>
      <c r="G4" s="3606" t="s">
        <v>2192</v>
      </c>
      <c r="H4" s="3607"/>
      <c r="I4" s="3606" t="s">
        <v>2193</v>
      </c>
      <c r="J4" s="3607"/>
      <c r="K4" s="1931" t="s">
        <v>2194</v>
      </c>
      <c r="L4" s="2962"/>
      <c r="M4" s="2963"/>
      <c r="N4" s="2963"/>
      <c r="O4" s="2963"/>
      <c r="P4" s="3610" t="s">
        <v>2195</v>
      </c>
      <c r="Q4" s="3611"/>
      <c r="R4" s="3591" t="s">
        <v>2191</v>
      </c>
      <c r="S4" s="3592"/>
      <c r="T4" s="3591" t="s">
        <v>2192</v>
      </c>
      <c r="U4" s="3592"/>
      <c r="V4" s="3616" t="s">
        <v>2193</v>
      </c>
      <c r="W4" s="3616"/>
      <c r="X4" s="2040"/>
      <c r="Y4" s="3591" t="s">
        <v>2195</v>
      </c>
      <c r="Z4" s="3592"/>
      <c r="AA4" s="3603" t="s">
        <v>2191</v>
      </c>
      <c r="AB4" s="3616" t="s">
        <v>2192</v>
      </c>
      <c r="AC4" s="3603" t="s">
        <v>2193</v>
      </c>
    </row>
    <row r="5" spans="1:29" ht="15">
      <c r="A5" s="1638"/>
      <c r="B5" s="1639"/>
      <c r="C5" s="3617" t="s">
        <v>2196</v>
      </c>
      <c r="D5" s="3618"/>
      <c r="E5" s="3623" t="s">
        <v>3031</v>
      </c>
      <c r="F5" s="3624"/>
      <c r="G5" s="3625" t="s">
        <v>3032</v>
      </c>
      <c r="H5" s="3618"/>
      <c r="I5" s="3625" t="s">
        <v>3033</v>
      </c>
      <c r="J5" s="3618"/>
      <c r="K5" s="1931"/>
      <c r="L5" s="2962"/>
      <c r="M5" s="2963"/>
      <c r="N5" s="2963"/>
      <c r="O5" s="2963"/>
      <c r="P5" s="3612"/>
      <c r="Q5" s="3613"/>
      <c r="R5" s="3593"/>
      <c r="S5" s="3594"/>
      <c r="T5" s="3593"/>
      <c r="U5" s="3594"/>
      <c r="V5" s="3616"/>
      <c r="W5" s="3616"/>
      <c r="X5" s="2040"/>
      <c r="Y5" s="3593"/>
      <c r="Z5" s="3594"/>
      <c r="AA5" s="3604"/>
      <c r="AB5" s="3616"/>
      <c r="AC5" s="3604"/>
    </row>
    <row r="6" spans="1:29" ht="15.75" thickBot="1">
      <c r="A6" s="1641"/>
      <c r="B6" s="1642"/>
      <c r="C6" s="3573" t="s">
        <v>2200</v>
      </c>
      <c r="D6" s="3574"/>
      <c r="E6" s="3619" t="s">
        <v>2200</v>
      </c>
      <c r="F6" s="3620"/>
      <c r="G6" s="3573" t="s">
        <v>2200</v>
      </c>
      <c r="H6" s="3574"/>
      <c r="I6" s="3573" t="s">
        <v>2200</v>
      </c>
      <c r="J6" s="3574"/>
      <c r="K6" s="1931" t="s">
        <v>2201</v>
      </c>
      <c r="L6" s="2962"/>
      <c r="M6" s="2963"/>
      <c r="N6" s="2963"/>
      <c r="O6" s="2963"/>
      <c r="P6" s="3614"/>
      <c r="Q6" s="3615"/>
      <c r="R6" s="3593"/>
      <c r="S6" s="3594"/>
      <c r="T6" s="3595"/>
      <c r="U6" s="3596"/>
      <c r="V6" s="3616"/>
      <c r="W6" s="3616"/>
      <c r="X6" s="2040"/>
      <c r="Y6" s="3595"/>
      <c r="Z6" s="3596"/>
      <c r="AA6" s="3605"/>
      <c r="AB6" s="3616"/>
      <c r="AC6" s="3605"/>
    </row>
    <row r="7" spans="1:29" s="1655" customFormat="1" ht="15.75" thickBot="1">
      <c r="A7" s="1643" t="s">
        <v>2202</v>
      </c>
      <c r="B7" s="1644"/>
      <c r="C7" s="1645">
        <f>'数据-取费表'!B2</f>
        <v>44616</v>
      </c>
      <c r="D7" s="1646">
        <v>100</v>
      </c>
      <c r="E7" s="1647">
        <f>C7</f>
        <v>44616</v>
      </c>
      <c r="F7" s="1648">
        <f>SUMIF(58:58,YEAR(E7)&amp;"-"&amp;MONTH(E7),59:59)</f>
        <v>100</v>
      </c>
      <c r="G7" s="1647">
        <f>E7</f>
        <v>44616</v>
      </c>
      <c r="H7" s="1646">
        <f>SUMIF(58:58,YEAR(G7)&amp;"-"&amp;MONTH(G7),59:59)</f>
        <v>100</v>
      </c>
      <c r="I7" s="1647">
        <f>G7</f>
        <v>44616</v>
      </c>
      <c r="J7" s="1646">
        <f>SUMIF(58:58,YEAR(I7)&amp;"-"&amp;MONTH(I7),59:59)</f>
        <v>100</v>
      </c>
      <c r="K7" s="1933"/>
      <c r="L7" s="2962"/>
      <c r="M7" s="2935"/>
      <c r="N7" s="2935"/>
      <c r="O7" s="2935"/>
      <c r="P7" s="3589" t="s">
        <v>2203</v>
      </c>
      <c r="Q7" s="3597"/>
      <c r="R7" s="1651" t="s">
        <v>25</v>
      </c>
      <c r="S7" s="1652">
        <f t="shared" ref="S7:S15" si="0">F7</f>
        <v>100</v>
      </c>
      <c r="T7" s="1651" t="s">
        <v>25</v>
      </c>
      <c r="U7" s="1652">
        <f t="shared" ref="U7:U15" si="1">H7</f>
        <v>100</v>
      </c>
      <c r="V7" s="1651" t="s">
        <v>25</v>
      </c>
      <c r="W7" s="1652">
        <f t="shared" ref="W7:W15" si="2">J7</f>
        <v>100</v>
      </c>
      <c r="X7" s="1653"/>
      <c r="Y7" s="3589" t="s">
        <v>2203</v>
      </c>
      <c r="Z7" s="3590"/>
      <c r="AA7" s="1654">
        <f>D7/F7</f>
        <v>1</v>
      </c>
      <c r="AB7" s="1654">
        <f>D7/H7</f>
        <v>1</v>
      </c>
      <c r="AC7" s="1654">
        <f>D7/J7</f>
        <v>1</v>
      </c>
    </row>
    <row r="8" spans="1:29" s="1655" customFormat="1" ht="15.75" thickBot="1">
      <c r="A8" s="1643" t="s">
        <v>2204</v>
      </c>
      <c r="B8" s="1644"/>
      <c r="C8" s="1656" t="s">
        <v>2205</v>
      </c>
      <c r="D8" s="1646">
        <v>100</v>
      </c>
      <c r="E8" s="1656" t="s">
        <v>2823</v>
      </c>
      <c r="F8" s="1648">
        <f>SUMIF(61:61,E8,62:62)-SUMIF(61:61,C8,62:62)+100</f>
        <v>100</v>
      </c>
      <c r="G8" s="1656" t="s">
        <v>2823</v>
      </c>
      <c r="H8" s="1646">
        <f>SUMIF(61:61,G8,62:62)-SUMIF(61:61,C8,62:62)+100</f>
        <v>100</v>
      </c>
      <c r="I8" s="1656" t="s">
        <v>2823</v>
      </c>
      <c r="J8" s="1646">
        <f>SUMIF(61:61,I8,62:62)-SUMIF(61:61,C8,62:62)+100</f>
        <v>100</v>
      </c>
      <c r="K8" s="1933"/>
      <c r="L8" s="2962"/>
      <c r="M8" s="2935"/>
      <c r="N8" s="2935"/>
      <c r="O8" s="2935"/>
      <c r="P8" s="3589" t="s">
        <v>2206</v>
      </c>
      <c r="Q8" s="3590"/>
      <c r="R8" s="1651" t="s">
        <v>25</v>
      </c>
      <c r="S8" s="1652">
        <f t="shared" si="0"/>
        <v>100</v>
      </c>
      <c r="T8" s="1651" t="s">
        <v>25</v>
      </c>
      <c r="U8" s="1652">
        <f t="shared" si="1"/>
        <v>100</v>
      </c>
      <c r="V8" s="1651" t="s">
        <v>25</v>
      </c>
      <c r="W8" s="1652">
        <f t="shared" si="2"/>
        <v>100</v>
      </c>
      <c r="X8" s="1653"/>
      <c r="Y8" s="3589" t="s">
        <v>2206</v>
      </c>
      <c r="Z8" s="3590"/>
      <c r="AA8" s="1654">
        <f t="shared" ref="AA8:AA46" si="3">D8/F8</f>
        <v>1</v>
      </c>
      <c r="AB8" s="1654">
        <f t="shared" ref="AB8:AB46" si="4">D8/H8</f>
        <v>1</v>
      </c>
      <c r="AC8" s="1654">
        <f t="shared" ref="AC8:AC46" si="5">D8/J8</f>
        <v>1</v>
      </c>
    </row>
    <row r="9" spans="1:29" s="1655" customFormat="1">
      <c r="A9" s="2032" t="s">
        <v>2207</v>
      </c>
      <c r="B9" s="1657" t="s">
        <v>2208</v>
      </c>
      <c r="C9" s="3317" t="s">
        <v>3036</v>
      </c>
      <c r="D9" s="1659">
        <v>100</v>
      </c>
      <c r="E9" s="3320" t="s">
        <v>3020</v>
      </c>
      <c r="F9" s="1661">
        <f>SUMIF(63:63,E9,64:64)-SUMIF(63:63,C9,64:64)+100</f>
        <v>100</v>
      </c>
      <c r="G9" s="3320" t="s">
        <v>3020</v>
      </c>
      <c r="H9" s="1659">
        <f>SUMIF(63:63,G9,64:64)-SUMIF(63:63,C9,64:64)+100</f>
        <v>100</v>
      </c>
      <c r="I9" s="3320" t="s">
        <v>3020</v>
      </c>
      <c r="J9" s="1659">
        <f>SUMIF(63:63,I9,64:64)-SUMIF(63:63,C9,64:64)+100</f>
        <v>100</v>
      </c>
      <c r="K9" s="1933"/>
      <c r="L9" s="2962"/>
      <c r="M9" s="2935"/>
      <c r="N9" s="2935"/>
      <c r="O9" s="2935"/>
      <c r="P9" s="3598" t="s">
        <v>2209</v>
      </c>
      <c r="Q9" s="2031" t="str">
        <f t="shared" ref="Q9:Q15" si="6">B9</f>
        <v>用途</v>
      </c>
      <c r="R9" s="1651" t="s">
        <v>25</v>
      </c>
      <c r="S9" s="1652">
        <f t="shared" si="0"/>
        <v>100</v>
      </c>
      <c r="T9" s="1651" t="s">
        <v>25</v>
      </c>
      <c r="U9" s="1652">
        <f t="shared" si="1"/>
        <v>100</v>
      </c>
      <c r="V9" s="1651" t="s">
        <v>25</v>
      </c>
      <c r="W9" s="1652">
        <f t="shared" si="2"/>
        <v>100</v>
      </c>
      <c r="X9" s="1653"/>
      <c r="Y9" s="3469" t="s">
        <v>2210</v>
      </c>
      <c r="Z9" s="1663" t="str">
        <f t="shared" ref="Z9:Z15" si="7">Q9</f>
        <v>用途</v>
      </c>
      <c r="AA9" s="1654">
        <f t="shared" si="3"/>
        <v>1</v>
      </c>
      <c r="AB9" s="1654">
        <f t="shared" si="4"/>
        <v>1</v>
      </c>
      <c r="AC9" s="1654">
        <f t="shared" si="5"/>
        <v>1</v>
      </c>
    </row>
    <row r="10" spans="1:29" s="1671" customFormat="1" ht="27">
      <c r="A10" s="1664"/>
      <c r="B10" s="1665" t="s">
        <v>2211</v>
      </c>
      <c r="C10" s="1666" t="s">
        <v>3064</v>
      </c>
      <c r="D10" s="1667">
        <v>100</v>
      </c>
      <c r="E10" s="1668" t="s">
        <v>3063</v>
      </c>
      <c r="F10" s="1669">
        <f>SUMIF(65:65,E10,66:66)-SUMIF(65:65,C10,66:66)+100</f>
        <v>98</v>
      </c>
      <c r="G10" s="1666" t="s">
        <v>3063</v>
      </c>
      <c r="H10" s="1667">
        <f>SUMIF(65:65,G10,66:66)-SUMIF(65:65,C10,66:66)+100</f>
        <v>98</v>
      </c>
      <c r="I10" s="1666" t="s">
        <v>3063</v>
      </c>
      <c r="J10" s="1667">
        <f>SUMIF(65:65,I10,66:66)-SUMIF(65:65,C10,66:66)+100</f>
        <v>98</v>
      </c>
      <c r="K10" s="1958">
        <v>2</v>
      </c>
      <c r="L10" s="2964"/>
      <c r="M10" s="2965"/>
      <c r="N10" s="2965"/>
      <c r="O10" s="2965"/>
      <c r="P10" s="3598"/>
      <c r="Q10" s="2031" t="str">
        <f t="shared" si="6"/>
        <v>土地使用年限（年）</v>
      </c>
      <c r="R10" s="1651" t="s">
        <v>25</v>
      </c>
      <c r="S10" s="1652">
        <f t="shared" si="0"/>
        <v>98</v>
      </c>
      <c r="T10" s="1651" t="s">
        <v>25</v>
      </c>
      <c r="U10" s="1652">
        <f t="shared" si="1"/>
        <v>98</v>
      </c>
      <c r="V10" s="1651" t="s">
        <v>25</v>
      </c>
      <c r="W10" s="1652">
        <f t="shared" si="2"/>
        <v>98</v>
      </c>
      <c r="X10" s="1653"/>
      <c r="Y10" s="3469"/>
      <c r="Z10" s="1663" t="str">
        <f t="shared" si="7"/>
        <v>土地使用年限（年）</v>
      </c>
      <c r="AA10" s="1654">
        <f t="shared" si="3"/>
        <v>1.0204081632653061</v>
      </c>
      <c r="AB10" s="1654">
        <f t="shared" si="4"/>
        <v>1.0204081632653061</v>
      </c>
      <c r="AC10" s="1654">
        <f t="shared" si="5"/>
        <v>1.0204081632653061</v>
      </c>
    </row>
    <row r="11" spans="1:29" ht="15">
      <c r="A11" s="1672"/>
      <c r="B11" s="1665" t="s">
        <v>2212</v>
      </c>
      <c r="C11" s="1673"/>
      <c r="D11" s="1667">
        <v>100</v>
      </c>
      <c r="E11" s="1674"/>
      <c r="F11" s="1669">
        <f>LOOKUP(E11,68:68,69:69)-LOOKUP(C11,68:68,69:69)+100</f>
        <v>100</v>
      </c>
      <c r="G11" s="1673"/>
      <c r="H11" s="1667">
        <f>LOOKUP(G11,68:68,69:69)-LOOKUP(C11,68:68,69:69)+100</f>
        <v>100</v>
      </c>
      <c r="I11" s="1673"/>
      <c r="J11" s="1667">
        <f>LOOKUP(I11,68:68,69:69)-LOOKUP(C11,68:68,69:69)+100</f>
        <v>100</v>
      </c>
      <c r="K11" s="1958"/>
      <c r="L11" s="2966"/>
      <c r="M11" s="2963"/>
      <c r="N11" s="2963"/>
      <c r="O11" s="2963"/>
      <c r="P11" s="3598"/>
      <c r="Q11" s="2031" t="str">
        <f t="shared" si="6"/>
        <v>容积率</v>
      </c>
      <c r="R11" s="1651" t="s">
        <v>25</v>
      </c>
      <c r="S11" s="1652">
        <f t="shared" si="0"/>
        <v>100</v>
      </c>
      <c r="T11" s="1651" t="s">
        <v>25</v>
      </c>
      <c r="U11" s="1652">
        <f t="shared" si="1"/>
        <v>100</v>
      </c>
      <c r="V11" s="1651" t="s">
        <v>25</v>
      </c>
      <c r="W11" s="1652">
        <f t="shared" si="2"/>
        <v>100</v>
      </c>
      <c r="X11" s="1653"/>
      <c r="Y11" s="3469"/>
      <c r="Z11" s="1663" t="str">
        <f t="shared" si="7"/>
        <v>容积率</v>
      </c>
      <c r="AA11" s="1654">
        <f t="shared" si="3"/>
        <v>1</v>
      </c>
      <c r="AB11" s="1654">
        <f t="shared" si="4"/>
        <v>1</v>
      </c>
      <c r="AC11" s="1654">
        <f t="shared" si="5"/>
        <v>1</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5"/>
      <c r="L12" s="2962"/>
      <c r="M12" s="2935"/>
      <c r="N12" s="2935"/>
      <c r="O12" s="2935"/>
      <c r="P12" s="3598"/>
      <c r="Q12" s="2031">
        <f t="shared" si="6"/>
        <v>111</v>
      </c>
      <c r="R12" s="1651" t="s">
        <v>25</v>
      </c>
      <c r="S12" s="1652">
        <f t="shared" si="0"/>
        <v>100</v>
      </c>
      <c r="T12" s="1651" t="s">
        <v>25</v>
      </c>
      <c r="U12" s="1652">
        <f t="shared" si="1"/>
        <v>100</v>
      </c>
      <c r="V12" s="1651" t="s">
        <v>25</v>
      </c>
      <c r="W12" s="1652">
        <f t="shared" si="2"/>
        <v>100</v>
      </c>
      <c r="X12" s="1653"/>
      <c r="Y12" s="3469"/>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5"/>
      <c r="L13" s="2967"/>
      <c r="M13" s="2963"/>
      <c r="N13" s="2963"/>
      <c r="O13" s="2963"/>
      <c r="P13" s="3598"/>
      <c r="Q13" s="2031">
        <f t="shared" si="6"/>
        <v>111</v>
      </c>
      <c r="R13" s="1651" t="s">
        <v>25</v>
      </c>
      <c r="S13" s="1652">
        <f t="shared" si="0"/>
        <v>100</v>
      </c>
      <c r="T13" s="1651" t="s">
        <v>25</v>
      </c>
      <c r="U13" s="1652">
        <f t="shared" si="1"/>
        <v>100</v>
      </c>
      <c r="V13" s="1651" t="s">
        <v>25</v>
      </c>
      <c r="W13" s="1652">
        <f t="shared" si="2"/>
        <v>100</v>
      </c>
      <c r="X13" s="1653"/>
      <c r="Y13" s="3469"/>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5"/>
      <c r="L14" s="2967"/>
      <c r="M14" s="2963"/>
      <c r="N14" s="2963"/>
      <c r="O14" s="2963"/>
      <c r="P14" s="3598"/>
      <c r="Q14" s="2031">
        <f t="shared" si="6"/>
        <v>111</v>
      </c>
      <c r="R14" s="1651" t="s">
        <v>25</v>
      </c>
      <c r="S14" s="1652">
        <f t="shared" si="0"/>
        <v>100</v>
      </c>
      <c r="T14" s="1651" t="s">
        <v>25</v>
      </c>
      <c r="U14" s="1652">
        <f t="shared" si="1"/>
        <v>100</v>
      </c>
      <c r="V14" s="1651" t="s">
        <v>25</v>
      </c>
      <c r="W14" s="1652">
        <f t="shared" si="2"/>
        <v>100</v>
      </c>
      <c r="X14" s="1653"/>
      <c r="Y14" s="3469"/>
      <c r="Z14" s="1663">
        <f t="shared" si="7"/>
        <v>111</v>
      </c>
      <c r="AA14" s="1654">
        <f t="shared" si="3"/>
        <v>1</v>
      </c>
      <c r="AB14" s="1654">
        <f t="shared" si="4"/>
        <v>1</v>
      </c>
      <c r="AC14" s="1654">
        <f t="shared" si="5"/>
        <v>1</v>
      </c>
    </row>
    <row r="15" spans="1:29" ht="71.25">
      <c r="A15" s="1687" t="s">
        <v>2213</v>
      </c>
      <c r="B15" s="1688" t="s">
        <v>2299</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97</v>
      </c>
      <c r="I15" s="1691"/>
      <c r="J15" s="1690">
        <f>SUMIF(76:76,I16,77:77)-SUMIF(76:76,C16,77:77)+100</f>
        <v>97</v>
      </c>
      <c r="K15" s="2438">
        <v>3</v>
      </c>
      <c r="L15" s="2967"/>
      <c r="M15" s="2963"/>
      <c r="N15" s="2963"/>
      <c r="O15" s="2963"/>
      <c r="P15" s="3601" t="s">
        <v>2214</v>
      </c>
      <c r="Q15" s="2037" t="str">
        <f t="shared" si="6"/>
        <v>商业繁华度</v>
      </c>
      <c r="R15" s="1695" t="s">
        <v>25</v>
      </c>
      <c r="S15" s="1696">
        <f t="shared" si="0"/>
        <v>100</v>
      </c>
      <c r="T15" s="1695" t="s">
        <v>25</v>
      </c>
      <c r="U15" s="1696">
        <f t="shared" si="1"/>
        <v>97</v>
      </c>
      <c r="V15" s="1695" t="s">
        <v>25</v>
      </c>
      <c r="W15" s="1696">
        <f t="shared" si="2"/>
        <v>97</v>
      </c>
      <c r="X15" s="2040"/>
      <c r="Y15" s="3582" t="s">
        <v>2214</v>
      </c>
      <c r="Z15" s="2044" t="str">
        <f t="shared" si="7"/>
        <v>商业繁华度</v>
      </c>
      <c r="AA15" s="2035">
        <f t="shared" si="3"/>
        <v>1</v>
      </c>
      <c r="AB15" s="2035">
        <f t="shared" si="4"/>
        <v>1.0309278350515463</v>
      </c>
      <c r="AC15" s="2035">
        <f t="shared" si="5"/>
        <v>1.0309278350515463</v>
      </c>
    </row>
    <row r="16" spans="1:29" ht="15">
      <c r="A16" s="1672"/>
      <c r="B16" s="1699"/>
      <c r="C16" s="1700" t="s">
        <v>29</v>
      </c>
      <c r="D16" s="1701"/>
      <c r="E16" s="1700" t="s">
        <v>29</v>
      </c>
      <c r="F16" s="1703"/>
      <c r="G16" s="1700" t="s">
        <v>30</v>
      </c>
      <c r="H16" s="1705"/>
      <c r="I16" s="1700" t="s">
        <v>30</v>
      </c>
      <c r="J16" s="1701"/>
      <c r="K16" s="2439"/>
      <c r="L16" s="2967"/>
      <c r="M16" s="2963"/>
      <c r="N16" s="2963"/>
      <c r="O16" s="2963"/>
      <c r="P16" s="3602"/>
      <c r="Q16" s="2037"/>
      <c r="R16" s="1695"/>
      <c r="S16" s="1696"/>
      <c r="T16" s="1695"/>
      <c r="U16" s="1696"/>
      <c r="V16" s="1695"/>
      <c r="W16" s="1696"/>
      <c r="X16" s="2040"/>
      <c r="Y16" s="3583"/>
      <c r="Z16" s="2044"/>
      <c r="AA16" s="2035">
        <v>1</v>
      </c>
      <c r="AB16" s="2035">
        <v>1</v>
      </c>
      <c r="AC16" s="2035">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38">
        <v>2</v>
      </c>
      <c r="L17" s="2967"/>
      <c r="M17" s="2963"/>
      <c r="N17" s="2963"/>
      <c r="O17" s="2963"/>
      <c r="P17" s="3602"/>
      <c r="Q17" s="2037" t="str">
        <f>B17</f>
        <v>交通便捷度</v>
      </c>
      <c r="R17" s="1695" t="s">
        <v>25</v>
      </c>
      <c r="S17" s="1696">
        <f>F17</f>
        <v>100</v>
      </c>
      <c r="T17" s="1695" t="s">
        <v>25</v>
      </c>
      <c r="U17" s="1696">
        <f>H17</f>
        <v>100</v>
      </c>
      <c r="V17" s="1695" t="s">
        <v>25</v>
      </c>
      <c r="W17" s="1696">
        <f>J17</f>
        <v>100</v>
      </c>
      <c r="X17" s="2040"/>
      <c r="Y17" s="3583"/>
      <c r="Z17" s="2044" t="str">
        <f>Q17</f>
        <v>交通便捷度</v>
      </c>
      <c r="AA17" s="2035">
        <f t="shared" si="3"/>
        <v>1</v>
      </c>
      <c r="AB17" s="2035">
        <f t="shared" si="4"/>
        <v>1</v>
      </c>
      <c r="AC17" s="2035">
        <f t="shared" si="5"/>
        <v>1</v>
      </c>
    </row>
    <row r="18" spans="1:29" ht="15">
      <c r="A18" s="1672"/>
      <c r="B18" s="1713"/>
      <c r="C18" s="1714" t="s">
        <v>30</v>
      </c>
      <c r="D18" s="1705"/>
      <c r="E18" s="1715" t="s">
        <v>30</v>
      </c>
      <c r="F18" s="1710"/>
      <c r="G18" s="1716" t="s">
        <v>30</v>
      </c>
      <c r="H18" s="1701"/>
      <c r="I18" s="1715" t="s">
        <v>30</v>
      </c>
      <c r="J18" s="1701"/>
      <c r="K18" s="2439"/>
      <c r="L18" s="2967"/>
      <c r="M18" s="2963"/>
      <c r="N18" s="2963"/>
      <c r="O18" s="2963"/>
      <c r="P18" s="3602"/>
      <c r="Q18" s="2037"/>
      <c r="R18" s="1695"/>
      <c r="S18" s="1696"/>
      <c r="T18" s="1695"/>
      <c r="U18" s="1696"/>
      <c r="V18" s="1695"/>
      <c r="W18" s="1696"/>
      <c r="X18" s="2040"/>
      <c r="Y18" s="3583"/>
      <c r="Z18" s="2044"/>
      <c r="AA18" s="2035">
        <v>1</v>
      </c>
      <c r="AB18" s="2035">
        <v>1</v>
      </c>
      <c r="AC18" s="2035">
        <v>1</v>
      </c>
    </row>
    <row r="19" spans="1:29" ht="42.75">
      <c r="A19" s="1672"/>
      <c r="B19" s="1707" t="s">
        <v>2300</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38">
        <v>2</v>
      </c>
      <c r="L19" s="2967"/>
      <c r="M19" s="2963"/>
      <c r="N19" s="2963"/>
      <c r="O19" s="2963"/>
      <c r="P19" s="3602"/>
      <c r="Q19" s="2037" t="str">
        <f>B19</f>
        <v>公共配套设施</v>
      </c>
      <c r="R19" s="1695" t="s">
        <v>25</v>
      </c>
      <c r="S19" s="1696">
        <f>F19</f>
        <v>100</v>
      </c>
      <c r="T19" s="1695" t="s">
        <v>25</v>
      </c>
      <c r="U19" s="1696">
        <f>H19</f>
        <v>100</v>
      </c>
      <c r="V19" s="1695" t="s">
        <v>25</v>
      </c>
      <c r="W19" s="1696">
        <f>J19</f>
        <v>100</v>
      </c>
      <c r="X19" s="2040"/>
      <c r="Y19" s="3583"/>
      <c r="Z19" s="2044" t="str">
        <f>Q19</f>
        <v>公共配套设施</v>
      </c>
      <c r="AA19" s="2035">
        <f t="shared" si="3"/>
        <v>1</v>
      </c>
      <c r="AB19" s="2035">
        <f t="shared" si="4"/>
        <v>1</v>
      </c>
      <c r="AC19" s="2035">
        <f t="shared" si="5"/>
        <v>1</v>
      </c>
    </row>
    <row r="20" spans="1:29" ht="15">
      <c r="A20" s="1672"/>
      <c r="B20" s="1713"/>
      <c r="C20" s="1700" t="s">
        <v>30</v>
      </c>
      <c r="D20" s="1701"/>
      <c r="E20" s="1700" t="s">
        <v>30</v>
      </c>
      <c r="F20" s="1703"/>
      <c r="G20" s="1700" t="s">
        <v>30</v>
      </c>
      <c r="H20" s="1701"/>
      <c r="I20" s="1700" t="s">
        <v>30</v>
      </c>
      <c r="J20" s="1701"/>
      <c r="K20" s="2439"/>
      <c r="L20" s="2967"/>
      <c r="M20" s="2963"/>
      <c r="N20" s="2963"/>
      <c r="O20" s="2963"/>
      <c r="P20" s="3602"/>
      <c r="Q20" s="2037"/>
      <c r="R20" s="1695"/>
      <c r="S20" s="1696"/>
      <c r="T20" s="1695"/>
      <c r="U20" s="1696"/>
      <c r="V20" s="1695"/>
      <c r="W20" s="1696"/>
      <c r="X20" s="2040"/>
      <c r="Y20" s="3583"/>
      <c r="Z20" s="2044"/>
      <c r="AA20" s="2035">
        <v>1</v>
      </c>
      <c r="AB20" s="2035">
        <v>1</v>
      </c>
      <c r="AC20" s="2035">
        <v>1</v>
      </c>
    </row>
    <row r="21" spans="1:29" ht="28.5">
      <c r="A21" s="1672"/>
      <c r="B21" s="1720" t="s">
        <v>2301</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38">
        <v>2</v>
      </c>
      <c r="L21" s="2967"/>
      <c r="M21" s="2963"/>
      <c r="N21" s="2963"/>
      <c r="O21" s="2963"/>
      <c r="P21" s="3602"/>
      <c r="Q21" s="2037" t="str">
        <f>B21</f>
        <v>基础设施水平</v>
      </c>
      <c r="R21" s="1695" t="s">
        <v>25</v>
      </c>
      <c r="S21" s="1696">
        <f>F21</f>
        <v>100</v>
      </c>
      <c r="T21" s="1695" t="s">
        <v>25</v>
      </c>
      <c r="U21" s="1696">
        <f>H21</f>
        <v>100</v>
      </c>
      <c r="V21" s="1695" t="s">
        <v>25</v>
      </c>
      <c r="W21" s="1696">
        <f>J21</f>
        <v>100</v>
      </c>
      <c r="X21" s="2040"/>
      <c r="Y21" s="3583"/>
      <c r="Z21" s="2044" t="str">
        <f>Q21</f>
        <v>基础设施水平</v>
      </c>
      <c r="AA21" s="2035">
        <f t="shared" ref="AA21" si="8">D21/F21</f>
        <v>1</v>
      </c>
      <c r="AB21" s="2035">
        <f t="shared" ref="AB21" si="9">D21/H21</f>
        <v>1</v>
      </c>
      <c r="AC21" s="2035">
        <f t="shared" ref="AC21" si="10">D21/J21</f>
        <v>1</v>
      </c>
    </row>
    <row r="22" spans="1:29" ht="15">
      <c r="A22" s="1672"/>
      <c r="B22" s="1720"/>
      <c r="C22" s="1714" t="s">
        <v>3012</v>
      </c>
      <c r="D22" s="1701"/>
      <c r="E22" s="1714" t="s">
        <v>3012</v>
      </c>
      <c r="F22" s="1703"/>
      <c r="G22" s="1714" t="s">
        <v>3012</v>
      </c>
      <c r="H22" s="1701"/>
      <c r="I22" s="1714" t="s">
        <v>3012</v>
      </c>
      <c r="J22" s="1701"/>
      <c r="K22" s="2440"/>
      <c r="L22" s="2967"/>
      <c r="M22" s="2963"/>
      <c r="N22" s="2963"/>
      <c r="O22" s="2963"/>
      <c r="P22" s="3602"/>
      <c r="Q22" s="2037"/>
      <c r="R22" s="1695"/>
      <c r="S22" s="1696"/>
      <c r="T22" s="1695"/>
      <c r="U22" s="1696"/>
      <c r="V22" s="1695"/>
      <c r="W22" s="1696"/>
      <c r="X22" s="2040"/>
      <c r="Y22" s="3583"/>
      <c r="Z22" s="2044"/>
      <c r="AA22" s="2035">
        <v>1</v>
      </c>
      <c r="AB22" s="2035">
        <v>1</v>
      </c>
      <c r="AC22" s="2035">
        <v>1</v>
      </c>
    </row>
    <row r="23" spans="1:29" ht="57">
      <c r="A23" s="1672"/>
      <c r="B23" s="1707" t="s">
        <v>1651</v>
      </c>
      <c r="C23" s="2441"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38">
        <v>2</v>
      </c>
      <c r="L23" s="2967"/>
      <c r="M23" s="2963"/>
      <c r="N23" s="2963"/>
      <c r="O23" s="2963"/>
      <c r="P23" s="3602"/>
      <c r="Q23" s="2037" t="str">
        <f>B23</f>
        <v>自然及人文环境</v>
      </c>
      <c r="R23" s="1695" t="s">
        <v>25</v>
      </c>
      <c r="S23" s="1696">
        <f>F23</f>
        <v>100</v>
      </c>
      <c r="T23" s="1695" t="s">
        <v>25</v>
      </c>
      <c r="U23" s="1696">
        <f>H23</f>
        <v>100</v>
      </c>
      <c r="V23" s="1695" t="s">
        <v>25</v>
      </c>
      <c r="W23" s="1696">
        <f>J23</f>
        <v>100</v>
      </c>
      <c r="X23" s="2040"/>
      <c r="Y23" s="3583"/>
      <c r="Z23" s="2044" t="str">
        <f>Q23</f>
        <v>自然及人文环境</v>
      </c>
      <c r="AA23" s="2035">
        <f t="shared" si="3"/>
        <v>1</v>
      </c>
      <c r="AB23" s="2035">
        <f t="shared" si="4"/>
        <v>1</v>
      </c>
      <c r="AC23" s="2035">
        <f t="shared" si="5"/>
        <v>1</v>
      </c>
    </row>
    <row r="24" spans="1:29" ht="15">
      <c r="A24" s="1672"/>
      <c r="B24" s="1713"/>
      <c r="C24" s="1700" t="s">
        <v>30</v>
      </c>
      <c r="D24" s="1701"/>
      <c r="E24" s="1700" t="s">
        <v>30</v>
      </c>
      <c r="F24" s="1703"/>
      <c r="G24" s="1700" t="s">
        <v>30</v>
      </c>
      <c r="H24" s="1701"/>
      <c r="I24" s="1700" t="s">
        <v>30</v>
      </c>
      <c r="J24" s="1701"/>
      <c r="K24" s="2439"/>
      <c r="L24" s="2967"/>
      <c r="M24" s="2963"/>
      <c r="N24" s="2963"/>
      <c r="O24" s="2963"/>
      <c r="P24" s="3602"/>
      <c r="Q24" s="2037"/>
      <c r="R24" s="1695"/>
      <c r="S24" s="1696"/>
      <c r="T24" s="1695"/>
      <c r="U24" s="1696"/>
      <c r="V24" s="1695"/>
      <c r="W24" s="1696"/>
      <c r="X24" s="2040"/>
      <c r="Y24" s="3583"/>
      <c r="Z24" s="2044"/>
      <c r="AA24" s="2035">
        <v>1</v>
      </c>
      <c r="AB24" s="2035">
        <v>1</v>
      </c>
      <c r="AC24" s="2035">
        <v>1</v>
      </c>
    </row>
    <row r="25" spans="1:29" ht="15">
      <c r="A25" s="1672"/>
      <c r="B25" s="1665" t="s">
        <v>2302</v>
      </c>
      <c r="C25" s="1957" t="s">
        <v>3021</v>
      </c>
      <c r="D25" s="1681">
        <v>100</v>
      </c>
      <c r="E25" s="1957" t="s">
        <v>3013</v>
      </c>
      <c r="F25" s="1723">
        <f>SUMIF(86:86,E25,87:87)-SUMIF(86:86,C25,87:87)+100</f>
        <v>103</v>
      </c>
      <c r="G25" s="1957" t="s">
        <v>3021</v>
      </c>
      <c r="H25" s="1681">
        <f>SUMIF(86:86,G25,87:87)-SUMIF(86:86,C25,87:87)+100</f>
        <v>100</v>
      </c>
      <c r="I25" s="1957" t="s">
        <v>3021</v>
      </c>
      <c r="J25" s="1681">
        <f>SUMIF(86:86,I25,87:87)-SUMIF(86:86,C25,87:87)+100</f>
        <v>100</v>
      </c>
      <c r="K25" s="1958">
        <v>3</v>
      </c>
      <c r="L25" s="2967"/>
      <c r="M25" s="2963"/>
      <c r="N25" s="2963"/>
      <c r="O25" s="2963"/>
      <c r="P25" s="3602"/>
      <c r="Q25" s="2037" t="str">
        <f t="shared" ref="Q25:Q46" si="11">B25</f>
        <v>临街状况</v>
      </c>
      <c r="R25" s="1695" t="s">
        <v>25</v>
      </c>
      <c r="S25" s="1696">
        <f>F25</f>
        <v>103</v>
      </c>
      <c r="T25" s="1695" t="s">
        <v>25</v>
      </c>
      <c r="U25" s="1696">
        <f>H25</f>
        <v>100</v>
      </c>
      <c r="V25" s="1695" t="s">
        <v>25</v>
      </c>
      <c r="W25" s="1696">
        <f>J25</f>
        <v>100</v>
      </c>
      <c r="X25" s="2040"/>
      <c r="Y25" s="3583"/>
      <c r="Z25" s="2044" t="str">
        <f>Q25</f>
        <v>临街状况</v>
      </c>
      <c r="AA25" s="2035">
        <f t="shared" si="3"/>
        <v>0.970873786407767</v>
      </c>
      <c r="AB25" s="2035">
        <f t="shared" si="4"/>
        <v>1</v>
      </c>
      <c r="AC25" s="2035">
        <f t="shared" si="5"/>
        <v>1</v>
      </c>
    </row>
    <row r="26" spans="1:29" ht="15">
      <c r="A26" s="1672"/>
      <c r="B26" s="1729" t="s">
        <v>2303</v>
      </c>
      <c r="C26" s="3315" t="s">
        <v>3022</v>
      </c>
      <c r="D26" s="1681">
        <v>100</v>
      </c>
      <c r="E26" s="3315" t="s">
        <v>3034</v>
      </c>
      <c r="F26" s="1723">
        <f>SUMIF(88:88,E26,89:89)-SUMIF(88:88,C26,89:89)+100</f>
        <v>103</v>
      </c>
      <c r="G26" s="3315" t="s">
        <v>3022</v>
      </c>
      <c r="H26" s="1681">
        <f>SUMIF(88:88,G26,89:89)-SUMIF(88:88,C26,89:89)+100</f>
        <v>100</v>
      </c>
      <c r="I26" s="3315" t="s">
        <v>3022</v>
      </c>
      <c r="J26" s="1681">
        <f>SUMIF(88:88,I26,89:89)-SUMIF(88:88,C26,89:89)+100</f>
        <v>100</v>
      </c>
      <c r="K26" s="1955"/>
      <c r="L26" s="2967"/>
      <c r="M26" s="2963"/>
      <c r="N26" s="2963"/>
      <c r="O26" s="2963"/>
      <c r="P26" s="3602"/>
      <c r="Q26" s="2037" t="str">
        <f t="shared" si="11"/>
        <v>平面位置/可视性</v>
      </c>
      <c r="R26" s="1695" t="s">
        <v>25</v>
      </c>
      <c r="S26" s="1696">
        <f>F26</f>
        <v>103</v>
      </c>
      <c r="T26" s="1695" t="s">
        <v>25</v>
      </c>
      <c r="U26" s="1696">
        <f>H26</f>
        <v>100</v>
      </c>
      <c r="V26" s="1695" t="s">
        <v>25</v>
      </c>
      <c r="W26" s="1696">
        <f>J26</f>
        <v>100</v>
      </c>
      <c r="X26" s="2040"/>
      <c r="Y26" s="3583"/>
      <c r="Z26" s="2044" t="str">
        <f>Q26</f>
        <v>平面位置/可视性</v>
      </c>
      <c r="AA26" s="2035">
        <f t="shared" si="3"/>
        <v>0.970873786407767</v>
      </c>
      <c r="AB26" s="2035">
        <f t="shared" si="4"/>
        <v>1</v>
      </c>
      <c r="AC26" s="2035">
        <f t="shared" si="5"/>
        <v>1</v>
      </c>
    </row>
    <row r="27" spans="1:29" s="1655" customFormat="1" ht="15">
      <c r="A27" s="1675"/>
      <c r="B27" s="1707" t="s">
        <v>2304</v>
      </c>
      <c r="C27" s="2442" t="s">
        <v>3048</v>
      </c>
      <c r="D27" s="1725">
        <v>100</v>
      </c>
      <c r="E27" s="2442" t="s">
        <v>3014</v>
      </c>
      <c r="F27" s="1727">
        <f>SUMIF(90:90,E27,91:91)-SUMIF(90:90,C27,91:91)+100</f>
        <v>103</v>
      </c>
      <c r="G27" s="2442" t="s">
        <v>3014</v>
      </c>
      <c r="H27" s="1725">
        <f>SUMIF(90:90,G27,91:91)-SUMIF(90:90,C27,91:91)+100</f>
        <v>103</v>
      </c>
      <c r="I27" s="2442" t="s">
        <v>3014</v>
      </c>
      <c r="J27" s="1725">
        <f>SUMIF(90:90,I27,91:91)-SUMIF(90:90,C27,91:91)+100</f>
        <v>103</v>
      </c>
      <c r="K27" s="1958">
        <v>3</v>
      </c>
      <c r="L27" s="2962"/>
      <c r="M27" s="2935"/>
      <c r="N27" s="2935"/>
      <c r="O27" s="2935"/>
      <c r="P27" s="3602"/>
      <c r="Q27" s="2031" t="str">
        <f t="shared" si="11"/>
        <v>人流量</v>
      </c>
      <c r="R27" s="1651" t="s">
        <v>25</v>
      </c>
      <c r="S27" s="1652">
        <f>F27</f>
        <v>103</v>
      </c>
      <c r="T27" s="1651" t="s">
        <v>25</v>
      </c>
      <c r="U27" s="1652">
        <f>H27</f>
        <v>103</v>
      </c>
      <c r="V27" s="1651" t="s">
        <v>25</v>
      </c>
      <c r="W27" s="1652">
        <f>J27</f>
        <v>103</v>
      </c>
      <c r="X27" s="1653"/>
      <c r="Y27" s="3583"/>
      <c r="Z27" s="1663" t="str">
        <f>Q27</f>
        <v>人流量</v>
      </c>
      <c r="AA27" s="2035">
        <f>D27/F27</f>
        <v>0.970873786407767</v>
      </c>
      <c r="AB27" s="2035">
        <f>D27/H27</f>
        <v>0.970873786407767</v>
      </c>
      <c r="AC27" s="2035">
        <f>D27/J27</f>
        <v>0.970873786407767</v>
      </c>
    </row>
    <row r="28" spans="1:29" ht="15">
      <c r="A28" s="1672"/>
      <c r="B28" s="1665" t="s">
        <v>2305</v>
      </c>
      <c r="C28" s="1957" t="s">
        <v>3052</v>
      </c>
      <c r="D28" s="1681">
        <v>100</v>
      </c>
      <c r="E28" s="1957" t="s">
        <v>3015</v>
      </c>
      <c r="F28" s="1723">
        <f>SUMIF(92:92,E28,93:93)-SUMIF(92:92,C28,93:93)+100</f>
        <v>125</v>
      </c>
      <c r="G28" s="1957" t="s">
        <v>3015</v>
      </c>
      <c r="H28" s="1681">
        <f>SUMIF(92:92,G28,93:93)-SUMIF(92:92,C28,93:93)+100</f>
        <v>125</v>
      </c>
      <c r="I28" s="1957" t="s">
        <v>3025</v>
      </c>
      <c r="J28" s="1681">
        <f>SUMIF(92:92,I28,93:93)-SUMIF(92:92,C28,93:93)+100</f>
        <v>110</v>
      </c>
      <c r="K28" s="1955"/>
      <c r="L28" s="2967"/>
      <c r="M28" s="2963"/>
      <c r="N28" s="2963"/>
      <c r="O28" s="2963"/>
      <c r="P28" s="3602"/>
      <c r="Q28" s="2037" t="str">
        <f t="shared" si="11"/>
        <v>楼层</v>
      </c>
      <c r="R28" s="1695" t="s">
        <v>25</v>
      </c>
      <c r="S28" s="1696">
        <f t="shared" ref="S28:S46" si="12">F28</f>
        <v>125</v>
      </c>
      <c r="T28" s="1695" t="s">
        <v>25</v>
      </c>
      <c r="U28" s="1696">
        <f t="shared" ref="U28:U46" si="13">H28</f>
        <v>125</v>
      </c>
      <c r="V28" s="1695" t="s">
        <v>25</v>
      </c>
      <c r="W28" s="1696">
        <f t="shared" ref="W28:W46" si="14">J28</f>
        <v>110</v>
      </c>
      <c r="X28" s="2040"/>
      <c r="Y28" s="3583"/>
      <c r="Z28" s="2044" t="str">
        <f t="shared" ref="Z28:Z46" si="15">Q28</f>
        <v>楼层</v>
      </c>
      <c r="AA28" s="2035">
        <f t="shared" si="3"/>
        <v>0.8</v>
      </c>
      <c r="AB28" s="2035">
        <f t="shared" si="4"/>
        <v>0.8</v>
      </c>
      <c r="AC28" s="2035">
        <f t="shared" si="5"/>
        <v>0.90909090909090906</v>
      </c>
    </row>
    <row r="29" spans="1:29" ht="15">
      <c r="A29" s="1672"/>
      <c r="B29" s="1729">
        <v>111</v>
      </c>
      <c r="C29" s="1680"/>
      <c r="D29" s="1681">
        <v>100</v>
      </c>
      <c r="E29" s="1680"/>
      <c r="F29" s="1723">
        <f>SUMIF(94:94,E29,95:95)-SUMIF(94:94,C29,95:95)+100</f>
        <v>100</v>
      </c>
      <c r="G29" s="1680"/>
      <c r="H29" s="1681">
        <f>SUMIF(94:94,G29,95:95)-SUMIF(94:94,C29,95:95)+100</f>
        <v>100</v>
      </c>
      <c r="I29" s="1680"/>
      <c r="J29" s="1681">
        <f>SUMIF(94:94,I29,95:95)-SUMIF(94:94,C29,95:95)+100</f>
        <v>100</v>
      </c>
      <c r="K29" s="1955"/>
      <c r="L29" s="2967"/>
      <c r="M29" s="2963"/>
      <c r="N29" s="2963"/>
      <c r="O29" s="2963"/>
      <c r="P29" s="3602"/>
      <c r="Q29" s="2037">
        <f t="shared" si="11"/>
        <v>111</v>
      </c>
      <c r="R29" s="1695" t="s">
        <v>25</v>
      </c>
      <c r="S29" s="1696">
        <f t="shared" si="12"/>
        <v>100</v>
      </c>
      <c r="T29" s="1695" t="s">
        <v>25</v>
      </c>
      <c r="U29" s="1696">
        <f t="shared" si="13"/>
        <v>100</v>
      </c>
      <c r="V29" s="1695" t="s">
        <v>25</v>
      </c>
      <c r="W29" s="1696">
        <f t="shared" si="14"/>
        <v>100</v>
      </c>
      <c r="X29" s="2040"/>
      <c r="Y29" s="3583"/>
      <c r="Z29" s="2044">
        <f t="shared" si="15"/>
        <v>111</v>
      </c>
      <c r="AA29" s="2035">
        <f t="shared" si="3"/>
        <v>1</v>
      </c>
      <c r="AB29" s="2035">
        <f t="shared" si="4"/>
        <v>1</v>
      </c>
      <c r="AC29" s="2035">
        <f t="shared" si="5"/>
        <v>1</v>
      </c>
    </row>
    <row r="30" spans="1:29" ht="15">
      <c r="A30" s="1672"/>
      <c r="B30" s="1729">
        <v>111</v>
      </c>
      <c r="C30" s="1680"/>
      <c r="D30" s="1681">
        <v>100</v>
      </c>
      <c r="E30" s="1680"/>
      <c r="F30" s="1723">
        <f>SUMIF(96:96,E30,97:97)-SUMIF(96:96,C30,97:97)+100</f>
        <v>100</v>
      </c>
      <c r="G30" s="1680"/>
      <c r="H30" s="1681">
        <f>SUMIF(96:96,G30,97:97)-SUMIF(96:96,C30,97:97)+100</f>
        <v>100</v>
      </c>
      <c r="I30" s="1680"/>
      <c r="J30" s="1681">
        <f>SUMIF(96:96,I30,97:97)-SUMIF(96:96,C30,97:97)+100</f>
        <v>100</v>
      </c>
      <c r="K30" s="1955"/>
      <c r="L30" s="2967"/>
      <c r="M30" s="2963"/>
      <c r="N30" s="2963"/>
      <c r="O30" s="2963"/>
      <c r="P30" s="3602"/>
      <c r="Q30" s="2037">
        <f t="shared" si="11"/>
        <v>111</v>
      </c>
      <c r="R30" s="1695" t="s">
        <v>25</v>
      </c>
      <c r="S30" s="1696">
        <f t="shared" si="12"/>
        <v>100</v>
      </c>
      <c r="T30" s="1695" t="s">
        <v>25</v>
      </c>
      <c r="U30" s="1696">
        <f t="shared" si="13"/>
        <v>100</v>
      </c>
      <c r="V30" s="1695" t="s">
        <v>25</v>
      </c>
      <c r="W30" s="1696">
        <f t="shared" si="14"/>
        <v>100</v>
      </c>
      <c r="X30" s="2040"/>
      <c r="Y30" s="3583"/>
      <c r="Z30" s="2044">
        <f t="shared" si="15"/>
        <v>111</v>
      </c>
      <c r="AA30" s="2035">
        <f t="shared" si="3"/>
        <v>1</v>
      </c>
      <c r="AB30" s="2035">
        <f t="shared" si="4"/>
        <v>1</v>
      </c>
      <c r="AC30" s="2035">
        <f t="shared" si="5"/>
        <v>1</v>
      </c>
    </row>
    <row r="31" spans="1:29" ht="15.75" thickBot="1">
      <c r="A31" s="1682"/>
      <c r="B31" s="1729">
        <v>111</v>
      </c>
      <c r="C31" s="1684"/>
      <c r="D31" s="1685">
        <v>100</v>
      </c>
      <c r="E31" s="1680"/>
      <c r="F31" s="1686">
        <f>SUMIF(98:98,E31,99:99)-SUMIF(98:98,C31,99:99)+100</f>
        <v>100</v>
      </c>
      <c r="G31" s="1680"/>
      <c r="H31" s="1685">
        <f>SUMIF(98:98,G31,99:99)-SUMIF(98:98,C31,99:99)+100</f>
        <v>100</v>
      </c>
      <c r="I31" s="1680"/>
      <c r="J31" s="1685">
        <f>SUMIF(98:98,I31,99:99)-SUMIF(98:98,C31,99:99)+100</f>
        <v>100</v>
      </c>
      <c r="K31" s="1955"/>
      <c r="L31" s="2967"/>
      <c r="M31" s="2963"/>
      <c r="N31" s="2963"/>
      <c r="O31" s="2963"/>
      <c r="P31" s="3602"/>
      <c r="Q31" s="2037">
        <f t="shared" si="11"/>
        <v>111</v>
      </c>
      <c r="R31" s="1695" t="s">
        <v>25</v>
      </c>
      <c r="S31" s="1696">
        <f t="shared" si="12"/>
        <v>100</v>
      </c>
      <c r="T31" s="1695" t="s">
        <v>25</v>
      </c>
      <c r="U31" s="1696">
        <f t="shared" si="13"/>
        <v>100</v>
      </c>
      <c r="V31" s="1695" t="s">
        <v>25</v>
      </c>
      <c r="W31" s="1696">
        <f t="shared" si="14"/>
        <v>100</v>
      </c>
      <c r="X31" s="2040"/>
      <c r="Y31" s="3583"/>
      <c r="Z31" s="2044">
        <f t="shared" si="15"/>
        <v>111</v>
      </c>
      <c r="AA31" s="2035">
        <f t="shared" si="3"/>
        <v>1</v>
      </c>
      <c r="AB31" s="2035">
        <f t="shared" si="4"/>
        <v>1</v>
      </c>
      <c r="AC31" s="2035">
        <f t="shared" si="5"/>
        <v>1</v>
      </c>
    </row>
    <row r="32" spans="1:29" ht="15">
      <c r="A32" s="1687" t="s">
        <v>2218</v>
      </c>
      <c r="B32" s="1657" t="s">
        <v>2306</v>
      </c>
      <c r="C32" s="1730" t="s">
        <v>3016</v>
      </c>
      <c r="D32" s="1731">
        <v>100</v>
      </c>
      <c r="E32" s="1730" t="s">
        <v>3016</v>
      </c>
      <c r="F32" s="1723">
        <f>SUMIF(100:100,E32,101:101)-SUMIF(100:100,C32,101:101)+100</f>
        <v>100</v>
      </c>
      <c r="G32" s="1730" t="s">
        <v>3016</v>
      </c>
      <c r="H32" s="1681">
        <f>SUMIF(100:100,G32,101:101)-SUMIF(100:100,C32,101:101)+100</f>
        <v>100</v>
      </c>
      <c r="I32" s="1730" t="s">
        <v>3016</v>
      </c>
      <c r="J32" s="1731">
        <f>SUMIF(100:100,I32,101:101)-SUMIF(100:100,C32,101:101)+100</f>
        <v>100</v>
      </c>
      <c r="K32" s="1958">
        <v>2</v>
      </c>
      <c r="L32" s="2967"/>
      <c r="M32" s="2963"/>
      <c r="N32" s="2963"/>
      <c r="O32" s="2963"/>
      <c r="P32" s="3584" t="s">
        <v>2220</v>
      </c>
      <c r="Q32" s="2037" t="str">
        <f t="shared" si="11"/>
        <v>商业类型</v>
      </c>
      <c r="R32" s="1695" t="s">
        <v>25</v>
      </c>
      <c r="S32" s="1696">
        <f t="shared" si="12"/>
        <v>100</v>
      </c>
      <c r="T32" s="1695" t="s">
        <v>25</v>
      </c>
      <c r="U32" s="1696">
        <f t="shared" si="13"/>
        <v>100</v>
      </c>
      <c r="V32" s="1695" t="s">
        <v>25</v>
      </c>
      <c r="W32" s="1696">
        <f t="shared" si="14"/>
        <v>100</v>
      </c>
      <c r="X32" s="2040"/>
      <c r="Y32" s="3587" t="s">
        <v>2220</v>
      </c>
      <c r="Z32" s="2044" t="str">
        <f t="shared" si="15"/>
        <v>商业类型</v>
      </c>
      <c r="AA32" s="2035">
        <f t="shared" si="3"/>
        <v>1</v>
      </c>
      <c r="AB32" s="2035">
        <f t="shared" si="4"/>
        <v>1</v>
      </c>
      <c r="AC32" s="2035">
        <f t="shared" si="5"/>
        <v>1</v>
      </c>
    </row>
    <row r="33" spans="1:29" s="1739" customFormat="1" ht="15">
      <c r="A33" s="1732"/>
      <c r="B33" s="1665" t="s">
        <v>2221</v>
      </c>
      <c r="C33" s="1733">
        <f>[3]项目基本情况!C12</f>
        <v>362.84</v>
      </c>
      <c r="D33" s="1667">
        <v>100</v>
      </c>
      <c r="E33" s="1674">
        <v>220</v>
      </c>
      <c r="F33" s="1669">
        <f>LOOKUP(E33,103:103,104:104)-LOOKUP(C33,103:103,104:104)+100</f>
        <v>100</v>
      </c>
      <c r="G33" s="1673">
        <v>60</v>
      </c>
      <c r="H33" s="1667">
        <f>LOOKUP(G33,103:103,104:104)-LOOKUP(C33,103:103,104:104)+100</f>
        <v>102</v>
      </c>
      <c r="I33" s="1673">
        <v>336</v>
      </c>
      <c r="J33" s="1667">
        <f>LOOKUP(I33,103:103,104:104)-LOOKUP(C33,103:103,104:104)+100</f>
        <v>100</v>
      </c>
      <c r="K33" s="1955"/>
      <c r="L33" s="2966"/>
      <c r="M33" s="2025"/>
      <c r="N33" s="2025"/>
      <c r="O33" s="2025"/>
      <c r="P33" s="3585"/>
      <c r="Q33" s="1734" t="str">
        <f t="shared" si="11"/>
        <v>项目建筑规模</v>
      </c>
      <c r="R33" s="1735" t="s">
        <v>25</v>
      </c>
      <c r="S33" s="1736">
        <f t="shared" si="12"/>
        <v>100</v>
      </c>
      <c r="T33" s="1735" t="s">
        <v>25</v>
      </c>
      <c r="U33" s="1736">
        <f t="shared" si="13"/>
        <v>102</v>
      </c>
      <c r="V33" s="1735" t="s">
        <v>25</v>
      </c>
      <c r="W33" s="1736">
        <f t="shared" si="14"/>
        <v>100</v>
      </c>
      <c r="X33" s="1737"/>
      <c r="Y33" s="3587"/>
      <c r="Z33" s="1738" t="str">
        <f t="shared" si="15"/>
        <v>项目建筑规模</v>
      </c>
      <c r="AA33" s="2035">
        <f t="shared" si="3"/>
        <v>1</v>
      </c>
      <c r="AB33" s="2035">
        <f t="shared" si="4"/>
        <v>0.98039215686274506</v>
      </c>
      <c r="AC33" s="2035">
        <f t="shared" si="5"/>
        <v>1</v>
      </c>
    </row>
    <row r="34" spans="1:29" ht="15">
      <c r="A34" s="1740"/>
      <c r="B34" s="1665" t="s">
        <v>2222</v>
      </c>
      <c r="C34" s="1741"/>
      <c r="D34" s="1681">
        <v>100</v>
      </c>
      <c r="E34" s="1742"/>
      <c r="F34" s="1723">
        <f>SUMIF(105:105,E34,106:106)-SUMIF(105:105,C34,106:106)+100</f>
        <v>100</v>
      </c>
      <c r="G34" s="1741"/>
      <c r="H34" s="1681">
        <f>SUMIF(105:105,G34,106:106)-SUMIF(105:105,C34,106:106)+100</f>
        <v>100</v>
      </c>
      <c r="I34" s="1741"/>
      <c r="J34" s="1681">
        <f>SUMIF(105:105,I34,106:106)-SUMIF(105:105,C34,106:106)+100</f>
        <v>100</v>
      </c>
      <c r="K34" s="1958">
        <v>2</v>
      </c>
      <c r="L34" s="2967"/>
      <c r="M34" s="2963"/>
      <c r="N34" s="2963"/>
      <c r="O34" s="2963"/>
      <c r="P34" s="3585"/>
      <c r="Q34" s="2037" t="str">
        <f t="shared" si="11"/>
        <v>建筑结构</v>
      </c>
      <c r="R34" s="1695" t="s">
        <v>25</v>
      </c>
      <c r="S34" s="1696">
        <f t="shared" si="12"/>
        <v>100</v>
      </c>
      <c r="T34" s="1695" t="s">
        <v>25</v>
      </c>
      <c r="U34" s="1696">
        <f t="shared" si="13"/>
        <v>100</v>
      </c>
      <c r="V34" s="1695" t="s">
        <v>25</v>
      </c>
      <c r="W34" s="1696">
        <f t="shared" si="14"/>
        <v>100</v>
      </c>
      <c r="X34" s="2040"/>
      <c r="Y34" s="3587"/>
      <c r="Z34" s="2044" t="str">
        <f t="shared" si="15"/>
        <v>建筑结构</v>
      </c>
      <c r="AA34" s="2035">
        <f t="shared" si="3"/>
        <v>1</v>
      </c>
      <c r="AB34" s="2035">
        <f t="shared" si="4"/>
        <v>1</v>
      </c>
      <c r="AC34" s="2035">
        <f t="shared" si="5"/>
        <v>1</v>
      </c>
    </row>
    <row r="35" spans="1:29" ht="15">
      <c r="A35" s="1740"/>
      <c r="B35" s="1665" t="s">
        <v>2307</v>
      </c>
      <c r="C35" s="1724"/>
      <c r="D35" s="1681">
        <v>100</v>
      </c>
      <c r="E35" s="1724"/>
      <c r="F35" s="1723">
        <f>SUMIF(107:107,E35,108:108)-SUMIF(107:107,C35,108:108)+100</f>
        <v>100</v>
      </c>
      <c r="G35" s="1724"/>
      <c r="H35" s="1681">
        <f>SUMIF(107:107,G35,108:108)-SUMIF(107:107,C35,108:108)+100</f>
        <v>100</v>
      </c>
      <c r="I35" s="1724"/>
      <c r="J35" s="1681">
        <f>SUMIF(107:107,I35,108:108)-SUMIF(107:107,C35,108:108)+100</f>
        <v>100</v>
      </c>
      <c r="K35" s="1958">
        <v>2</v>
      </c>
      <c r="L35" s="2967"/>
      <c r="M35" s="2963"/>
      <c r="N35" s="2963"/>
      <c r="O35" s="2963"/>
      <c r="P35" s="3585"/>
      <c r="Q35" s="2037" t="str">
        <f t="shared" si="11"/>
        <v>公共部分装修</v>
      </c>
      <c r="R35" s="1695" t="s">
        <v>25</v>
      </c>
      <c r="S35" s="1696">
        <f t="shared" si="12"/>
        <v>100</v>
      </c>
      <c r="T35" s="1695" t="s">
        <v>25</v>
      </c>
      <c r="U35" s="1696">
        <f t="shared" si="13"/>
        <v>100</v>
      </c>
      <c r="V35" s="1695" t="s">
        <v>25</v>
      </c>
      <c r="W35" s="1696">
        <f t="shared" si="14"/>
        <v>100</v>
      </c>
      <c r="X35" s="2040"/>
      <c r="Y35" s="3587"/>
      <c r="Z35" s="2044" t="str">
        <f t="shared" si="15"/>
        <v>公共部分装修</v>
      </c>
      <c r="AA35" s="2035">
        <f t="shared" si="3"/>
        <v>1</v>
      </c>
      <c r="AB35" s="2035">
        <f t="shared" si="4"/>
        <v>1</v>
      </c>
      <c r="AC35" s="2035">
        <f t="shared" si="5"/>
        <v>1</v>
      </c>
    </row>
    <row r="36" spans="1:29" ht="15">
      <c r="A36" s="1740"/>
      <c r="B36" s="1665" t="s">
        <v>2308</v>
      </c>
      <c r="C36" s="1744">
        <v>0.87</v>
      </c>
      <c r="D36" s="1681">
        <v>100</v>
      </c>
      <c r="E36" s="1744">
        <v>0.72</v>
      </c>
      <c r="F36" s="1723">
        <f>LOOKUP(E36,110:110,111:111)-LOOKUP(C36,110:110,111:111)+100</f>
        <v>99</v>
      </c>
      <c r="G36" s="1744">
        <v>0.55000000000000004</v>
      </c>
      <c r="H36" s="1723">
        <f>LOOKUP(G36,110:110,111:111)-LOOKUP(C36,110:110,111:111)+100</f>
        <v>97</v>
      </c>
      <c r="I36" s="1744">
        <v>0.65</v>
      </c>
      <c r="J36" s="1681">
        <f>LOOKUP(I36,110:110,111:111)-LOOKUP(C36,110:110,111:111)+100</f>
        <v>98</v>
      </c>
      <c r="K36" s="1958">
        <v>1</v>
      </c>
      <c r="L36" s="2967"/>
      <c r="M36" s="2963"/>
      <c r="N36" s="2963"/>
      <c r="O36" s="2963"/>
      <c r="P36" s="3585"/>
      <c r="Q36" s="2037" t="str">
        <f t="shared" si="11"/>
        <v>成新度</v>
      </c>
      <c r="R36" s="1695" t="s">
        <v>25</v>
      </c>
      <c r="S36" s="1696">
        <f t="shared" si="12"/>
        <v>99</v>
      </c>
      <c r="T36" s="1695" t="s">
        <v>25</v>
      </c>
      <c r="U36" s="1696">
        <f t="shared" si="13"/>
        <v>97</v>
      </c>
      <c r="V36" s="1695" t="s">
        <v>25</v>
      </c>
      <c r="W36" s="1696">
        <f t="shared" si="14"/>
        <v>98</v>
      </c>
      <c r="X36" s="2040"/>
      <c r="Y36" s="3587"/>
      <c r="Z36" s="2044" t="str">
        <f t="shared" si="15"/>
        <v>成新度</v>
      </c>
      <c r="AA36" s="2035">
        <f t="shared" si="3"/>
        <v>1.0101010101010102</v>
      </c>
      <c r="AB36" s="2035">
        <f t="shared" si="4"/>
        <v>1.0309278350515463</v>
      </c>
      <c r="AC36" s="2035">
        <f t="shared" si="5"/>
        <v>1.0204081632653061</v>
      </c>
    </row>
    <row r="37" spans="1:29" s="1655" customFormat="1" ht="15">
      <c r="A37" s="1743"/>
      <c r="B37" s="1665" t="s">
        <v>2309</v>
      </c>
      <c r="C37" s="1724"/>
      <c r="D37" s="1667">
        <v>100</v>
      </c>
      <c r="E37" s="1724"/>
      <c r="F37" s="1723">
        <f>SUMIF(112:112,E37,113:113)-SUMIF(112:112,C37,113:113)+100</f>
        <v>100</v>
      </c>
      <c r="G37" s="1724"/>
      <c r="H37" s="1681">
        <f>SUMIF(112:112,G37,113:113)-SUMIF(112:112,C37,113:113)+100</f>
        <v>100</v>
      </c>
      <c r="I37" s="1724"/>
      <c r="J37" s="1681">
        <f>SUMIF(112:112,I37,113:113)-SUMIF(112:112,C37,113:113)+100</f>
        <v>100</v>
      </c>
      <c r="K37" s="1958">
        <v>1</v>
      </c>
      <c r="L37" s="2962"/>
      <c r="M37" s="2935"/>
      <c r="N37" s="2935"/>
      <c r="O37" s="2935"/>
      <c r="P37" s="3585"/>
      <c r="Q37" s="2031" t="str">
        <f t="shared" si="11"/>
        <v>市政基础设施</v>
      </c>
      <c r="R37" s="1651" t="s">
        <v>25</v>
      </c>
      <c r="S37" s="1652">
        <f t="shared" si="12"/>
        <v>100</v>
      </c>
      <c r="T37" s="1651" t="s">
        <v>25</v>
      </c>
      <c r="U37" s="1652">
        <f t="shared" si="13"/>
        <v>100</v>
      </c>
      <c r="V37" s="1651" t="s">
        <v>25</v>
      </c>
      <c r="W37" s="1652">
        <f t="shared" si="14"/>
        <v>100</v>
      </c>
      <c r="X37" s="1653"/>
      <c r="Y37" s="3587"/>
      <c r="Z37" s="1663" t="str">
        <f t="shared" si="15"/>
        <v>市政基础设施</v>
      </c>
      <c r="AA37" s="1654">
        <f t="shared" si="3"/>
        <v>1</v>
      </c>
      <c r="AB37" s="1654">
        <f t="shared" si="4"/>
        <v>1</v>
      </c>
      <c r="AC37" s="1654">
        <f t="shared" si="5"/>
        <v>1</v>
      </c>
    </row>
    <row r="38" spans="1:29" ht="15">
      <c r="A38" s="1740"/>
      <c r="B38" s="1665" t="s">
        <v>2310</v>
      </c>
      <c r="C38" s="1724" t="s">
        <v>3017</v>
      </c>
      <c r="D38" s="1681">
        <v>100</v>
      </c>
      <c r="E38" s="1724" t="s">
        <v>3017</v>
      </c>
      <c r="F38" s="1723">
        <f>SUMIF(114:114,E38,115:115)-SUMIF(114:114,C38,115:115)+100</f>
        <v>100</v>
      </c>
      <c r="G38" s="1724" t="s">
        <v>3017</v>
      </c>
      <c r="H38" s="1681">
        <f>SUMIF(114:114,G38,115:115)-SUMIF(114:114,C38,115:115)+100</f>
        <v>100</v>
      </c>
      <c r="I38" s="1724" t="s">
        <v>3017</v>
      </c>
      <c r="J38" s="1681">
        <f>SUMIF(114:114,I38,115:115)-SUMIF(114:114,C38,115:115)+100</f>
        <v>100</v>
      </c>
      <c r="K38" s="1958">
        <v>1</v>
      </c>
      <c r="L38" s="2967"/>
      <c r="M38" s="2963"/>
      <c r="N38" s="2963"/>
      <c r="O38" s="2963"/>
      <c r="P38" s="3585" t="s">
        <v>2220</v>
      </c>
      <c r="Q38" s="2037" t="str">
        <f t="shared" si="11"/>
        <v>业态</v>
      </c>
      <c r="R38" s="1695" t="s">
        <v>25</v>
      </c>
      <c r="S38" s="1696">
        <f t="shared" si="12"/>
        <v>100</v>
      </c>
      <c r="T38" s="1695" t="s">
        <v>25</v>
      </c>
      <c r="U38" s="1696">
        <f t="shared" si="13"/>
        <v>100</v>
      </c>
      <c r="V38" s="1695" t="s">
        <v>25</v>
      </c>
      <c r="W38" s="1696">
        <f t="shared" si="14"/>
        <v>100</v>
      </c>
      <c r="X38" s="2040"/>
      <c r="Y38" s="3587" t="s">
        <v>2220</v>
      </c>
      <c r="Z38" s="2044" t="str">
        <f t="shared" si="15"/>
        <v>业态</v>
      </c>
      <c r="AA38" s="2035">
        <f t="shared" si="3"/>
        <v>1</v>
      </c>
      <c r="AB38" s="2035">
        <f t="shared" si="4"/>
        <v>1</v>
      </c>
      <c r="AC38" s="2035">
        <f t="shared" si="5"/>
        <v>1</v>
      </c>
    </row>
    <row r="39" spans="1:29" ht="15">
      <c r="A39" s="1740"/>
      <c r="B39" s="1665" t="s">
        <v>2311</v>
      </c>
      <c r="C39" s="1724" t="s">
        <v>3023</v>
      </c>
      <c r="D39" s="1681">
        <v>100</v>
      </c>
      <c r="E39" s="1724" t="s">
        <v>3018</v>
      </c>
      <c r="F39" s="1723">
        <f>SUMIF(116:116,E39,117:117)-SUMIF(116:116,C39,117:117)+100</f>
        <v>97</v>
      </c>
      <c r="G39" s="1724" t="s">
        <v>3023</v>
      </c>
      <c r="H39" s="1681">
        <f>SUMIF(116:116,G39,117:117)-SUMIF(116:116,C39,117:117)+100</f>
        <v>100</v>
      </c>
      <c r="I39" s="3319" t="s">
        <v>3026</v>
      </c>
      <c r="J39" s="1681">
        <f>SUMIF(116:116,I39,117:117)-SUMIF(116:116,C39,117:117)+100</f>
        <v>100</v>
      </c>
      <c r="K39" s="1958">
        <v>3</v>
      </c>
      <c r="L39" s="2967"/>
      <c r="M39" s="2963"/>
      <c r="N39" s="2963"/>
      <c r="O39" s="2963"/>
      <c r="P39" s="3585"/>
      <c r="Q39" s="2037" t="str">
        <f t="shared" si="11"/>
        <v>层高</v>
      </c>
      <c r="R39" s="1695" t="s">
        <v>25</v>
      </c>
      <c r="S39" s="1696">
        <f t="shared" si="12"/>
        <v>97</v>
      </c>
      <c r="T39" s="1695" t="s">
        <v>25</v>
      </c>
      <c r="U39" s="1696">
        <f t="shared" si="13"/>
        <v>100</v>
      </c>
      <c r="V39" s="1695" t="s">
        <v>25</v>
      </c>
      <c r="W39" s="1696">
        <f t="shared" si="14"/>
        <v>100</v>
      </c>
      <c r="X39" s="2040"/>
      <c r="Y39" s="3587"/>
      <c r="Z39" s="2044" t="str">
        <f t="shared" si="15"/>
        <v>层高</v>
      </c>
      <c r="AA39" s="2035">
        <f t="shared" si="3"/>
        <v>1.0309278350515463</v>
      </c>
      <c r="AB39" s="2035">
        <f t="shared" si="4"/>
        <v>1</v>
      </c>
      <c r="AC39" s="2035">
        <f t="shared" si="5"/>
        <v>1</v>
      </c>
    </row>
    <row r="40" spans="1:29" ht="15">
      <c r="A40" s="1740"/>
      <c r="B40" s="1665" t="s">
        <v>2312</v>
      </c>
      <c r="C40" s="2443"/>
      <c r="D40" s="1681">
        <v>100</v>
      </c>
      <c r="E40" s="2444"/>
      <c r="F40" s="1723">
        <f>SUMIF(118:118,E40,119:119)-SUMIF(118:118,C40,119:119)+100</f>
        <v>100</v>
      </c>
      <c r="G40" s="2444"/>
      <c r="H40" s="1681">
        <f>SUMIF(118:118,G40,119:119)-SUMIF(118:118,C40,119:119)+100</f>
        <v>100</v>
      </c>
      <c r="I40" s="2444"/>
      <c r="J40" s="1681">
        <f>SUMIF(118:118,I40,119:119)-SUMIF(118:118,C40,119:119)+100</f>
        <v>100</v>
      </c>
      <c r="K40" s="1955"/>
      <c r="L40" s="2967"/>
      <c r="M40" s="2963"/>
      <c r="N40" s="2963"/>
      <c r="O40" s="2963"/>
      <c r="P40" s="3585"/>
      <c r="Q40" s="2037" t="str">
        <f t="shared" si="11"/>
        <v>单套建筑面积</v>
      </c>
      <c r="R40" s="1695" t="s">
        <v>25</v>
      </c>
      <c r="S40" s="1696">
        <f t="shared" si="12"/>
        <v>100</v>
      </c>
      <c r="T40" s="1695" t="s">
        <v>25</v>
      </c>
      <c r="U40" s="1696">
        <f t="shared" si="13"/>
        <v>100</v>
      </c>
      <c r="V40" s="1695" t="s">
        <v>25</v>
      </c>
      <c r="W40" s="1696">
        <f t="shared" si="14"/>
        <v>100</v>
      </c>
      <c r="X40" s="2040"/>
      <c r="Y40" s="3587"/>
      <c r="Z40" s="2044" t="str">
        <f t="shared" si="15"/>
        <v>单套建筑面积</v>
      </c>
      <c r="AA40" s="2035">
        <f t="shared" si="3"/>
        <v>1</v>
      </c>
      <c r="AB40" s="2035">
        <f t="shared" si="4"/>
        <v>1</v>
      </c>
      <c r="AC40" s="2035">
        <f t="shared" si="5"/>
        <v>1</v>
      </c>
    </row>
    <row r="41" spans="1:29" s="1739" customFormat="1" ht="15">
      <c r="A41" s="1732"/>
      <c r="B41" s="2036" t="s">
        <v>2313</v>
      </c>
      <c r="C41" s="1957"/>
      <c r="D41" s="1681">
        <v>100</v>
      </c>
      <c r="E41" s="1957"/>
      <c r="F41" s="1723">
        <f>SUMIF(120:120,E41,121:121)-SUMIF(120:120,C41,121:121)+100</f>
        <v>100</v>
      </c>
      <c r="G41" s="1957"/>
      <c r="H41" s="1681">
        <f>SUMIF(120:120,G41,121:121)-SUMIF(120:120,C41,121:121)+100</f>
        <v>100</v>
      </c>
      <c r="I41" s="1957"/>
      <c r="J41" s="1681">
        <f>SUMIF(120:120,I41,121:121)-SUMIF(120:120,C41,121:121)+100</f>
        <v>100</v>
      </c>
      <c r="K41" s="1958">
        <v>2</v>
      </c>
      <c r="L41" s="2966"/>
      <c r="M41" s="2025"/>
      <c r="N41" s="2025"/>
      <c r="O41" s="2025"/>
      <c r="P41" s="3585"/>
      <c r="Q41" s="1734" t="str">
        <f t="shared" si="11"/>
        <v>进深比</v>
      </c>
      <c r="R41" s="1735" t="s">
        <v>25</v>
      </c>
      <c r="S41" s="1736">
        <f t="shared" si="12"/>
        <v>100</v>
      </c>
      <c r="T41" s="1735" t="s">
        <v>25</v>
      </c>
      <c r="U41" s="1736">
        <f t="shared" si="13"/>
        <v>100</v>
      </c>
      <c r="V41" s="1735" t="s">
        <v>25</v>
      </c>
      <c r="W41" s="1736">
        <f t="shared" si="14"/>
        <v>100</v>
      </c>
      <c r="X41" s="1737"/>
      <c r="Y41" s="3587"/>
      <c r="Z41" s="1738" t="str">
        <f t="shared" si="15"/>
        <v>进深比</v>
      </c>
      <c r="AA41" s="2035">
        <f t="shared" si="3"/>
        <v>1</v>
      </c>
      <c r="AB41" s="2035">
        <f t="shared" si="4"/>
        <v>1</v>
      </c>
      <c r="AC41" s="2035">
        <f t="shared" si="5"/>
        <v>1</v>
      </c>
    </row>
    <row r="42" spans="1:29" ht="15">
      <c r="A42" s="1740"/>
      <c r="B42" s="1665" t="s">
        <v>2314</v>
      </c>
      <c r="C42" s="1724"/>
      <c r="D42" s="1681">
        <v>100</v>
      </c>
      <c r="E42" s="1724"/>
      <c r="F42" s="1723">
        <f>SUMIF(122:122,E42,123:123)-SUMIF(122:122,C42,123:123)+100</f>
        <v>100</v>
      </c>
      <c r="G42" s="1724"/>
      <c r="H42" s="1681">
        <f>SUMIF(122:122,G42,123:123)-SUMIF(122:122,C42,123:123)+100</f>
        <v>100</v>
      </c>
      <c r="I42" s="1724"/>
      <c r="J42" s="1681">
        <f>SUMIF(122:122,I42,123:123)-SUMIF(122:122,C42,123:123)+100</f>
        <v>100</v>
      </c>
      <c r="K42" s="1958">
        <v>2</v>
      </c>
      <c r="L42" s="2967"/>
      <c r="M42" s="2963"/>
      <c r="N42" s="2963"/>
      <c r="O42" s="2963"/>
      <c r="P42" s="3585"/>
      <c r="Q42" s="2037" t="str">
        <f t="shared" si="11"/>
        <v>内部装修</v>
      </c>
      <c r="R42" s="1695" t="s">
        <v>25</v>
      </c>
      <c r="S42" s="1696">
        <f t="shared" si="12"/>
        <v>100</v>
      </c>
      <c r="T42" s="1695" t="s">
        <v>25</v>
      </c>
      <c r="U42" s="1696">
        <f t="shared" si="13"/>
        <v>100</v>
      </c>
      <c r="V42" s="1695" t="s">
        <v>25</v>
      </c>
      <c r="W42" s="1696">
        <f t="shared" si="14"/>
        <v>100</v>
      </c>
      <c r="X42" s="2040"/>
      <c r="Y42" s="3587"/>
      <c r="Z42" s="2044" t="str">
        <f t="shared" si="15"/>
        <v>内部装修</v>
      </c>
      <c r="AA42" s="2035">
        <f t="shared" si="3"/>
        <v>1</v>
      </c>
      <c r="AB42" s="2035">
        <f t="shared" si="4"/>
        <v>1</v>
      </c>
      <c r="AC42" s="2035">
        <f t="shared" si="5"/>
        <v>1</v>
      </c>
    </row>
    <row r="43" spans="1:29" ht="15">
      <c r="A43" s="1740"/>
      <c r="B43" s="1665" t="s">
        <v>2231</v>
      </c>
      <c r="C43" s="1724"/>
      <c r="D43" s="1681">
        <v>100</v>
      </c>
      <c r="E43" s="1724"/>
      <c r="F43" s="1723">
        <f>SUMIF(124:124,E43,125:125)-SUMIF(124:124,C43,125:125)+100</f>
        <v>100</v>
      </c>
      <c r="G43" s="1724"/>
      <c r="H43" s="1681">
        <f>SUMIF(124:124,G43,125:125)-SUMIF(124:124,C43,125:125)+100</f>
        <v>100</v>
      </c>
      <c r="I43" s="1724"/>
      <c r="J43" s="1681">
        <f>SUMIF(124:124,I43,125:125)-SUMIF(124:124,C43,125:125)+100</f>
        <v>100</v>
      </c>
      <c r="K43" s="1958">
        <v>2</v>
      </c>
      <c r="L43" s="2967"/>
      <c r="M43" s="2963"/>
      <c r="N43" s="2963"/>
      <c r="O43" s="2963"/>
      <c r="P43" s="3585"/>
      <c r="Q43" s="2037" t="str">
        <f t="shared" si="11"/>
        <v>内部装修维护情况</v>
      </c>
      <c r="R43" s="1695" t="s">
        <v>25</v>
      </c>
      <c r="S43" s="1696">
        <f t="shared" si="12"/>
        <v>100</v>
      </c>
      <c r="T43" s="1695" t="s">
        <v>25</v>
      </c>
      <c r="U43" s="1696">
        <f t="shared" si="13"/>
        <v>100</v>
      </c>
      <c r="V43" s="1695" t="s">
        <v>25</v>
      </c>
      <c r="W43" s="1696">
        <f t="shared" si="14"/>
        <v>100</v>
      </c>
      <c r="X43" s="2040"/>
      <c r="Y43" s="3587"/>
      <c r="Z43" s="2044" t="str">
        <f t="shared" si="15"/>
        <v>内部装修维护情况</v>
      </c>
      <c r="AA43" s="2035">
        <f t="shared" si="3"/>
        <v>1</v>
      </c>
      <c r="AB43" s="2035">
        <f t="shared" si="4"/>
        <v>1</v>
      </c>
      <c r="AC43" s="2035">
        <f t="shared" si="5"/>
        <v>1</v>
      </c>
    </row>
    <row r="44" spans="1:29" s="1655" customFormat="1" ht="15">
      <c r="A44" s="1743"/>
      <c r="B44" s="1729">
        <v>111</v>
      </c>
      <c r="C44" s="1733" t="s">
        <v>3062</v>
      </c>
      <c r="D44" s="1667">
        <v>100</v>
      </c>
      <c r="E44" s="1680"/>
      <c r="F44" s="1669">
        <f>SUMIF(126:126,E44,127:127)-SUMIF(126:126,C44,127:127)+100</f>
        <v>100</v>
      </c>
      <c r="G44" s="1680" t="s">
        <v>3024</v>
      </c>
      <c r="H44" s="1667">
        <f>SUMIF(126:126,G44,127:127)-SUMIF(126:126,C44,127:127)+100</f>
        <v>100</v>
      </c>
      <c r="I44" s="1680" t="s">
        <v>3024</v>
      </c>
      <c r="J44" s="1667">
        <f>SUMIF(126:126,I44,127:127)-SUMIF(126:126,C44,127:127)+100</f>
        <v>100</v>
      </c>
      <c r="K44" s="1955"/>
      <c r="L44" s="2962"/>
      <c r="M44" s="2935"/>
      <c r="N44" s="2935"/>
      <c r="O44" s="2935"/>
      <c r="P44" s="3585"/>
      <c r="Q44" s="2031">
        <f t="shared" si="11"/>
        <v>111</v>
      </c>
      <c r="R44" s="1651" t="s">
        <v>25</v>
      </c>
      <c r="S44" s="1652">
        <f t="shared" si="12"/>
        <v>100</v>
      </c>
      <c r="T44" s="1651" t="s">
        <v>25</v>
      </c>
      <c r="U44" s="1652">
        <f t="shared" si="13"/>
        <v>100</v>
      </c>
      <c r="V44" s="1651" t="s">
        <v>25</v>
      </c>
      <c r="W44" s="1652">
        <f t="shared" si="14"/>
        <v>100</v>
      </c>
      <c r="X44" s="1653"/>
      <c r="Y44" s="3587"/>
      <c r="Z44" s="1663">
        <f t="shared" si="15"/>
        <v>111</v>
      </c>
      <c r="AA44" s="1654">
        <f t="shared" si="3"/>
        <v>1</v>
      </c>
      <c r="AB44" s="1654">
        <f t="shared" si="4"/>
        <v>1</v>
      </c>
      <c r="AC44" s="1654">
        <f t="shared" si="5"/>
        <v>1</v>
      </c>
    </row>
    <row r="45" spans="1:29" ht="15">
      <c r="A45" s="1740"/>
      <c r="B45" s="1729">
        <v>111</v>
      </c>
      <c r="C45" s="1680" t="s">
        <v>3049</v>
      </c>
      <c r="D45" s="1681">
        <v>100</v>
      </c>
      <c r="E45" s="1680" t="s">
        <v>3035</v>
      </c>
      <c r="F45" s="1723">
        <f>SUMIF(128:128,E45,129:129)-SUMIF(128:128,C45,129:129)+100</f>
        <v>100</v>
      </c>
      <c r="G45" s="1680">
        <v>94</v>
      </c>
      <c r="H45" s="1681">
        <f>SUMIF(128:128,G45,129:129)-SUMIF(128:128,C45,129:129)+100</f>
        <v>100</v>
      </c>
      <c r="I45" s="1680">
        <v>2000</v>
      </c>
      <c r="J45" s="1681">
        <f>SUMIF(128:128,I45,129:129)-SUMIF(128:128,C45,129:129)+100</f>
        <v>100</v>
      </c>
      <c r="K45" s="1955"/>
      <c r="L45" s="2967"/>
      <c r="M45" s="2963"/>
      <c r="N45" s="2963"/>
      <c r="O45" s="2963"/>
      <c r="P45" s="3585"/>
      <c r="Q45" s="2037">
        <f t="shared" si="11"/>
        <v>111</v>
      </c>
      <c r="R45" s="1695" t="s">
        <v>25</v>
      </c>
      <c r="S45" s="1696">
        <f t="shared" si="12"/>
        <v>100</v>
      </c>
      <c r="T45" s="1695" t="s">
        <v>25</v>
      </c>
      <c r="U45" s="1696">
        <f t="shared" si="13"/>
        <v>100</v>
      </c>
      <c r="V45" s="1695" t="s">
        <v>25</v>
      </c>
      <c r="W45" s="1696">
        <f t="shared" si="14"/>
        <v>100</v>
      </c>
      <c r="X45" s="2040"/>
      <c r="Y45" s="3587"/>
      <c r="Z45" s="2044">
        <f t="shared" si="15"/>
        <v>111</v>
      </c>
      <c r="AA45" s="2035">
        <f t="shared" si="3"/>
        <v>1</v>
      </c>
      <c r="AB45" s="2035">
        <f t="shared" si="4"/>
        <v>1</v>
      </c>
      <c r="AC45" s="2035">
        <f t="shared" si="5"/>
        <v>1</v>
      </c>
    </row>
    <row r="46" spans="1:29" ht="15.75" thickBot="1">
      <c r="A46" s="1746"/>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5"/>
      <c r="L46" s="2967"/>
      <c r="M46" s="2963"/>
      <c r="N46" s="2963"/>
      <c r="O46" s="2963"/>
      <c r="P46" s="3586"/>
      <c r="Q46" s="2037">
        <f t="shared" si="11"/>
        <v>111</v>
      </c>
      <c r="R46" s="1695" t="s">
        <v>25</v>
      </c>
      <c r="S46" s="1696">
        <f t="shared" si="12"/>
        <v>100</v>
      </c>
      <c r="T46" s="1695" t="s">
        <v>25</v>
      </c>
      <c r="U46" s="1696">
        <f t="shared" si="13"/>
        <v>100</v>
      </c>
      <c r="V46" s="1695" t="s">
        <v>25</v>
      </c>
      <c r="W46" s="1696">
        <f t="shared" si="14"/>
        <v>100</v>
      </c>
      <c r="X46" s="2040"/>
      <c r="Y46" s="3588"/>
      <c r="Z46" s="2044">
        <f t="shared" si="15"/>
        <v>111</v>
      </c>
      <c r="AA46" s="2035">
        <f t="shared" si="3"/>
        <v>1</v>
      </c>
      <c r="AB46" s="2035">
        <f t="shared" si="4"/>
        <v>1</v>
      </c>
      <c r="AC46" s="2035">
        <f t="shared" si="5"/>
        <v>1</v>
      </c>
    </row>
    <row r="47" spans="1:29" ht="15">
      <c r="A47" s="1747" t="s">
        <v>2232</v>
      </c>
      <c r="B47" s="1748"/>
      <c r="C47" s="1749" t="s">
        <v>1</v>
      </c>
      <c r="D47" s="1750"/>
      <c r="E47" s="1751">
        <v>65000</v>
      </c>
      <c r="F47" s="1752"/>
      <c r="G47" s="1753">
        <v>51700</v>
      </c>
      <c r="H47" s="1754"/>
      <c r="I47" s="1751">
        <v>58200</v>
      </c>
      <c r="J47" s="1754"/>
      <c r="K47" s="1979"/>
      <c r="L47" s="2968"/>
      <c r="N47" s="2963"/>
      <c r="P47" s="3578" t="str">
        <f>A47</f>
        <v>成交单价（元/平方米）</v>
      </c>
      <c r="Q47" s="3578"/>
      <c r="R47" s="3579">
        <f>E47</f>
        <v>65000</v>
      </c>
      <c r="S47" s="3579"/>
      <c r="T47" s="3579">
        <f>G47</f>
        <v>51700</v>
      </c>
      <c r="U47" s="3579"/>
      <c r="V47" s="3579">
        <f>I47</f>
        <v>58200</v>
      </c>
      <c r="W47" s="3579"/>
      <c r="X47" s="1757"/>
      <c r="Y47" s="2039"/>
      <c r="Z47" s="1757"/>
      <c r="AA47" s="1757"/>
      <c r="AB47" s="1757"/>
      <c r="AC47" s="1757"/>
    </row>
    <row r="48" spans="1:29" ht="15.75" thickBot="1">
      <c r="A48" s="1759" t="s">
        <v>2315</v>
      </c>
      <c r="B48" s="1760"/>
      <c r="C48" s="1761">
        <f>R49</f>
        <v>49467</v>
      </c>
      <c r="D48" s="1762" t="s">
        <v>2685</v>
      </c>
      <c r="E48" s="1763">
        <f>R48</f>
        <v>50566</v>
      </c>
      <c r="F48" s="1764"/>
      <c r="G48" s="1761">
        <f>T48</f>
        <v>42695</v>
      </c>
      <c r="H48" s="1764"/>
      <c r="I48" s="1763">
        <f>V48</f>
        <v>55140</v>
      </c>
      <c r="J48" s="1764"/>
      <c r="K48" s="2476">
        <f>F48+H48+J48</f>
        <v>0</v>
      </c>
      <c r="L48" s="2968"/>
      <c r="N48" s="2963"/>
      <c r="P48" s="3578" t="str">
        <f>A48</f>
        <v>比较价值（元/平方米）</v>
      </c>
      <c r="Q48" s="3578"/>
      <c r="R48" s="3579">
        <f>IF(E1="售价",ROUND(PRODUCT(R47,AA7:AA46),0),ROUND(PRODUCT(R47,AA7:AA46),1))</f>
        <v>50566</v>
      </c>
      <c r="S48" s="3579"/>
      <c r="T48" s="3579">
        <f>IF(E1="售价",ROUND(PRODUCT(T47,AB7:AB46),0),ROUND(PRODUCT(T47,AB7:AB46),1))</f>
        <v>42695</v>
      </c>
      <c r="U48" s="3579"/>
      <c r="V48" s="3579">
        <f>IF(E1="售价",ROUND(PRODUCT(V47,AC7:AC46),0),ROUND(PRODUCT(V47,AC7:AC46),1))</f>
        <v>55140</v>
      </c>
      <c r="W48" s="3579"/>
      <c r="X48" s="1757"/>
      <c r="Y48" s="1757"/>
      <c r="Z48" s="1757"/>
      <c r="AA48" s="1757"/>
      <c r="AB48" s="1757"/>
      <c r="AC48" s="1757"/>
    </row>
    <row r="49" spans="1:29" ht="15.75" thickBot="1">
      <c r="A49" s="1765" t="s">
        <v>2316</v>
      </c>
      <c r="B49" s="1766"/>
      <c r="C49" s="1768">
        <f>R49</f>
        <v>49467</v>
      </c>
      <c r="D49" s="1768"/>
      <c r="E49" s="1768"/>
      <c r="F49" s="1768"/>
      <c r="G49" s="1768"/>
      <c r="H49" s="1768"/>
      <c r="I49" s="1768"/>
      <c r="J49" s="1768"/>
      <c r="K49" s="1984"/>
      <c r="L49" s="2968"/>
      <c r="N49" s="2963"/>
      <c r="P49" s="3575" t="str">
        <f>A49</f>
        <v>估价对象XX用房的比较价值（楼面单价，元/平方米）</v>
      </c>
      <c r="Q49" s="3576"/>
      <c r="R49" s="3577">
        <f>IF(E1="售价",ROUND(IF(D48="简单平均",AVERAGE(R48:V48),R48*F48+T48*H48+V48*J48),0),ROUND(IF(D48="简单平均",AVERAGE(R48:V48),R48*F48+T48*H48+V48*J48),1))</f>
        <v>49467</v>
      </c>
      <c r="S49" s="3577"/>
      <c r="T49" s="3577"/>
      <c r="U49" s="3577"/>
      <c r="V49" s="3577"/>
      <c r="W49" s="3577"/>
      <c r="X49" s="1757"/>
      <c r="Y49" s="1757"/>
      <c r="Z49" s="1757"/>
      <c r="AA49" s="1757"/>
      <c r="AB49" s="1757"/>
      <c r="AC49" s="1757"/>
    </row>
    <row r="50" spans="1:29">
      <c r="G50" s="2972"/>
      <c r="P50" s="2445"/>
      <c r="Q50" s="1756"/>
      <c r="R50" s="1756"/>
      <c r="S50" s="1756"/>
      <c r="T50" s="1756"/>
      <c r="U50" s="1756"/>
      <c r="V50" s="1756"/>
      <c r="W50" s="1756"/>
      <c r="X50" s="1756"/>
      <c r="Y50" s="1756"/>
      <c r="Z50" s="1756"/>
      <c r="AA50" s="1756"/>
      <c r="AB50" s="1756"/>
      <c r="AC50" s="1756"/>
    </row>
    <row r="51" spans="1:29">
      <c r="P51" s="2445"/>
      <c r="Q51" s="1756"/>
      <c r="R51" s="1756"/>
      <c r="S51" s="1756"/>
      <c r="T51" s="1756"/>
      <c r="U51" s="1756"/>
      <c r="V51" s="1756"/>
      <c r="W51" s="1756"/>
      <c r="X51" s="1756"/>
      <c r="Y51" s="1756"/>
      <c r="Z51" s="1756"/>
      <c r="AA51" s="1756"/>
      <c r="AB51" s="1756"/>
      <c r="AC51" s="1756"/>
    </row>
    <row r="52" spans="1:29" ht="13.5" customHeight="1">
      <c r="C52" s="383" t="s">
        <v>2317</v>
      </c>
      <c r="D52" s="1773"/>
      <c r="E52" s="1774">
        <f>IF(E47&lt;E48,E48/E47-1,E47/E48-1)</f>
        <v>0.28544872048411984</v>
      </c>
      <c r="F52" s="1775" t="str">
        <f>IF(OR(E52&gt;=0.3,E52&lt;=-0.3),"超过30%","")</f>
        <v/>
      </c>
      <c r="G52" s="1774">
        <f>IF(G47&lt;G48,G48/G47-1,G47/G48-1)</f>
        <v>0.21091462700550423</v>
      </c>
      <c r="H52" s="1775" t="str">
        <f>IF(OR(G52&gt;=0.3,G52&lt;=-0.3),"超过30%","")</f>
        <v/>
      </c>
      <c r="I52" s="1774">
        <f>IF(I47&lt;I48,I48/I47-1,I47/I48-1)</f>
        <v>5.5495103373231824E-2</v>
      </c>
      <c r="J52" s="1775" t="str">
        <f>IF(OR(I52&gt;=0.3,I52&lt;=-0.3),"超过30%","")</f>
        <v/>
      </c>
      <c r="P52" s="2445"/>
      <c r="Q52" s="1756"/>
      <c r="R52" s="1756"/>
      <c r="S52" s="1756"/>
      <c r="T52" s="1756"/>
      <c r="U52" s="1756"/>
      <c r="V52" s="1756"/>
      <c r="W52" s="1756"/>
      <c r="X52" s="1756"/>
      <c r="Y52" s="1756"/>
      <c r="Z52" s="1756"/>
      <c r="AA52" s="1756"/>
      <c r="AB52" s="1756"/>
      <c r="AC52" s="1756"/>
    </row>
    <row r="53" spans="1:29" ht="13.5" customHeight="1">
      <c r="C53" s="383" t="s">
        <v>2318</v>
      </c>
      <c r="D53" s="1776"/>
      <c r="E53" s="1774">
        <f>IF(E48&lt;G48,G48/E48-1,E48/G48-1)</f>
        <v>0.18435413982901983</v>
      </c>
      <c r="F53" s="1775" t="str">
        <f>IF(OR(E53&gt;=0.2,E53&lt;=-0.2),"超过20%","")</f>
        <v/>
      </c>
      <c r="G53" s="1774">
        <f>IF(G48&lt;I48,I48/G48-1,G48/I48-1)</f>
        <v>0.29148612249677952</v>
      </c>
      <c r="H53" s="1775" t="str">
        <f>IF(OR(G53&gt;=0.2,G53&lt;=-0.2),"超过20%","")</f>
        <v>超过20%</v>
      </c>
      <c r="I53" s="1774">
        <f>IF(I48&lt;E48,E48/I48-1,I48/E48-1)</f>
        <v>9.0456037653759536E-2</v>
      </c>
      <c r="J53" s="1775" t="str">
        <f>IF(OR(I53&gt;=0.2,I53&lt;=-0.2),"超过20%","")</f>
        <v/>
      </c>
      <c r="P53" s="2445"/>
      <c r="Q53" s="1756"/>
      <c r="R53" s="1756"/>
      <c r="S53" s="1756"/>
      <c r="T53" s="1756"/>
      <c r="U53" s="1756"/>
      <c r="V53" s="1756"/>
      <c r="W53" s="1756"/>
      <c r="X53" s="1756"/>
      <c r="Y53" s="1756"/>
      <c r="Z53" s="1756"/>
      <c r="AA53" s="1756"/>
      <c r="AB53" s="1756"/>
      <c r="AC53" s="1756"/>
    </row>
    <row r="54" spans="1:29" s="1779" customFormat="1" ht="13.5" customHeight="1">
      <c r="C54" s="383" t="s">
        <v>2319</v>
      </c>
      <c r="D54" s="1776"/>
      <c r="E54" s="1774">
        <f>IF(E47&lt;G47,G47/E47-1,E47/G47-1)</f>
        <v>0.25725338491295946</v>
      </c>
      <c r="F54" s="1775" t="str">
        <f>IF(OR(E54&gt;=0.3,E54&lt;=-0.3),"超过30%","")</f>
        <v/>
      </c>
      <c r="G54" s="1774">
        <f>IF(G47&lt;I47,I47/G47-1,G47/I47-1)</f>
        <v>0.12572533849129597</v>
      </c>
      <c r="H54" s="1775" t="str">
        <f>IF(OR(G54&gt;=0.3,G54&lt;=-0.3),"超过30%","")</f>
        <v/>
      </c>
      <c r="I54" s="1774">
        <f>IF(I47&lt;E47,E47/I47-1,I47/E47-1)</f>
        <v>0.11683848797250862</v>
      </c>
      <c r="J54" s="1775" t="str">
        <f>IF(OR(I54&gt;=0.3,I54&lt;=-0.3),"超过30%","")</f>
        <v/>
      </c>
      <c r="K54" s="2975"/>
      <c r="L54" s="2969"/>
      <c r="P54" s="2446"/>
      <c r="Q54" s="1777"/>
      <c r="R54" s="1777"/>
      <c r="S54" s="1777"/>
      <c r="T54" s="1777"/>
      <c r="U54" s="1777"/>
      <c r="V54" s="1777"/>
      <c r="W54" s="1777"/>
      <c r="X54" s="1777"/>
      <c r="Y54" s="1777"/>
      <c r="Z54" s="1777"/>
      <c r="AA54" s="1777"/>
      <c r="AB54" s="1777"/>
      <c r="AC54" s="1777"/>
    </row>
    <row r="55" spans="1:29" s="1779" customFormat="1">
      <c r="B55" s="2973"/>
      <c r="C55" s="2974"/>
      <c r="K55" s="2975"/>
      <c r="L55" s="2969"/>
      <c r="P55" s="2446"/>
      <c r="Q55" s="1777"/>
      <c r="R55" s="1777"/>
      <c r="S55" s="1777"/>
      <c r="T55" s="1777"/>
      <c r="U55" s="1777"/>
      <c r="V55" s="1777"/>
      <c r="W55" s="1777"/>
      <c r="X55" s="1777"/>
      <c r="Y55" s="1777"/>
      <c r="Z55" s="1777"/>
      <c r="AA55" s="1777"/>
      <c r="AB55" s="1777"/>
      <c r="AC55" s="1777"/>
    </row>
    <row r="56" spans="1:29">
      <c r="B56" s="2973"/>
      <c r="C56" s="2974"/>
      <c r="P56" s="2445"/>
      <c r="Q56" s="1756"/>
      <c r="R56" s="1756"/>
      <c r="S56" s="1756"/>
      <c r="T56" s="1756"/>
      <c r="U56" s="1756"/>
      <c r="V56" s="1756"/>
      <c r="W56" s="1756"/>
      <c r="X56" s="1756"/>
      <c r="Y56" s="1756"/>
      <c r="Z56" s="1756"/>
      <c r="AA56" s="1756"/>
      <c r="AB56" s="1756"/>
      <c r="AC56" s="1756"/>
    </row>
    <row r="57" spans="1:29" ht="21.75" thickBot="1">
      <c r="A57" s="1782" t="s">
        <v>2320</v>
      </c>
      <c r="B57" s="1757"/>
      <c r="C57" s="1783"/>
      <c r="D57" s="1783"/>
      <c r="E57" s="1783"/>
      <c r="F57" s="1783"/>
      <c r="G57" s="1783"/>
      <c r="H57" s="1783"/>
      <c r="I57" s="1783"/>
      <c r="J57" s="1783"/>
      <c r="K57" s="1784"/>
      <c r="L57" s="2010"/>
      <c r="M57" s="2008"/>
      <c r="N57" s="2971"/>
      <c r="O57" s="2971"/>
      <c r="P57" s="2447"/>
      <c r="Q57" s="2448"/>
      <c r="R57" s="1756"/>
      <c r="S57" s="1756"/>
      <c r="T57" s="1756"/>
      <c r="U57" s="1756"/>
      <c r="V57" s="1756"/>
      <c r="W57" s="1756"/>
      <c r="X57" s="1756"/>
      <c r="Y57" s="1756"/>
      <c r="Z57" s="1756"/>
      <c r="AA57" s="1756"/>
      <c r="AB57" s="1756"/>
      <c r="AC57" s="1756"/>
    </row>
    <row r="58" spans="1:29" s="1793" customFormat="1" ht="15">
      <c r="A58" s="1788" t="s">
        <v>2202</v>
      </c>
      <c r="B58" s="1789"/>
      <c r="C58" s="1790" t="str">
        <f>YEAR(C7)&amp;"-"&amp;MONTH(C7)</f>
        <v>2022-2</v>
      </c>
      <c r="D58" s="1791">
        <f>EDATE(C58,-1)</f>
        <v>44562</v>
      </c>
      <c r="E58" s="1791">
        <f t="shared" ref="E58:O58" si="16">EDATE(D58,-1)</f>
        <v>44531</v>
      </c>
      <c r="F58" s="1791">
        <f t="shared" si="16"/>
        <v>44501</v>
      </c>
      <c r="G58" s="1791">
        <f t="shared" si="16"/>
        <v>44470</v>
      </c>
      <c r="H58" s="1791">
        <f t="shared" si="16"/>
        <v>44440</v>
      </c>
      <c r="I58" s="1791">
        <f t="shared" si="16"/>
        <v>44409</v>
      </c>
      <c r="J58" s="1791">
        <f t="shared" si="16"/>
        <v>44378</v>
      </c>
      <c r="K58" s="1791">
        <f t="shared" si="16"/>
        <v>44348</v>
      </c>
      <c r="L58" s="1791">
        <f t="shared" si="16"/>
        <v>44317</v>
      </c>
      <c r="M58" s="1791">
        <f t="shared" si="16"/>
        <v>44287</v>
      </c>
      <c r="N58" s="1791">
        <f t="shared" si="16"/>
        <v>44256</v>
      </c>
      <c r="O58" s="1791">
        <f t="shared" si="16"/>
        <v>44228</v>
      </c>
      <c r="P58" s="1792"/>
    </row>
    <row r="59" spans="1:29" s="1655" customFormat="1" ht="15">
      <c r="A59" s="1794"/>
      <c r="B59" s="1795"/>
      <c r="C59" s="1796">
        <v>100</v>
      </c>
      <c r="D59" s="1797"/>
      <c r="E59" s="1797"/>
      <c r="F59" s="1797"/>
      <c r="G59" s="1797"/>
      <c r="H59" s="1797"/>
      <c r="I59" s="1797"/>
      <c r="J59" s="1797"/>
      <c r="K59" s="1797"/>
      <c r="L59" s="1797"/>
      <c r="M59" s="1798"/>
      <c r="N59" s="1797"/>
      <c r="O59" s="1798"/>
      <c r="P59" s="1799"/>
    </row>
    <row r="60" spans="1:29" s="1655" customFormat="1" ht="15.75" thickBot="1">
      <c r="A60" s="1800" t="s">
        <v>2240</v>
      </c>
      <c r="B60" s="1801"/>
      <c r="C60" s="1802"/>
      <c r="D60" s="1803"/>
      <c r="E60" s="1803"/>
      <c r="F60" s="1803"/>
      <c r="G60" s="1803"/>
      <c r="H60" s="1803"/>
      <c r="I60" s="1803"/>
      <c r="J60" s="1803"/>
      <c r="K60" s="1803"/>
      <c r="L60" s="1803"/>
      <c r="M60" s="1804"/>
      <c r="N60" s="1803"/>
      <c r="O60" s="1804"/>
      <c r="P60" s="1799"/>
      <c r="Q60" s="1787"/>
    </row>
    <row r="61" spans="1:29" s="1655" customFormat="1" ht="15">
      <c r="A61" s="1805" t="s">
        <v>2204</v>
      </c>
      <c r="B61" s="1795"/>
      <c r="C61" s="1806" t="s">
        <v>2205</v>
      </c>
      <c r="D61" s="409"/>
      <c r="E61" s="409"/>
      <c r="F61" s="409"/>
      <c r="G61" s="409"/>
      <c r="H61" s="409"/>
      <c r="I61" s="409"/>
      <c r="J61" s="409"/>
      <c r="K61" s="409"/>
      <c r="L61" s="409"/>
      <c r="M61" s="1807"/>
      <c r="N61" s="2980"/>
      <c r="O61" s="2980"/>
      <c r="P61" s="1809"/>
      <c r="Q61" s="1787"/>
    </row>
    <row r="62" spans="1:29" s="1655" customFormat="1" ht="15.75" thickBot="1">
      <c r="A62" s="1805"/>
      <c r="B62" s="1795"/>
      <c r="C62" s="1810">
        <v>100</v>
      </c>
      <c r="D62" s="1797"/>
      <c r="E62" s="1797"/>
      <c r="F62" s="1797"/>
      <c r="G62" s="1797"/>
      <c r="H62" s="1797"/>
      <c r="I62" s="1797"/>
      <c r="J62" s="1797"/>
      <c r="K62" s="1797"/>
      <c r="L62" s="1797"/>
      <c r="M62" s="1811"/>
      <c r="N62" s="2980"/>
      <c r="O62" s="2980"/>
      <c r="P62" s="1799"/>
      <c r="Q62" s="1787"/>
    </row>
    <row r="63" spans="1:29">
      <c r="A63" s="1812" t="s">
        <v>2243</v>
      </c>
      <c r="B63" s="1813" t="s">
        <v>2208</v>
      </c>
      <c r="C63" s="1814" t="str">
        <f>C9</f>
        <v>商业</v>
      </c>
      <c r="D63" s="1815"/>
      <c r="E63" s="1815"/>
      <c r="F63" s="1815"/>
      <c r="G63" s="1815"/>
      <c r="H63" s="1815"/>
      <c r="I63" s="1815"/>
      <c r="J63" s="1815"/>
      <c r="K63" s="417"/>
      <c r="L63" s="417"/>
      <c r="M63" s="1816"/>
      <c r="N63" s="2981"/>
      <c r="O63" s="2981"/>
      <c r="P63" s="1818"/>
      <c r="Q63" s="1787"/>
    </row>
    <row r="64" spans="1:29" ht="15.75" thickBot="1">
      <c r="A64" s="1819"/>
      <c r="B64" s="1820"/>
      <c r="C64" s="1821">
        <v>100</v>
      </c>
      <c r="D64" s="1821"/>
      <c r="E64" s="1821"/>
      <c r="F64" s="1821"/>
      <c r="G64" s="1821"/>
      <c r="H64" s="1821"/>
      <c r="I64" s="1821"/>
      <c r="J64" s="1821"/>
      <c r="K64" s="1821"/>
      <c r="L64" s="1821"/>
      <c r="M64" s="1822"/>
      <c r="N64" s="2982"/>
      <c r="O64" s="2982"/>
      <c r="P64" s="1818"/>
      <c r="Q64" s="1787"/>
    </row>
    <row r="65" spans="1:17" ht="27.75" thickTop="1">
      <c r="A65" s="1819"/>
      <c r="B65" s="1824" t="s">
        <v>2211</v>
      </c>
      <c r="C65" s="1825" t="s">
        <v>2244</v>
      </c>
      <c r="D65" s="1825" t="s">
        <v>2245</v>
      </c>
      <c r="E65" s="1825" t="s">
        <v>2246</v>
      </c>
      <c r="F65" s="1825" t="s">
        <v>2247</v>
      </c>
      <c r="G65" s="1825" t="s">
        <v>2248</v>
      </c>
      <c r="H65" s="1825" t="s">
        <v>2249</v>
      </c>
      <c r="I65" s="1825" t="s">
        <v>2250</v>
      </c>
      <c r="J65" s="1825"/>
      <c r="K65" s="428"/>
      <c r="L65" s="428"/>
      <c r="M65" s="1826"/>
      <c r="N65" s="2981"/>
      <c r="O65" s="2981"/>
      <c r="P65" s="1818"/>
      <c r="Q65" s="1787"/>
    </row>
    <row r="66" spans="1:17" ht="15.75" thickBot="1">
      <c r="A66" s="1819"/>
      <c r="B66" s="1827"/>
      <c r="C66" s="1828" t="s">
        <v>36</v>
      </c>
      <c r="D66" s="1828" t="s">
        <v>37</v>
      </c>
      <c r="E66" s="1828" t="s">
        <v>38</v>
      </c>
      <c r="F66" s="1828">
        <v>100</v>
      </c>
      <c r="G66" s="1828">
        <f>F66-$K10</f>
        <v>98</v>
      </c>
      <c r="H66" s="1828">
        <f>G66-$K10</f>
        <v>96</v>
      </c>
      <c r="I66" s="1828">
        <f>H66-$K10</f>
        <v>94</v>
      </c>
      <c r="J66" s="1828"/>
      <c r="K66" s="1828"/>
      <c r="L66" s="1828"/>
      <c r="M66" s="1829"/>
      <c r="N66" s="2982"/>
      <c r="O66" s="2982"/>
      <c r="P66" s="1818"/>
      <c r="Q66" s="1787"/>
    </row>
    <row r="67" spans="1:17" ht="15.75" thickTop="1">
      <c r="A67" s="1819"/>
      <c r="B67" s="1830" t="s">
        <v>2212</v>
      </c>
      <c r="C67" s="1831" t="str">
        <f>C68&amp;"（含）"&amp;"-"&amp;D68</f>
        <v>0（含）-1</v>
      </c>
      <c r="D67" s="1831" t="str">
        <f t="shared" ref="D67:L67" si="17">D68&amp;"（含）"&amp;"-"&amp;E68</f>
        <v>1（含）-</v>
      </c>
      <c r="E67" s="1831" t="str">
        <f t="shared" si="17"/>
        <v>（含）-</v>
      </c>
      <c r="F67" s="1831" t="str">
        <f t="shared" si="17"/>
        <v>（含）-</v>
      </c>
      <c r="G67" s="1831" t="str">
        <f t="shared" si="17"/>
        <v>（含）-</v>
      </c>
      <c r="H67" s="1831" t="str">
        <f t="shared" si="17"/>
        <v>（含）-</v>
      </c>
      <c r="I67" s="1831" t="str">
        <f t="shared" si="17"/>
        <v>（含）-</v>
      </c>
      <c r="J67" s="1831" t="str">
        <f t="shared" si="17"/>
        <v>（含）-</v>
      </c>
      <c r="K67" s="1831" t="str">
        <f t="shared" si="17"/>
        <v>（含）-</v>
      </c>
      <c r="L67" s="1831" t="str">
        <f t="shared" si="17"/>
        <v>（含）-</v>
      </c>
      <c r="M67" s="1701" t="str">
        <f>M68&amp;"（含）"&amp;"-"&amp;P68</f>
        <v>（含）-</v>
      </c>
      <c r="N67" s="2982"/>
      <c r="O67" s="2982"/>
      <c r="P67" s="1818"/>
      <c r="Q67" s="1787"/>
    </row>
    <row r="68" spans="1:17" ht="15">
      <c r="A68" s="1819"/>
      <c r="B68" s="1832"/>
      <c r="C68" s="1833">
        <v>0</v>
      </c>
      <c r="D68" s="1833">
        <v>1</v>
      </c>
      <c r="E68" s="1833"/>
      <c r="F68" s="1833"/>
      <c r="G68" s="1833"/>
      <c r="H68" s="1833"/>
      <c r="I68" s="1833"/>
      <c r="J68" s="1833"/>
      <c r="K68" s="438"/>
      <c r="L68" s="438"/>
      <c r="M68" s="1834"/>
      <c r="N68" s="2981"/>
      <c r="O68" s="2981"/>
      <c r="P68" s="1818"/>
      <c r="Q68" s="1787"/>
    </row>
    <row r="69" spans="1:17" ht="15.75"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82"/>
      <c r="O69" s="2982"/>
      <c r="P69" s="1818"/>
      <c r="Q69" s="1787"/>
    </row>
    <row r="70" spans="1:17" s="1739" customFormat="1" ht="15.75" thickTop="1">
      <c r="A70" s="1835"/>
      <c r="B70" s="1824">
        <f>B12</f>
        <v>111</v>
      </c>
      <c r="C70" s="468"/>
      <c r="D70" s="468"/>
      <c r="E70" s="468"/>
      <c r="F70" s="468"/>
      <c r="G70" s="468"/>
      <c r="H70" s="443"/>
      <c r="I70" s="443"/>
      <c r="J70" s="443"/>
      <c r="K70" s="443"/>
      <c r="L70" s="443"/>
      <c r="M70" s="1836"/>
      <c r="N70" s="2983"/>
      <c r="O70" s="2983"/>
      <c r="P70" s="1838"/>
      <c r="Q70" s="1839"/>
    </row>
    <row r="71" spans="1:17" s="1739" customFormat="1" ht="15.75" thickBot="1">
      <c r="A71" s="1835"/>
      <c r="B71" s="1827"/>
      <c r="C71" s="1840"/>
      <c r="D71" s="1821"/>
      <c r="E71" s="1821"/>
      <c r="F71" s="1821"/>
      <c r="G71" s="1821"/>
      <c r="H71" s="1821"/>
      <c r="I71" s="1821"/>
      <c r="J71" s="1821"/>
      <c r="K71" s="1821"/>
      <c r="L71" s="1821"/>
      <c r="M71" s="1822"/>
      <c r="N71" s="2982"/>
      <c r="O71" s="2982"/>
      <c r="P71" s="1838"/>
      <c r="Q71" s="1839"/>
    </row>
    <row r="72" spans="1:17" s="1739" customFormat="1" ht="15.75" thickTop="1">
      <c r="A72" s="1835"/>
      <c r="B72" s="1824">
        <f>B13</f>
        <v>111</v>
      </c>
      <c r="C72" s="468"/>
      <c r="D72" s="468"/>
      <c r="E72" s="468"/>
      <c r="F72" s="468"/>
      <c r="G72" s="468"/>
      <c r="H72" s="443"/>
      <c r="I72" s="443"/>
      <c r="J72" s="443"/>
      <c r="K72" s="443"/>
      <c r="L72" s="443"/>
      <c r="M72" s="1836"/>
      <c r="N72" s="2983"/>
      <c r="O72" s="2983"/>
      <c r="P72" s="1841"/>
      <c r="Q72" s="1842"/>
    </row>
    <row r="73" spans="1:17" s="1739" customFormat="1" ht="15.75" thickBot="1">
      <c r="A73" s="1835"/>
      <c r="B73" s="1827"/>
      <c r="C73" s="1840"/>
      <c r="D73" s="1821"/>
      <c r="E73" s="1821"/>
      <c r="F73" s="1821"/>
      <c r="G73" s="1840"/>
      <c r="H73" s="1843"/>
      <c r="I73" s="1843"/>
      <c r="J73" s="1843"/>
      <c r="K73" s="1843"/>
      <c r="L73" s="1843"/>
      <c r="M73" s="1844"/>
      <c r="N73" s="2983"/>
      <c r="O73" s="2983"/>
      <c r="P73" s="1838"/>
      <c r="Q73" s="1839"/>
    </row>
    <row r="74" spans="1:17" s="1739" customFormat="1" ht="15.75" thickTop="1">
      <c r="A74" s="1835"/>
      <c r="B74" s="1830">
        <f>B14</f>
        <v>111</v>
      </c>
      <c r="C74" s="468"/>
      <c r="D74" s="468"/>
      <c r="E74" s="468"/>
      <c r="F74" s="468"/>
      <c r="G74" s="409"/>
      <c r="H74" s="453"/>
      <c r="I74" s="453"/>
      <c r="J74" s="453"/>
      <c r="K74" s="453"/>
      <c r="L74" s="453"/>
      <c r="M74" s="1845"/>
      <c r="N74" s="2983"/>
      <c r="O74" s="2983"/>
      <c r="P74" s="1838"/>
      <c r="Q74" s="1839"/>
    </row>
    <row r="75" spans="1:17" s="1739" customFormat="1" ht="15.75" thickBot="1">
      <c r="A75" s="1846"/>
      <c r="B75" s="1847"/>
      <c r="C75" s="1848"/>
      <c r="D75" s="1848"/>
      <c r="E75" s="1848"/>
      <c r="F75" s="1848"/>
      <c r="G75" s="1848"/>
      <c r="H75" s="1849"/>
      <c r="I75" s="1849"/>
      <c r="J75" s="1849"/>
      <c r="K75" s="1849"/>
      <c r="L75" s="1849"/>
      <c r="M75" s="1850"/>
      <c r="N75" s="2983"/>
      <c r="O75" s="2983"/>
      <c r="P75" s="1838"/>
      <c r="Q75" s="1839"/>
    </row>
    <row r="76" spans="1:17">
      <c r="A76" s="1812" t="s">
        <v>2213</v>
      </c>
      <c r="B76" s="1813" t="s">
        <v>2251</v>
      </c>
      <c r="C76" s="1851" t="s">
        <v>2252</v>
      </c>
      <c r="D76" s="1851" t="s">
        <v>2253</v>
      </c>
      <c r="E76" s="1851" t="s">
        <v>2254</v>
      </c>
      <c r="F76" s="1851" t="s">
        <v>2255</v>
      </c>
      <c r="G76" s="1851" t="s">
        <v>2256</v>
      </c>
      <c r="H76" s="1814"/>
      <c r="I76" s="1814"/>
      <c r="J76" s="1814"/>
      <c r="K76" s="463"/>
      <c r="L76" s="463"/>
      <c r="M76" s="1852"/>
      <c r="N76" s="2981"/>
      <c r="O76" s="2981"/>
      <c r="P76" s="1818"/>
      <c r="Q76" s="1787"/>
    </row>
    <row r="77" spans="1:17" ht="15.75" thickBot="1">
      <c r="A77" s="1819"/>
      <c r="B77" s="1827"/>
      <c r="C77" s="1828">
        <v>100</v>
      </c>
      <c r="D77" s="1828">
        <f>C77-$K15</f>
        <v>97</v>
      </c>
      <c r="E77" s="1828">
        <f>D77-$K15</f>
        <v>94</v>
      </c>
      <c r="F77" s="1828">
        <f>E77-$K15</f>
        <v>91</v>
      </c>
      <c r="G77" s="1828">
        <f>F77-$K15</f>
        <v>88</v>
      </c>
      <c r="H77" s="1828"/>
      <c r="I77" s="1828"/>
      <c r="J77" s="1828"/>
      <c r="K77" s="1828"/>
      <c r="L77" s="1828"/>
      <c r="M77" s="1829"/>
      <c r="N77" s="2982"/>
      <c r="O77" s="2982"/>
      <c r="P77" s="1818"/>
      <c r="Q77" s="1787"/>
    </row>
    <row r="78" spans="1:17" ht="15.75" thickTop="1">
      <c r="A78" s="1819"/>
      <c r="B78" s="1824" t="s">
        <v>2257</v>
      </c>
      <c r="C78" s="579" t="s">
        <v>2252</v>
      </c>
      <c r="D78" s="579" t="s">
        <v>2253</v>
      </c>
      <c r="E78" s="579" t="s">
        <v>2254</v>
      </c>
      <c r="F78" s="579" t="s">
        <v>2255</v>
      </c>
      <c r="G78" s="579" t="s">
        <v>2256</v>
      </c>
      <c r="H78" s="1825"/>
      <c r="I78" s="1825"/>
      <c r="J78" s="1825"/>
      <c r="K78" s="428"/>
      <c r="L78" s="428"/>
      <c r="M78" s="1826"/>
      <c r="N78" s="2981"/>
      <c r="O78" s="2981"/>
      <c r="P78" s="1818"/>
      <c r="Q78" s="1787"/>
    </row>
    <row r="79" spans="1:17" ht="15.75" thickBot="1">
      <c r="A79" s="1819"/>
      <c r="B79" s="1827"/>
      <c r="C79" s="1828">
        <v>100</v>
      </c>
      <c r="D79" s="1828">
        <f>C79-$K17</f>
        <v>98</v>
      </c>
      <c r="E79" s="1828">
        <f>D79-$K17</f>
        <v>96</v>
      </c>
      <c r="F79" s="1828">
        <f>E79-$K17</f>
        <v>94</v>
      </c>
      <c r="G79" s="1828">
        <f>F79-$K17</f>
        <v>92</v>
      </c>
      <c r="H79" s="1828"/>
      <c r="I79" s="1828"/>
      <c r="J79" s="1828"/>
      <c r="K79" s="1828"/>
      <c r="L79" s="1828"/>
      <c r="M79" s="1829"/>
      <c r="N79" s="2982"/>
      <c r="O79" s="2982"/>
      <c r="P79" s="1818"/>
      <c r="Q79" s="1787"/>
    </row>
    <row r="80" spans="1:17" ht="15.75" thickTop="1">
      <c r="A80" s="1819"/>
      <c r="B80" s="1824" t="s">
        <v>2258</v>
      </c>
      <c r="C80" s="579" t="s">
        <v>2252</v>
      </c>
      <c r="D80" s="579" t="s">
        <v>2253</v>
      </c>
      <c r="E80" s="579" t="s">
        <v>2254</v>
      </c>
      <c r="F80" s="579" t="s">
        <v>2255</v>
      </c>
      <c r="G80" s="579" t="s">
        <v>2256</v>
      </c>
      <c r="H80" s="1825"/>
      <c r="I80" s="1825"/>
      <c r="J80" s="1825"/>
      <c r="K80" s="428"/>
      <c r="L80" s="428"/>
      <c r="M80" s="1826"/>
      <c r="N80" s="2981"/>
      <c r="O80" s="2981"/>
      <c r="P80" s="1818"/>
      <c r="Q80" s="1787"/>
    </row>
    <row r="81" spans="1:17" ht="15.75" thickBot="1">
      <c r="A81" s="1819"/>
      <c r="B81" s="1827"/>
      <c r="C81" s="1828">
        <v>100</v>
      </c>
      <c r="D81" s="1828">
        <f>C81-$K19</f>
        <v>98</v>
      </c>
      <c r="E81" s="1828">
        <f>D81-$K19</f>
        <v>96</v>
      </c>
      <c r="F81" s="1828">
        <f>E81-$K19</f>
        <v>94</v>
      </c>
      <c r="G81" s="1828">
        <f>F81-$K19</f>
        <v>92</v>
      </c>
      <c r="H81" s="1828"/>
      <c r="I81" s="1828"/>
      <c r="J81" s="1828"/>
      <c r="K81" s="1828"/>
      <c r="L81" s="1828"/>
      <c r="M81" s="1829"/>
      <c r="N81" s="2982"/>
      <c r="O81" s="2982"/>
      <c r="P81" s="1818"/>
      <c r="Q81" s="1787"/>
    </row>
    <row r="82" spans="1:17" ht="15.75" thickTop="1">
      <c r="A82" s="1819"/>
      <c r="B82" s="1830" t="s">
        <v>2301</v>
      </c>
      <c r="C82" s="1825" t="s">
        <v>2259</v>
      </c>
      <c r="D82" s="1825" t="s">
        <v>2260</v>
      </c>
      <c r="E82" s="1825" t="s">
        <v>2261</v>
      </c>
      <c r="F82" s="1825" t="s">
        <v>2262</v>
      </c>
      <c r="G82" s="1825" t="s">
        <v>2263</v>
      </c>
      <c r="H82" s="1825"/>
      <c r="I82" s="1825"/>
      <c r="J82" s="1825"/>
      <c r="K82" s="1825"/>
      <c r="L82" s="1825"/>
      <c r="M82" s="1853"/>
      <c r="N82" s="2982"/>
      <c r="O82" s="2982"/>
      <c r="P82" s="1818"/>
      <c r="Q82" s="1787"/>
    </row>
    <row r="83" spans="1:17" ht="15.75" thickBot="1">
      <c r="A83" s="1819"/>
      <c r="B83" s="1830"/>
      <c r="C83" s="1828">
        <v>100</v>
      </c>
      <c r="D83" s="1828">
        <f>C83-$K21</f>
        <v>98</v>
      </c>
      <c r="E83" s="1828">
        <f>D83-$K21</f>
        <v>96</v>
      </c>
      <c r="F83" s="1828">
        <f>E83-$K21</f>
        <v>94</v>
      </c>
      <c r="G83" s="1828">
        <f>F83-$K21</f>
        <v>92</v>
      </c>
      <c r="H83" s="1854"/>
      <c r="I83" s="1854"/>
      <c r="J83" s="1854"/>
      <c r="K83" s="1854"/>
      <c r="L83" s="1854"/>
      <c r="M83" s="1705"/>
      <c r="N83" s="2982"/>
      <c r="O83" s="2982"/>
      <c r="P83" s="1818"/>
      <c r="Q83" s="1787"/>
    </row>
    <row r="84" spans="1:17" ht="15.75" thickTop="1">
      <c r="A84" s="1819"/>
      <c r="B84" s="1824" t="s">
        <v>2264</v>
      </c>
      <c r="C84" s="579" t="s">
        <v>2252</v>
      </c>
      <c r="D84" s="579" t="s">
        <v>2253</v>
      </c>
      <c r="E84" s="579" t="s">
        <v>2254</v>
      </c>
      <c r="F84" s="579" t="s">
        <v>2255</v>
      </c>
      <c r="G84" s="579" t="s">
        <v>2256</v>
      </c>
      <c r="H84" s="1825"/>
      <c r="I84" s="1825"/>
      <c r="J84" s="1825"/>
      <c r="K84" s="428"/>
      <c r="L84" s="428"/>
      <c r="M84" s="1826"/>
      <c r="N84" s="2981"/>
      <c r="O84" s="2981"/>
      <c r="P84" s="1818"/>
      <c r="Q84" s="1787"/>
    </row>
    <row r="85" spans="1:17" ht="15.75" thickBot="1">
      <c r="A85" s="1819"/>
      <c r="B85" s="1827"/>
      <c r="C85" s="1828">
        <v>100</v>
      </c>
      <c r="D85" s="1828">
        <f>C85-$K23</f>
        <v>98</v>
      </c>
      <c r="E85" s="1828">
        <f>D85-$K23</f>
        <v>96</v>
      </c>
      <c r="F85" s="1828">
        <f>E85-$K23</f>
        <v>94</v>
      </c>
      <c r="G85" s="1828">
        <f>F85-$K23</f>
        <v>92</v>
      </c>
      <c r="H85" s="1828"/>
      <c r="I85" s="1828"/>
      <c r="J85" s="1828"/>
      <c r="K85" s="1828"/>
      <c r="L85" s="1828"/>
      <c r="M85" s="1829"/>
      <c r="N85" s="2982"/>
      <c r="O85" s="2982"/>
      <c r="P85" s="1818"/>
      <c r="Q85" s="1787"/>
    </row>
    <row r="86" spans="1:17" s="1655" customFormat="1" ht="15.75" thickTop="1">
      <c r="A86" s="1855"/>
      <c r="B86" s="1824" t="s">
        <v>2321</v>
      </c>
      <c r="C86" s="3314" t="s">
        <v>3027</v>
      </c>
      <c r="D86" s="3314" t="s">
        <v>3028</v>
      </c>
      <c r="E86" s="3314" t="s">
        <v>3029</v>
      </c>
      <c r="F86" s="3314" t="s">
        <v>3030</v>
      </c>
      <c r="G86" s="468"/>
      <c r="H86" s="468"/>
      <c r="I86" s="468"/>
      <c r="J86" s="468"/>
      <c r="K86" s="468"/>
      <c r="L86" s="468"/>
      <c r="M86" s="1856"/>
      <c r="N86" s="2980"/>
      <c r="O86" s="2980"/>
      <c r="P86" s="1818"/>
      <c r="Q86" s="1787"/>
    </row>
    <row r="87" spans="1:17" s="1655" customFormat="1" ht="15.75" thickBot="1">
      <c r="A87" s="1855"/>
      <c r="B87" s="1827"/>
      <c r="C87" s="1857">
        <v>100</v>
      </c>
      <c r="D87" s="1828">
        <f t="shared" ref="D87:M87" si="19">C87-$K25</f>
        <v>97</v>
      </c>
      <c r="E87" s="1828">
        <f t="shared" si="19"/>
        <v>94</v>
      </c>
      <c r="F87" s="1828">
        <f t="shared" si="19"/>
        <v>91</v>
      </c>
      <c r="G87" s="1828">
        <f t="shared" si="19"/>
        <v>88</v>
      </c>
      <c r="H87" s="1828">
        <f t="shared" si="19"/>
        <v>85</v>
      </c>
      <c r="I87" s="1828">
        <f t="shared" si="19"/>
        <v>82</v>
      </c>
      <c r="J87" s="1828">
        <f t="shared" si="19"/>
        <v>79</v>
      </c>
      <c r="K87" s="1828">
        <f t="shared" si="19"/>
        <v>76</v>
      </c>
      <c r="L87" s="1828">
        <f t="shared" si="19"/>
        <v>73</v>
      </c>
      <c r="M87" s="1828">
        <f t="shared" si="19"/>
        <v>70</v>
      </c>
      <c r="N87" s="2982"/>
      <c r="O87" s="2982"/>
      <c r="P87" s="1818"/>
      <c r="Q87" s="1787"/>
    </row>
    <row r="88" spans="1:17" s="1655" customFormat="1" ht="15.75" thickTop="1">
      <c r="A88" s="1855"/>
      <c r="B88" s="1824" t="str">
        <f>B26</f>
        <v>平面位置/可视性</v>
      </c>
      <c r="C88" s="3314" t="s">
        <v>3034</v>
      </c>
      <c r="D88" s="3314" t="s">
        <v>3022</v>
      </c>
      <c r="E88" s="3314" t="s">
        <v>3037</v>
      </c>
      <c r="F88" s="1858"/>
      <c r="G88" s="468"/>
      <c r="H88" s="468"/>
      <c r="I88" s="468"/>
      <c r="J88" s="468"/>
      <c r="K88" s="468"/>
      <c r="L88" s="468"/>
      <c r="M88" s="1856"/>
      <c r="N88" s="2980"/>
      <c r="O88" s="2980"/>
      <c r="P88" s="1818"/>
      <c r="Q88" s="1787"/>
    </row>
    <row r="89" spans="1:17" s="1655" customFormat="1" ht="15.75" thickBot="1">
      <c r="A89" s="1855"/>
      <c r="B89" s="1827"/>
      <c r="C89" s="1840">
        <v>100</v>
      </c>
      <c r="D89" s="1821">
        <v>97</v>
      </c>
      <c r="E89" s="1821">
        <v>96</v>
      </c>
      <c r="F89" s="1821"/>
      <c r="G89" s="1821"/>
      <c r="H89" s="1821"/>
      <c r="I89" s="1821"/>
      <c r="J89" s="1821"/>
      <c r="K89" s="1821"/>
      <c r="L89" s="1821"/>
      <c r="M89" s="1821"/>
      <c r="N89" s="2982"/>
      <c r="O89" s="2982"/>
      <c r="P89" s="1818"/>
      <c r="Q89" s="1787"/>
    </row>
    <row r="90" spans="1:17" s="1739" customFormat="1" ht="15.75" thickTop="1">
      <c r="A90" s="1835"/>
      <c r="B90" s="1824" t="str">
        <f>B27</f>
        <v>人流量</v>
      </c>
      <c r="C90" s="3314" t="s">
        <v>3038</v>
      </c>
      <c r="D90" s="3314" t="s">
        <v>3039</v>
      </c>
      <c r="E90" s="3314" t="s">
        <v>3037</v>
      </c>
      <c r="F90" s="468"/>
      <c r="G90" s="468"/>
      <c r="H90" s="443"/>
      <c r="I90" s="443"/>
      <c r="J90" s="443"/>
      <c r="K90" s="443"/>
      <c r="L90" s="443"/>
      <c r="M90" s="1836"/>
      <c r="N90" s="2983"/>
      <c r="O90" s="2983"/>
      <c r="P90" s="1838"/>
      <c r="Q90" s="1839"/>
    </row>
    <row r="91" spans="1:17" s="1739" customFormat="1" ht="15.75" thickBot="1">
      <c r="A91" s="1835"/>
      <c r="B91" s="1827"/>
      <c r="C91" s="1857">
        <v>100</v>
      </c>
      <c r="D91" s="1828">
        <f>C91-$K27</f>
        <v>97</v>
      </c>
      <c r="E91" s="1828">
        <f t="shared" ref="E91:M91" si="20">D91-$K27</f>
        <v>94</v>
      </c>
      <c r="F91" s="1828">
        <f t="shared" si="20"/>
        <v>91</v>
      </c>
      <c r="G91" s="1828">
        <f t="shared" si="20"/>
        <v>88</v>
      </c>
      <c r="H91" s="1828">
        <f t="shared" si="20"/>
        <v>85</v>
      </c>
      <c r="I91" s="1828">
        <f t="shared" si="20"/>
        <v>82</v>
      </c>
      <c r="J91" s="1828">
        <f t="shared" si="20"/>
        <v>79</v>
      </c>
      <c r="K91" s="1828">
        <f t="shared" si="20"/>
        <v>76</v>
      </c>
      <c r="L91" s="1828">
        <f t="shared" si="20"/>
        <v>73</v>
      </c>
      <c r="M91" s="1828">
        <f t="shared" si="20"/>
        <v>70</v>
      </c>
      <c r="N91" s="2983"/>
      <c r="O91" s="2983"/>
      <c r="P91" s="1838"/>
      <c r="Q91" s="1839"/>
    </row>
    <row r="92" spans="1:17" ht="15.75" thickTop="1">
      <c r="A92" s="1819"/>
      <c r="B92" s="1824" t="str">
        <f>B28</f>
        <v>楼层</v>
      </c>
      <c r="C92" s="468" t="s">
        <v>3040</v>
      </c>
      <c r="D92" s="3314" t="s">
        <v>3051</v>
      </c>
      <c r="E92" s="468" t="s">
        <v>3050</v>
      </c>
      <c r="F92" s="468"/>
      <c r="G92" s="468"/>
      <c r="H92" s="468"/>
      <c r="I92" s="468"/>
      <c r="J92" s="468"/>
      <c r="K92" s="468"/>
      <c r="L92" s="468"/>
      <c r="M92" s="1856"/>
      <c r="N92" s="2981"/>
      <c r="O92" s="2981"/>
      <c r="P92" s="1818"/>
      <c r="Q92" s="1787"/>
    </row>
    <row r="93" spans="1:17" ht="15.75" thickBot="1">
      <c r="A93" s="1819"/>
      <c r="B93" s="1827"/>
      <c r="C93" s="1821">
        <v>100</v>
      </c>
      <c r="D93" s="1821">
        <v>85</v>
      </c>
      <c r="E93" s="1821">
        <v>75</v>
      </c>
      <c r="F93" s="1821"/>
      <c r="G93" s="1821"/>
      <c r="H93" s="1821"/>
      <c r="I93" s="1821"/>
      <c r="J93" s="1821"/>
      <c r="K93" s="1821"/>
      <c r="L93" s="1821"/>
      <c r="M93" s="1822"/>
      <c r="N93" s="2982"/>
      <c r="O93" s="2982"/>
      <c r="P93" s="1818"/>
      <c r="Q93" s="1787"/>
    </row>
    <row r="94" spans="1:17" ht="15.75" thickTop="1">
      <c r="A94" s="1819"/>
      <c r="B94" s="1824">
        <f>B29</f>
        <v>111</v>
      </c>
      <c r="C94" s="468"/>
      <c r="D94" s="468"/>
      <c r="E94" s="468"/>
      <c r="F94" s="468"/>
      <c r="G94" s="1548"/>
      <c r="H94" s="1548"/>
      <c r="I94" s="1548"/>
      <c r="J94" s="1548"/>
      <c r="K94" s="473"/>
      <c r="L94" s="473"/>
      <c r="M94" s="1859"/>
      <c r="N94" s="2981"/>
      <c r="O94" s="2981"/>
      <c r="P94" s="1818"/>
      <c r="Q94" s="1787"/>
    </row>
    <row r="95" spans="1:17" ht="15.75" thickBot="1">
      <c r="A95" s="1819"/>
      <c r="B95" s="1827"/>
      <c r="C95" s="1840"/>
      <c r="D95" s="1821"/>
      <c r="E95" s="1821"/>
      <c r="F95" s="1821"/>
      <c r="G95" s="1821"/>
      <c r="H95" s="1821"/>
      <c r="I95" s="1821"/>
      <c r="J95" s="1821"/>
      <c r="K95" s="1821"/>
      <c r="L95" s="1821"/>
      <c r="M95" s="1822"/>
      <c r="N95" s="2982"/>
      <c r="O95" s="2982"/>
      <c r="P95" s="1818"/>
      <c r="Q95" s="1787"/>
    </row>
    <row r="96" spans="1:17" ht="15.75" thickTop="1">
      <c r="A96" s="1819"/>
      <c r="B96" s="1824">
        <f>B30</f>
        <v>111</v>
      </c>
      <c r="C96" s="468"/>
      <c r="D96" s="468"/>
      <c r="E96" s="468"/>
      <c r="F96" s="468"/>
      <c r="G96" s="1548"/>
      <c r="H96" s="1548"/>
      <c r="I96" s="1548"/>
      <c r="J96" s="1548"/>
      <c r="K96" s="473"/>
      <c r="L96" s="473"/>
      <c r="M96" s="1859"/>
      <c r="N96" s="2981"/>
      <c r="O96" s="2981"/>
      <c r="P96" s="1818"/>
      <c r="Q96" s="1787"/>
    </row>
    <row r="97" spans="1:17" ht="15.75" thickBot="1">
      <c r="A97" s="1819"/>
      <c r="B97" s="1827"/>
      <c r="C97" s="1840"/>
      <c r="D97" s="1821"/>
      <c r="E97" s="1821"/>
      <c r="F97" s="1821"/>
      <c r="G97" s="1821"/>
      <c r="H97" s="1821"/>
      <c r="I97" s="1821"/>
      <c r="J97" s="1821"/>
      <c r="K97" s="1821"/>
      <c r="L97" s="1821"/>
      <c r="M97" s="1822"/>
      <c r="N97" s="2982"/>
      <c r="O97" s="2982"/>
      <c r="P97" s="1818"/>
      <c r="Q97" s="1787"/>
    </row>
    <row r="98" spans="1:17" ht="15.75" thickTop="1">
      <c r="A98" s="1819"/>
      <c r="B98" s="1830">
        <f>B31</f>
        <v>111</v>
      </c>
      <c r="C98" s="468"/>
      <c r="D98" s="468"/>
      <c r="E98" s="468"/>
      <c r="F98" s="468"/>
      <c r="G98" s="1860"/>
      <c r="H98" s="1860"/>
      <c r="I98" s="1860"/>
      <c r="J98" s="1860"/>
      <c r="K98" s="477"/>
      <c r="L98" s="477"/>
      <c r="M98" s="1861"/>
      <c r="N98" s="2981"/>
      <c r="O98" s="2981"/>
      <c r="P98" s="1818"/>
      <c r="Q98" s="1787"/>
    </row>
    <row r="99" spans="1:17" ht="15.75" thickBot="1">
      <c r="A99" s="1862"/>
      <c r="B99" s="1847"/>
      <c r="C99" s="1848"/>
      <c r="D99" s="1848"/>
      <c r="E99" s="1848"/>
      <c r="F99" s="1848"/>
      <c r="G99" s="1863"/>
      <c r="H99" s="1863"/>
      <c r="I99" s="1863"/>
      <c r="J99" s="1863"/>
      <c r="K99" s="1863"/>
      <c r="L99" s="1863"/>
      <c r="M99" s="1864"/>
      <c r="N99" s="2982"/>
      <c r="O99" s="2982"/>
      <c r="P99" s="1818"/>
      <c r="Q99" s="1787"/>
    </row>
    <row r="100" spans="1:17">
      <c r="A100" s="1812" t="s">
        <v>2218</v>
      </c>
      <c r="B100" s="1813" t="s">
        <v>2322</v>
      </c>
      <c r="C100" s="3316" t="s">
        <v>3041</v>
      </c>
      <c r="D100" s="3316" t="s">
        <v>3042</v>
      </c>
      <c r="E100" s="3316" t="s">
        <v>3043</v>
      </c>
      <c r="F100" s="3316" t="s">
        <v>3044</v>
      </c>
      <c r="G100" s="1815"/>
      <c r="H100" s="1815"/>
      <c r="I100" s="1815"/>
      <c r="J100" s="1815"/>
      <c r="K100" s="417"/>
      <c r="L100" s="417"/>
      <c r="M100" s="1816"/>
      <c r="N100" s="2981"/>
      <c r="O100" s="2981"/>
      <c r="P100" s="1818"/>
      <c r="Q100" s="1787"/>
    </row>
    <row r="101" spans="1:17" ht="15.75" thickBot="1">
      <c r="A101" s="1819"/>
      <c r="B101" s="1827"/>
      <c r="C101" s="1828">
        <v>100</v>
      </c>
      <c r="D101" s="1828">
        <f t="shared" ref="D101:M101" si="21">C101-$K32</f>
        <v>98</v>
      </c>
      <c r="E101" s="1828">
        <f t="shared" si="21"/>
        <v>96</v>
      </c>
      <c r="F101" s="1828">
        <f t="shared" si="21"/>
        <v>94</v>
      </c>
      <c r="G101" s="1828">
        <f t="shared" si="21"/>
        <v>92</v>
      </c>
      <c r="H101" s="1828">
        <f t="shared" si="21"/>
        <v>90</v>
      </c>
      <c r="I101" s="1828">
        <f t="shared" si="21"/>
        <v>88</v>
      </c>
      <c r="J101" s="1828">
        <f t="shared" si="21"/>
        <v>86</v>
      </c>
      <c r="K101" s="1828">
        <f t="shared" si="21"/>
        <v>84</v>
      </c>
      <c r="L101" s="1828">
        <f t="shared" si="21"/>
        <v>82</v>
      </c>
      <c r="M101" s="1829">
        <f t="shared" si="21"/>
        <v>80</v>
      </c>
      <c r="N101" s="2982"/>
      <c r="O101" s="2982"/>
      <c r="P101" s="1818"/>
      <c r="Q101" s="1787"/>
    </row>
    <row r="102" spans="1:17" ht="15.75" thickTop="1">
      <c r="A102" s="1819"/>
      <c r="B102" s="1824" t="s">
        <v>2268</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6" t="str">
        <f>M103&amp;"(含)"&amp;"-"&amp;P103</f>
        <v>(含)-</v>
      </c>
      <c r="N102" s="2980"/>
      <c r="O102" s="2980"/>
      <c r="P102" s="1818"/>
      <c r="Q102" s="1787"/>
    </row>
    <row r="103" spans="1:17" s="1739" customFormat="1">
      <c r="A103" s="1865"/>
      <c r="B103" s="1866"/>
      <c r="C103" s="1867">
        <v>0</v>
      </c>
      <c r="D103" s="1867">
        <v>50</v>
      </c>
      <c r="E103" s="1867">
        <v>100</v>
      </c>
      <c r="F103" s="1867">
        <v>200</v>
      </c>
      <c r="G103" s="1867">
        <v>400</v>
      </c>
      <c r="H103" s="1867">
        <v>800</v>
      </c>
      <c r="I103" s="1867">
        <v>1200</v>
      </c>
      <c r="J103" s="485">
        <v>2000</v>
      </c>
      <c r="K103" s="485"/>
      <c r="L103" s="485"/>
      <c r="M103" s="1868"/>
      <c r="N103" s="2983"/>
      <c r="O103" s="2983"/>
      <c r="P103" s="1838"/>
      <c r="Q103" s="1839"/>
    </row>
    <row r="104" spans="1:17" s="1739" customFormat="1" ht="15.75" thickBot="1">
      <c r="A104" s="1835"/>
      <c r="B104" s="1827"/>
      <c r="C104" s="1840">
        <v>100</v>
      </c>
      <c r="D104" s="1821">
        <v>99</v>
      </c>
      <c r="E104" s="1821">
        <v>98</v>
      </c>
      <c r="F104" s="1821">
        <v>97</v>
      </c>
      <c r="G104" s="1821">
        <v>96</v>
      </c>
      <c r="H104" s="1821">
        <v>95</v>
      </c>
      <c r="I104" s="1821">
        <v>94</v>
      </c>
      <c r="J104" s="1821"/>
      <c r="K104" s="1821"/>
      <c r="L104" s="1821"/>
      <c r="M104" s="1822"/>
      <c r="N104" s="2982"/>
      <c r="O104" s="2982"/>
      <c r="P104" s="1838"/>
      <c r="Q104" s="1839"/>
    </row>
    <row r="105" spans="1:17" ht="15" thickTop="1">
      <c r="A105" s="1869"/>
      <c r="B105" s="1824" t="s">
        <v>2269</v>
      </c>
      <c r="C105" s="468"/>
      <c r="D105" s="468"/>
      <c r="E105" s="1548"/>
      <c r="F105" s="1548"/>
      <c r="G105" s="1548"/>
      <c r="H105" s="1548"/>
      <c r="I105" s="1548"/>
      <c r="J105" s="1548"/>
      <c r="K105" s="473"/>
      <c r="L105" s="473"/>
      <c r="M105" s="1859"/>
      <c r="N105" s="2981"/>
      <c r="O105" s="2981"/>
      <c r="P105" s="1818"/>
      <c r="Q105" s="1787"/>
    </row>
    <row r="106" spans="1:17" ht="15.75" thickBot="1">
      <c r="A106" s="1819"/>
      <c r="B106" s="1827"/>
      <c r="C106" s="1828">
        <v>100</v>
      </c>
      <c r="D106" s="1828">
        <f t="shared" ref="D106:M106" si="23">C106-$K34</f>
        <v>98</v>
      </c>
      <c r="E106" s="1828">
        <f t="shared" si="23"/>
        <v>96</v>
      </c>
      <c r="F106" s="1828">
        <f t="shared" si="23"/>
        <v>94</v>
      </c>
      <c r="G106" s="1828">
        <f t="shared" si="23"/>
        <v>92</v>
      </c>
      <c r="H106" s="1828">
        <f t="shared" si="23"/>
        <v>90</v>
      </c>
      <c r="I106" s="1828">
        <f t="shared" si="23"/>
        <v>88</v>
      </c>
      <c r="J106" s="1828">
        <f t="shared" si="23"/>
        <v>86</v>
      </c>
      <c r="K106" s="1828">
        <f t="shared" si="23"/>
        <v>84</v>
      </c>
      <c r="L106" s="1828">
        <f t="shared" si="23"/>
        <v>82</v>
      </c>
      <c r="M106" s="1829">
        <f t="shared" si="23"/>
        <v>80</v>
      </c>
      <c r="N106" s="2982"/>
      <c r="O106" s="2982"/>
      <c r="P106" s="1818"/>
      <c r="Q106" s="1787"/>
    </row>
    <row r="107" spans="1:17" ht="15" thickTop="1">
      <c r="A107" s="1869"/>
      <c r="B107" s="1824" t="s">
        <v>2271</v>
      </c>
      <c r="C107" s="468"/>
      <c r="D107" s="468"/>
      <c r="E107" s="468"/>
      <c r="F107" s="1548"/>
      <c r="G107" s="1548"/>
      <c r="H107" s="1548"/>
      <c r="I107" s="1548"/>
      <c r="J107" s="1548"/>
      <c r="K107" s="473"/>
      <c r="L107" s="473"/>
      <c r="M107" s="1859"/>
      <c r="N107" s="2981"/>
      <c r="O107" s="2981"/>
      <c r="P107" s="1818"/>
      <c r="Q107" s="1787"/>
    </row>
    <row r="108" spans="1:17" ht="15.75" thickBot="1">
      <c r="A108" s="1819"/>
      <c r="B108" s="1827"/>
      <c r="C108" s="1828">
        <v>100</v>
      </c>
      <c r="D108" s="1828">
        <f t="shared" ref="D108:M108" si="24">C108-$K35</f>
        <v>98</v>
      </c>
      <c r="E108" s="1828">
        <f t="shared" si="24"/>
        <v>96</v>
      </c>
      <c r="F108" s="1828">
        <f t="shared" si="24"/>
        <v>94</v>
      </c>
      <c r="G108" s="1828">
        <f t="shared" si="24"/>
        <v>92</v>
      </c>
      <c r="H108" s="1828">
        <f t="shared" si="24"/>
        <v>90</v>
      </c>
      <c r="I108" s="1828">
        <f t="shared" si="24"/>
        <v>88</v>
      </c>
      <c r="J108" s="1828">
        <f t="shared" si="24"/>
        <v>86</v>
      </c>
      <c r="K108" s="1828">
        <f t="shared" si="24"/>
        <v>84</v>
      </c>
      <c r="L108" s="1828">
        <f t="shared" si="24"/>
        <v>82</v>
      </c>
      <c r="M108" s="1829">
        <f t="shared" si="24"/>
        <v>80</v>
      </c>
      <c r="N108" s="2982"/>
      <c r="O108" s="2982"/>
      <c r="P108" s="1818"/>
      <c r="Q108" s="1787"/>
    </row>
    <row r="109" spans="1:17" ht="15" thickTop="1">
      <c r="A109" s="1869"/>
      <c r="B109" s="1824"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59"/>
      <c r="N109" s="2981"/>
      <c r="O109" s="2981"/>
      <c r="P109" s="1818"/>
      <c r="Q109" s="1787"/>
    </row>
    <row r="110" spans="1:17">
      <c r="A110" s="1869"/>
      <c r="B110" s="1830"/>
      <c r="C110" s="1871">
        <v>0.5</v>
      </c>
      <c r="D110" s="1871">
        <v>0.6</v>
      </c>
      <c r="E110" s="1871">
        <v>0.7</v>
      </c>
      <c r="F110" s="1871">
        <v>0.8</v>
      </c>
      <c r="G110" s="1871">
        <v>0.9</v>
      </c>
      <c r="H110" s="1871">
        <v>1</v>
      </c>
      <c r="I110" s="2449"/>
      <c r="J110" s="2449"/>
      <c r="K110" s="508"/>
      <c r="L110" s="508"/>
      <c r="M110" s="2450"/>
      <c r="N110" s="2981"/>
      <c r="O110" s="2981"/>
      <c r="P110" s="1818"/>
      <c r="Q110" s="1787"/>
    </row>
    <row r="111" spans="1:17" ht="15.75" thickBot="1">
      <c r="A111" s="1819"/>
      <c r="B111" s="1827"/>
      <c r="C111" s="1857">
        <v>100</v>
      </c>
      <c r="D111" s="1828">
        <f>C111+$K36</f>
        <v>101</v>
      </c>
      <c r="E111" s="1828">
        <f t="shared" ref="E111:M111" si="25">D111+$K36</f>
        <v>102</v>
      </c>
      <c r="F111" s="1828">
        <f t="shared" si="25"/>
        <v>103</v>
      </c>
      <c r="G111" s="1828">
        <f t="shared" si="25"/>
        <v>104</v>
      </c>
      <c r="H111" s="1828">
        <f t="shared" si="25"/>
        <v>105</v>
      </c>
      <c r="I111" s="1828">
        <f t="shared" si="25"/>
        <v>106</v>
      </c>
      <c r="J111" s="1828">
        <f t="shared" si="25"/>
        <v>107</v>
      </c>
      <c r="K111" s="1828">
        <f t="shared" si="25"/>
        <v>108</v>
      </c>
      <c r="L111" s="1828">
        <f t="shared" si="25"/>
        <v>109</v>
      </c>
      <c r="M111" s="1828">
        <f t="shared" si="25"/>
        <v>110</v>
      </c>
      <c r="N111" s="2982"/>
      <c r="O111" s="2982"/>
      <c r="P111" s="1818"/>
      <c r="Q111" s="1787"/>
    </row>
    <row r="112" spans="1:17" s="1739" customFormat="1" ht="15" thickTop="1">
      <c r="A112" s="1865"/>
      <c r="B112" s="1824" t="s">
        <v>2274</v>
      </c>
      <c r="C112" s="468"/>
      <c r="D112" s="468"/>
      <c r="E112" s="468"/>
      <c r="F112" s="468"/>
      <c r="G112" s="468"/>
      <c r="H112" s="1548"/>
      <c r="I112" s="1548"/>
      <c r="J112" s="1548"/>
      <c r="K112" s="473"/>
      <c r="L112" s="473"/>
      <c r="M112" s="1859"/>
      <c r="N112" s="2983"/>
      <c r="O112" s="2983"/>
      <c r="P112" s="1838"/>
      <c r="Q112" s="1839"/>
    </row>
    <row r="113" spans="1:17" s="1739" customFormat="1" ht="15.75" thickBot="1">
      <c r="A113" s="1835"/>
      <c r="B113" s="1827"/>
      <c r="C113" s="1828">
        <v>100</v>
      </c>
      <c r="D113" s="1828">
        <f>C113-$K37</f>
        <v>99</v>
      </c>
      <c r="E113" s="1828">
        <f t="shared" ref="E113:M113" si="26">D113-$K37</f>
        <v>98</v>
      </c>
      <c r="F113" s="1828">
        <f t="shared" si="26"/>
        <v>97</v>
      </c>
      <c r="G113" s="1828">
        <f t="shared" si="26"/>
        <v>96</v>
      </c>
      <c r="H113" s="1828">
        <f t="shared" si="26"/>
        <v>95</v>
      </c>
      <c r="I113" s="1828">
        <f t="shared" si="26"/>
        <v>94</v>
      </c>
      <c r="J113" s="1828">
        <f t="shared" si="26"/>
        <v>93</v>
      </c>
      <c r="K113" s="1828">
        <f t="shared" si="26"/>
        <v>92</v>
      </c>
      <c r="L113" s="1828">
        <f t="shared" si="26"/>
        <v>91</v>
      </c>
      <c r="M113" s="1828">
        <f t="shared" si="26"/>
        <v>90</v>
      </c>
      <c r="N113" s="2983"/>
      <c r="O113" s="2983"/>
      <c r="P113" s="1838"/>
      <c r="Q113" s="1839"/>
    </row>
    <row r="114" spans="1:17" ht="15" thickTop="1">
      <c r="A114" s="1869"/>
      <c r="B114" s="1824" t="s">
        <v>2323</v>
      </c>
      <c r="C114" s="3314" t="s">
        <v>3045</v>
      </c>
      <c r="D114" s="3314" t="s">
        <v>3046</v>
      </c>
      <c r="E114" s="1548"/>
      <c r="F114" s="1548"/>
      <c r="G114" s="1548"/>
      <c r="H114" s="1548"/>
      <c r="I114" s="1548"/>
      <c r="J114" s="1548"/>
      <c r="K114" s="473"/>
      <c r="L114" s="473"/>
      <c r="M114" s="1859"/>
      <c r="N114" s="2981"/>
      <c r="O114" s="2981"/>
      <c r="P114" s="1818"/>
      <c r="Q114" s="1787"/>
    </row>
    <row r="115" spans="1:17" ht="15.75" thickBot="1">
      <c r="A115" s="1819"/>
      <c r="B115" s="1827"/>
      <c r="C115" s="1828">
        <v>100</v>
      </c>
      <c r="D115" s="1828">
        <f t="shared" ref="D115:M115" si="27">C115-$K38</f>
        <v>99</v>
      </c>
      <c r="E115" s="1828">
        <f t="shared" si="27"/>
        <v>98</v>
      </c>
      <c r="F115" s="1828">
        <f t="shared" si="27"/>
        <v>97</v>
      </c>
      <c r="G115" s="1828">
        <f t="shared" si="27"/>
        <v>96</v>
      </c>
      <c r="H115" s="1828">
        <f t="shared" si="27"/>
        <v>95</v>
      </c>
      <c r="I115" s="1828">
        <f t="shared" si="27"/>
        <v>94</v>
      </c>
      <c r="J115" s="1828">
        <f t="shared" si="27"/>
        <v>93</v>
      </c>
      <c r="K115" s="1828">
        <f t="shared" si="27"/>
        <v>92</v>
      </c>
      <c r="L115" s="1828">
        <f t="shared" si="27"/>
        <v>91</v>
      </c>
      <c r="M115" s="1829">
        <f t="shared" si="27"/>
        <v>90</v>
      </c>
      <c r="N115" s="2982"/>
      <c r="O115" s="2982"/>
      <c r="P115" s="1818"/>
      <c r="Q115" s="1787"/>
    </row>
    <row r="116" spans="1:17" ht="15" thickTop="1">
      <c r="A116" s="1869"/>
      <c r="B116" s="1824" t="s">
        <v>2324</v>
      </c>
      <c r="C116" s="3314" t="s">
        <v>3026</v>
      </c>
      <c r="D116" s="3314" t="s">
        <v>3047</v>
      </c>
      <c r="E116" s="468"/>
      <c r="F116" s="468"/>
      <c r="G116" s="468"/>
      <c r="H116" s="1548"/>
      <c r="I116" s="1548"/>
      <c r="J116" s="1548"/>
      <c r="K116" s="473"/>
      <c r="L116" s="473"/>
      <c r="M116" s="1859"/>
      <c r="N116" s="2981"/>
      <c r="O116" s="2981"/>
      <c r="P116" s="1818"/>
      <c r="Q116" s="1787"/>
    </row>
    <row r="117" spans="1:17" ht="15.75" thickBot="1">
      <c r="A117" s="1819"/>
      <c r="B117" s="1827"/>
      <c r="C117" s="1828">
        <v>100</v>
      </c>
      <c r="D117" s="1828">
        <f>C117-$K39</f>
        <v>97</v>
      </c>
      <c r="E117" s="1828">
        <f>D117-$K39</f>
        <v>94</v>
      </c>
      <c r="F117" s="1828">
        <f>E117-$K39</f>
        <v>91</v>
      </c>
      <c r="G117" s="1828">
        <f>F117-$K39</f>
        <v>88</v>
      </c>
      <c r="H117" s="1828"/>
      <c r="I117" s="1828"/>
      <c r="J117" s="1828"/>
      <c r="K117" s="1828"/>
      <c r="L117" s="1828"/>
      <c r="M117" s="1829"/>
      <c r="N117" s="2982"/>
      <c r="O117" s="2982"/>
      <c r="P117" s="1818"/>
      <c r="Q117" s="1787"/>
    </row>
    <row r="118" spans="1:17" ht="15" thickTop="1">
      <c r="A118" s="1869"/>
      <c r="B118" s="1824" t="s">
        <v>2325</v>
      </c>
      <c r="C118" s="2451"/>
      <c r="D118" s="2451"/>
      <c r="E118" s="2451"/>
      <c r="F118" s="2451"/>
      <c r="G118" s="2451"/>
      <c r="H118" s="443"/>
      <c r="I118" s="443"/>
      <c r="J118" s="443"/>
      <c r="K118" s="443"/>
      <c r="L118" s="443"/>
      <c r="M118" s="1836"/>
      <c r="N118" s="2981"/>
      <c r="O118" s="2981"/>
      <c r="P118" s="1818"/>
      <c r="Q118" s="1787"/>
    </row>
    <row r="119" spans="1:17" ht="15.75" thickBot="1">
      <c r="A119" s="1819"/>
      <c r="B119" s="1827"/>
      <c r="C119" s="1840"/>
      <c r="D119" s="1821"/>
      <c r="E119" s="1821"/>
      <c r="F119" s="1821"/>
      <c r="G119" s="1821"/>
      <c r="H119" s="1821"/>
      <c r="I119" s="1821"/>
      <c r="J119" s="1821"/>
      <c r="K119" s="1821"/>
      <c r="L119" s="1821"/>
      <c r="M119" s="1822"/>
      <c r="N119" s="2982"/>
      <c r="O119" s="2982"/>
      <c r="P119" s="1818"/>
      <c r="Q119" s="1787"/>
    </row>
    <row r="120" spans="1:17" s="1739" customFormat="1" ht="15" thickTop="1">
      <c r="A120" s="1865"/>
      <c r="B120" s="1824" t="s">
        <v>2326</v>
      </c>
      <c r="C120" s="1548"/>
      <c r="D120" s="1548"/>
      <c r="E120" s="1548"/>
      <c r="F120" s="1548"/>
      <c r="G120" s="443"/>
      <c r="H120" s="443"/>
      <c r="I120" s="443"/>
      <c r="J120" s="443"/>
      <c r="K120" s="443"/>
      <c r="L120" s="443"/>
      <c r="M120" s="1836"/>
      <c r="N120" s="2983"/>
      <c r="O120" s="2983"/>
      <c r="P120" s="1838"/>
      <c r="Q120" s="1839"/>
    </row>
    <row r="121" spans="1:17" s="1739" customFormat="1" ht="15.75" thickBot="1">
      <c r="A121" s="1835"/>
      <c r="B121" s="1820"/>
      <c r="C121" s="1857">
        <v>100</v>
      </c>
      <c r="D121" s="1828">
        <f>C121-$K41</f>
        <v>98</v>
      </c>
      <c r="E121" s="1828">
        <f t="shared" ref="E121:M121" si="28">D121-$K41</f>
        <v>96</v>
      </c>
      <c r="F121" s="1828">
        <f t="shared" si="28"/>
        <v>94</v>
      </c>
      <c r="G121" s="1828">
        <f t="shared" si="28"/>
        <v>92</v>
      </c>
      <c r="H121" s="1828">
        <f t="shared" si="28"/>
        <v>90</v>
      </c>
      <c r="I121" s="1828">
        <f t="shared" si="28"/>
        <v>88</v>
      </c>
      <c r="J121" s="1828">
        <f t="shared" si="28"/>
        <v>86</v>
      </c>
      <c r="K121" s="1828">
        <f t="shared" si="28"/>
        <v>84</v>
      </c>
      <c r="L121" s="1828">
        <f t="shared" si="28"/>
        <v>82</v>
      </c>
      <c r="M121" s="1829">
        <f t="shared" si="28"/>
        <v>80</v>
      </c>
      <c r="N121" s="2983"/>
      <c r="O121" s="2983"/>
      <c r="P121" s="1838"/>
      <c r="Q121" s="1839"/>
    </row>
    <row r="122" spans="1:17" ht="15" thickTop="1">
      <c r="A122" s="1869"/>
      <c r="B122" s="1824" t="s">
        <v>2276</v>
      </c>
      <c r="C122" s="468"/>
      <c r="D122" s="468"/>
      <c r="E122" s="468"/>
      <c r="F122" s="1548"/>
      <c r="G122" s="1548"/>
      <c r="H122" s="1548"/>
      <c r="I122" s="1548"/>
      <c r="J122" s="1548"/>
      <c r="K122" s="473"/>
      <c r="L122" s="473"/>
      <c r="M122" s="1859"/>
      <c r="N122" s="2981"/>
      <c r="O122" s="2981"/>
      <c r="P122" s="1818"/>
      <c r="Q122" s="1787"/>
    </row>
    <row r="123" spans="1:17" ht="15.75" thickBot="1">
      <c r="A123" s="1819"/>
      <c r="B123" s="1827"/>
      <c r="C123" s="1828">
        <v>100</v>
      </c>
      <c r="D123" s="1828">
        <f t="shared" ref="D123:M123" si="29">C123-$K42</f>
        <v>98</v>
      </c>
      <c r="E123" s="1828">
        <f t="shared" si="29"/>
        <v>96</v>
      </c>
      <c r="F123" s="1828">
        <f t="shared" si="29"/>
        <v>94</v>
      </c>
      <c r="G123" s="1828">
        <f t="shared" si="29"/>
        <v>92</v>
      </c>
      <c r="H123" s="1828">
        <f t="shared" si="29"/>
        <v>90</v>
      </c>
      <c r="I123" s="1828">
        <f t="shared" si="29"/>
        <v>88</v>
      </c>
      <c r="J123" s="1828">
        <f t="shared" si="29"/>
        <v>86</v>
      </c>
      <c r="K123" s="1828">
        <f t="shared" si="29"/>
        <v>84</v>
      </c>
      <c r="L123" s="1828">
        <f t="shared" si="29"/>
        <v>82</v>
      </c>
      <c r="M123" s="1829">
        <f t="shared" si="29"/>
        <v>80</v>
      </c>
      <c r="N123" s="2982"/>
      <c r="O123" s="2982"/>
      <c r="P123" s="1818"/>
      <c r="Q123" s="1787"/>
    </row>
    <row r="124" spans="1:17" ht="15" thickTop="1">
      <c r="A124" s="1869"/>
      <c r="B124" s="1824" t="s">
        <v>2277</v>
      </c>
      <c r="C124" s="579" t="s">
        <v>2252</v>
      </c>
      <c r="D124" s="579" t="s">
        <v>2253</v>
      </c>
      <c r="E124" s="579" t="s">
        <v>2254</v>
      </c>
      <c r="F124" s="579" t="s">
        <v>2255</v>
      </c>
      <c r="G124" s="579" t="s">
        <v>2256</v>
      </c>
      <c r="H124" s="1825"/>
      <c r="I124" s="1825"/>
      <c r="J124" s="1825"/>
      <c r="K124" s="428"/>
      <c r="L124" s="428"/>
      <c r="M124" s="1826"/>
      <c r="N124" s="2981"/>
      <c r="O124" s="2981"/>
      <c r="P124" s="1838"/>
      <c r="Q124" s="1787"/>
    </row>
    <row r="125" spans="1:17" ht="15.75"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82"/>
      <c r="O125" s="2982"/>
      <c r="P125" s="1818"/>
      <c r="Q125" s="1787"/>
    </row>
    <row r="126" spans="1:17" s="1739" customFormat="1" ht="15" thickTop="1">
      <c r="A126" s="1865"/>
      <c r="B126" s="1824">
        <f>B44</f>
        <v>111</v>
      </c>
      <c r="C126" s="468"/>
      <c r="D126" s="468"/>
      <c r="E126" s="468"/>
      <c r="F126" s="468"/>
      <c r="G126" s="468"/>
      <c r="H126" s="443"/>
      <c r="I126" s="443"/>
      <c r="J126" s="443"/>
      <c r="K126" s="443"/>
      <c r="L126" s="443"/>
      <c r="M126" s="1836"/>
      <c r="N126" s="2983"/>
      <c r="O126" s="2983"/>
      <c r="P126" s="1838"/>
      <c r="Q126" s="1839"/>
    </row>
    <row r="127" spans="1:17" s="1739" customFormat="1" ht="15.75" thickBot="1">
      <c r="A127" s="1835"/>
      <c r="B127" s="1827"/>
      <c r="C127" s="1840"/>
      <c r="D127" s="1821"/>
      <c r="E127" s="1821"/>
      <c r="F127" s="1821"/>
      <c r="G127" s="1840"/>
      <c r="H127" s="1843"/>
      <c r="I127" s="1843"/>
      <c r="J127" s="1843"/>
      <c r="K127" s="1843"/>
      <c r="L127" s="1843"/>
      <c r="M127" s="1844"/>
      <c r="N127" s="2983"/>
      <c r="O127" s="2983"/>
      <c r="P127" s="1838"/>
      <c r="Q127" s="1839"/>
    </row>
    <row r="128" spans="1:17" ht="15" thickTop="1">
      <c r="A128" s="1869"/>
      <c r="B128" s="1824">
        <f>B45</f>
        <v>111</v>
      </c>
      <c r="C128" s="468"/>
      <c r="D128" s="468"/>
      <c r="E128" s="468"/>
      <c r="F128" s="468"/>
      <c r="G128" s="1548"/>
      <c r="H128" s="1548"/>
      <c r="I128" s="1548"/>
      <c r="J128" s="1548"/>
      <c r="K128" s="473"/>
      <c r="L128" s="473"/>
      <c r="M128" s="1859"/>
      <c r="N128" s="2981"/>
      <c r="O128" s="2981"/>
      <c r="P128" s="1818"/>
      <c r="Q128" s="1787"/>
    </row>
    <row r="129" spans="1:17" ht="15.75" thickBot="1">
      <c r="A129" s="1819"/>
      <c r="B129" s="1827"/>
      <c r="C129" s="1840"/>
      <c r="D129" s="1821"/>
      <c r="E129" s="1821"/>
      <c r="F129" s="1821"/>
      <c r="G129" s="1821"/>
      <c r="H129" s="1821"/>
      <c r="I129" s="1821"/>
      <c r="J129" s="1821"/>
      <c r="K129" s="1821"/>
      <c r="L129" s="1821"/>
      <c r="M129" s="1822"/>
      <c r="N129" s="2982"/>
      <c r="O129" s="2982"/>
      <c r="P129" s="1818"/>
      <c r="Q129" s="1787"/>
    </row>
    <row r="130" spans="1:17" ht="15" thickTop="1">
      <c r="A130" s="1869"/>
      <c r="B130" s="1830">
        <f>B46</f>
        <v>111</v>
      </c>
      <c r="C130" s="468"/>
      <c r="D130" s="468"/>
      <c r="E130" s="468"/>
      <c r="F130" s="468"/>
      <c r="G130" s="1860"/>
      <c r="H130" s="1860"/>
      <c r="I130" s="1860"/>
      <c r="J130" s="1860"/>
      <c r="K130" s="409"/>
      <c r="L130" s="409"/>
      <c r="M130" s="1861"/>
      <c r="N130" s="2981"/>
      <c r="O130" s="2981"/>
      <c r="P130" s="1818"/>
      <c r="Q130" s="1787"/>
    </row>
    <row r="131" spans="1:17" ht="15.75" thickBot="1">
      <c r="A131" s="1862"/>
      <c r="B131" s="1847"/>
      <c r="C131" s="1848"/>
      <c r="D131" s="1848"/>
      <c r="E131" s="1848"/>
      <c r="F131" s="1848"/>
      <c r="G131" s="1863"/>
      <c r="H131" s="1863"/>
      <c r="I131" s="1863"/>
      <c r="J131" s="1863"/>
      <c r="K131" s="1863"/>
      <c r="L131" s="1863"/>
      <c r="M131" s="1864"/>
      <c r="N131" s="2982"/>
      <c r="O131" s="2982"/>
      <c r="P131" s="1818"/>
      <c r="Q131"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47" priority="21" stopIfTrue="1" operator="containsText" text="超过">
      <formula>NOT(ISERROR(SEARCH("超过",F52)))</formula>
    </cfRule>
  </conditionalFormatting>
  <conditionalFormatting sqref="H54">
    <cfRule type="containsText" dxfId="146" priority="19" stopIfTrue="1" operator="containsText" text="超过">
      <formula>NOT(ISERROR(SEARCH("超过",H54)))</formula>
    </cfRule>
  </conditionalFormatting>
  <conditionalFormatting sqref="F54">
    <cfRule type="containsText" dxfId="145" priority="18" stopIfTrue="1" operator="containsText" text="超过">
      <formula>NOT(ISERROR(SEARCH("超过",F54)))</formula>
    </cfRule>
  </conditionalFormatting>
  <conditionalFormatting sqref="F53 H53">
    <cfRule type="containsText" dxfId="144" priority="17" stopIfTrue="1" operator="containsText" text="超过">
      <formula>NOT(ISERROR(SEARCH("超过",F53)))</formula>
    </cfRule>
  </conditionalFormatting>
  <conditionalFormatting sqref="E52">
    <cfRule type="expression" dxfId="143" priority="16" stopIfTrue="1">
      <formula>$F$52="超过30%"</formula>
    </cfRule>
  </conditionalFormatting>
  <conditionalFormatting sqref="E53">
    <cfRule type="expression" dxfId="142" priority="15" stopIfTrue="1">
      <formula>$F$53="超过20%"</formula>
    </cfRule>
  </conditionalFormatting>
  <conditionalFormatting sqref="E54">
    <cfRule type="expression" dxfId="141" priority="14" stopIfTrue="1">
      <formula>$F$54="超过30%"</formula>
    </cfRule>
  </conditionalFormatting>
  <conditionalFormatting sqref="G54">
    <cfRule type="expression" dxfId="140" priority="13" stopIfTrue="1">
      <formula>$H$54="超过30%"</formula>
    </cfRule>
  </conditionalFormatting>
  <conditionalFormatting sqref="G52">
    <cfRule type="expression" dxfId="139" priority="12" stopIfTrue="1">
      <formula>$H$52="超过30%"</formula>
    </cfRule>
  </conditionalFormatting>
  <conditionalFormatting sqref="G53">
    <cfRule type="expression" dxfId="138" priority="11" stopIfTrue="1">
      <formula>$H$53="超过20%"</formula>
    </cfRule>
  </conditionalFormatting>
  <conditionalFormatting sqref="J52">
    <cfRule type="containsText" dxfId="137" priority="10" stopIfTrue="1" operator="containsText" text="超过">
      <formula>NOT(ISERROR(SEARCH("超过",J52)))</formula>
    </cfRule>
  </conditionalFormatting>
  <conditionalFormatting sqref="J54">
    <cfRule type="containsText" dxfId="136" priority="9" stopIfTrue="1" operator="containsText" text="超过">
      <formula>NOT(ISERROR(SEARCH("超过",J54)))</formula>
    </cfRule>
  </conditionalFormatting>
  <conditionalFormatting sqref="J53">
    <cfRule type="containsText" dxfId="135" priority="8" stopIfTrue="1" operator="containsText" text="超过">
      <formula>NOT(ISERROR(SEARCH("超过",J53)))</formula>
    </cfRule>
  </conditionalFormatting>
  <conditionalFormatting sqref="I52">
    <cfRule type="expression" dxfId="134" priority="7" stopIfTrue="1">
      <formula>$J$52="超过30%"</formula>
    </cfRule>
  </conditionalFormatting>
  <conditionalFormatting sqref="I53">
    <cfRule type="expression" dxfId="133" priority="6" stopIfTrue="1">
      <formula>$J$53="超过20%"</formula>
    </cfRule>
  </conditionalFormatting>
  <conditionalFormatting sqref="I54">
    <cfRule type="expression" dxfId="132" priority="5"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2688</v>
      </c>
      <c r="E1" s="1596" t="s">
        <v>1184</v>
      </c>
      <c r="F1" s="1597"/>
      <c r="G1" s="1598"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1606</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44256</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895064</v>
      </c>
      <c r="D5" s="1603" t="s">
        <v>2666</v>
      </c>
      <c r="E5" s="927"/>
      <c r="F5" s="1056"/>
      <c r="G5" s="951"/>
      <c r="H5" s="232">
        <v>1</v>
      </c>
      <c r="I5" s="233" t="s">
        <v>1955</v>
      </c>
      <c r="J5" s="234">
        <f ca="1">J6+J10+J12</f>
        <v>0</v>
      </c>
      <c r="K5" s="1490" t="s">
        <v>1956</v>
      </c>
      <c r="L5" s="927"/>
      <c r="M5" s="1056"/>
    </row>
    <row r="6" spans="1:37" ht="18" customHeight="1">
      <c r="A6" s="1057" t="s">
        <v>1957</v>
      </c>
      <c r="B6" s="1412" t="s">
        <v>1958</v>
      </c>
      <c r="C6" s="234">
        <f>ROUND(F6*F8*F7*(1-F9),0)</f>
        <v>893947</v>
      </c>
      <c r="D6" s="36" t="s">
        <v>2641</v>
      </c>
      <c r="E6" s="235" t="s">
        <v>1959</v>
      </c>
      <c r="F6" s="236">
        <f>'数据-取费表'!B30</f>
        <v>7.5</v>
      </c>
      <c r="G6" s="951"/>
      <c r="H6" s="1057" t="s">
        <v>1957</v>
      </c>
      <c r="I6" s="1412" t="s">
        <v>1958</v>
      </c>
      <c r="J6" s="234">
        <f>ROUND(M6*M8*M7*(1-M9),0)</f>
        <v>0</v>
      </c>
      <c r="K6" s="36" t="s">
        <v>2641</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362.84</v>
      </c>
      <c r="G7" s="951"/>
      <c r="H7" s="237"/>
      <c r="I7" s="238"/>
      <c r="J7" s="239"/>
      <c r="K7" s="240"/>
      <c r="L7" s="235" t="s">
        <v>1960</v>
      </c>
      <c r="M7" s="236">
        <f>IF('数据-取费表'!B42="",IF(D1="仅计算典型户型",'数据-取费表'!E5,'数据-取费表'!B5),'数据-取费表'!B42)</f>
        <v>362.84</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1117</v>
      </c>
      <c r="D10" s="1492" t="s">
        <v>2647</v>
      </c>
      <c r="E10" s="246" t="s">
        <v>1966</v>
      </c>
      <c r="F10" s="1493" t="s">
        <v>1967</v>
      </c>
      <c r="G10" s="951"/>
      <c r="H10" s="1057" t="s">
        <v>1964</v>
      </c>
      <c r="I10" s="1491" t="s">
        <v>1965</v>
      </c>
      <c r="J10" s="1058">
        <f ca="1">ROUND(IF(M10="押一",J6/12*M11,IF(M10="押二",J6/12*2*M11,IF(M10="押三",J6/12*3*M11,J11*M11))),0)</f>
        <v>0</v>
      </c>
      <c r="K10" s="36" t="s">
        <v>2647</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1567335</v>
      </c>
      <c r="D13" s="1065" t="s">
        <v>1974</v>
      </c>
      <c r="E13" s="1065" t="s">
        <v>1975</v>
      </c>
      <c r="F13" s="1066">
        <f>'数据-取费表'!E20</f>
        <v>0.85</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1269940</v>
      </c>
      <c r="D14" s="1298" t="s">
        <v>1978</v>
      </c>
      <c r="E14" s="1299"/>
      <c r="F14" s="799"/>
      <c r="G14" s="952"/>
      <c r="H14" s="253" t="s">
        <v>1957</v>
      </c>
      <c r="I14" s="235" t="s">
        <v>1979</v>
      </c>
      <c r="J14" s="13">
        <f ca="1">C29</f>
        <v>1843924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38098</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27659</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72568</v>
      </c>
      <c r="D17" s="235" t="s">
        <v>1992</v>
      </c>
      <c r="E17" s="235" t="s">
        <v>1993</v>
      </c>
      <c r="F17" s="15">
        <f>'数据-取费表'!E23</f>
        <v>200</v>
      </c>
      <c r="G17" s="952"/>
      <c r="H17" s="253" t="s">
        <v>1994</v>
      </c>
      <c r="I17" s="235" t="s">
        <v>1995</v>
      </c>
      <c r="J17" s="2792">
        <f>ROUND(IF(AND(项目基本情况!B7="自然人",项目基本情况!B6="北京市"),J6*M17/(1+'数据-取费表'!F30),J18+J19+J20),0)</f>
        <v>0</v>
      </c>
      <c r="K17" s="1298" t="s">
        <v>1996</v>
      </c>
      <c r="L17" s="1301" t="s">
        <v>1997</v>
      </c>
      <c r="M17" s="2791">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19049</v>
      </c>
      <c r="D18" s="235" t="s">
        <v>1982</v>
      </c>
      <c r="E18" s="235" t="s">
        <v>1983</v>
      </c>
      <c r="F18" s="258">
        <f>'数据-取费表'!E24</f>
        <v>1.4999999999999999E-2</v>
      </c>
      <c r="G18" s="951"/>
      <c r="H18" s="253" t="s">
        <v>2000</v>
      </c>
      <c r="I18" s="235" t="s">
        <v>2001</v>
      </c>
      <c r="J18" s="13" t="str">
        <f>IF(项目基本情况!B7="自然人","——",ROUND(J6*M18/(1+'数据-取费表'!F30),0))</f>
        <v>——</v>
      </c>
      <c r="K18" s="1301" t="s">
        <v>2668</v>
      </c>
      <c r="L18" s="235" t="s">
        <v>1983</v>
      </c>
      <c r="M18" s="258">
        <f>'数据-取费表'!E29</f>
        <v>5.6000000000000001E-2</v>
      </c>
    </row>
    <row r="19" spans="1:37" s="257" customFormat="1" ht="18" customHeight="1">
      <c r="A19" s="253" t="s">
        <v>1994</v>
      </c>
      <c r="B19" s="235" t="s">
        <v>2002</v>
      </c>
      <c r="C19" s="13">
        <f>SUM(C14:C18)</f>
        <v>1399655</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27993</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27659</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59962</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-27659</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214147</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1843924</v>
      </c>
      <c r="D29" s="1076"/>
      <c r="E29" s="1074"/>
      <c r="F29" s="1077"/>
      <c r="G29" s="652"/>
      <c r="H29" s="271" t="s">
        <v>24</v>
      </c>
      <c r="I29" s="272" t="s">
        <v>2052</v>
      </c>
      <c r="J29" s="273">
        <f ca="1">ROUND(J26/(1+F40)^F41,0)</f>
        <v>0</v>
      </c>
      <c r="K29" s="274" t="s">
        <v>2053</v>
      </c>
      <c r="L29" s="275"/>
      <c r="M29" s="276">
        <f>IF(D1="仅计算典型户型",'数据-取费表'!E5,'数据-取费表'!B5)</f>
        <v>362.84</v>
      </c>
    </row>
    <row r="30" spans="1:37" ht="18" customHeight="1" thickTop="1">
      <c r="A30" s="1063" t="s">
        <v>14</v>
      </c>
      <c r="B30" s="1064" t="s">
        <v>2054</v>
      </c>
      <c r="C30" s="243">
        <f ca="1">ROUND(C31+C36+C37+C38,0)</f>
        <v>98557</v>
      </c>
      <c r="D30" s="1070" t="s">
        <v>2055</v>
      </c>
      <c r="E30" s="1071"/>
      <c r="F30" s="1072"/>
      <c r="G30" s="652"/>
      <c r="H30" s="931"/>
      <c r="I30" s="932"/>
      <c r="J30" s="933"/>
      <c r="K30" s="934"/>
      <c r="L30" s="935"/>
      <c r="M30" s="936"/>
    </row>
    <row r="31" spans="1:37" ht="18" customHeight="1">
      <c r="A31" s="253" t="s">
        <v>1957</v>
      </c>
      <c r="B31" s="235" t="s">
        <v>1995</v>
      </c>
      <c r="C31" s="2792">
        <f>ROUND(IF(AND(项目基本情况!B7="自然人",项目基本情况!B6="北京市"),C6*F31/(1+'数据-取费表'!F30),C32+C33+C34),0)</f>
        <v>59596</v>
      </c>
      <c r="D31" s="1298" t="s">
        <v>2056</v>
      </c>
      <c r="E31" s="1301" t="s">
        <v>2057</v>
      </c>
      <c r="F31" s="2791">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2667</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2827</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0</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2756</v>
      </c>
      <c r="H35" s="931"/>
      <c r="I35" s="282" t="s">
        <v>2062</v>
      </c>
      <c r="J35" s="283">
        <f>'数据-取费表'!B18</f>
        <v>0</v>
      </c>
      <c r="K35" s="944"/>
      <c r="L35" s="943"/>
      <c r="M35" s="943"/>
    </row>
    <row r="36" spans="1:18" ht="18" customHeight="1">
      <c r="A36" s="1060" t="s">
        <v>1964</v>
      </c>
      <c r="B36" s="235" t="s">
        <v>2063</v>
      </c>
      <c r="C36" s="13">
        <f ca="1">ROUND(C29*F36,0)</f>
        <v>27659</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2351</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8951</v>
      </c>
      <c r="D38" s="1076" t="s">
        <v>2029</v>
      </c>
      <c r="E38" s="1074" t="s">
        <v>2025</v>
      </c>
      <c r="F38" s="1069">
        <f>'数据-取费表'!B47</f>
        <v>0.01</v>
      </c>
      <c r="G38" s="652"/>
      <c r="H38" s="943"/>
      <c r="I38" s="280" t="s">
        <v>2067</v>
      </c>
      <c r="J38" s="136">
        <f ca="1">ROUND(J34/C39,3)</f>
        <v>0</v>
      </c>
      <c r="K38" s="948"/>
      <c r="L38" s="943"/>
      <c r="M38" s="943"/>
    </row>
    <row r="39" spans="1:18" ht="18" customHeight="1" thickTop="1">
      <c r="A39" s="1063" t="s">
        <v>22</v>
      </c>
      <c r="B39" s="1078" t="s">
        <v>2068</v>
      </c>
      <c r="C39" s="243">
        <f ca="1">C5-C30</f>
        <v>796507</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15967211</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2650</v>
      </c>
      <c r="F41" s="270">
        <f>IF('数据-取费表'!B29="租赁期内按合同租金",'数据-取费表'!B35,IF(E41="收益年期(n)",'数据-取费表'!B34,'数据-取费表'!B13))</f>
        <v>29</v>
      </c>
      <c r="H41" s="950"/>
      <c r="I41" s="135" t="s">
        <v>1945</v>
      </c>
      <c r="J41" s="136">
        <f ca="1">ROUND(C13/C40,3)</f>
        <v>9.8000000000000004E-2</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0.90200000000000002</v>
      </c>
      <c r="K42" s="947"/>
      <c r="L42" s="950"/>
      <c r="M42" s="950"/>
      <c r="Q42" s="656"/>
    </row>
    <row r="43" spans="1:18" s="652" customFormat="1" ht="18" customHeight="1" thickBot="1">
      <c r="A43" s="271" t="s">
        <v>24</v>
      </c>
      <c r="B43" s="272" t="s">
        <v>2074</v>
      </c>
      <c r="C43" s="273">
        <f ca="1">ROUND(C40/F43,0)</f>
        <v>44006</v>
      </c>
      <c r="D43" s="274" t="s">
        <v>2075</v>
      </c>
      <c r="E43" s="275" t="s">
        <v>2076</v>
      </c>
      <c r="F43" s="276">
        <f>IF(D1="仅计算典型户型",'数据-取费表'!E5,'数据-取费表'!B5)</f>
        <v>362.84</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15967211</v>
      </c>
      <c r="R45" s="1050" t="s">
        <v>2083</v>
      </c>
    </row>
    <row r="46" spans="1:18" s="652" customFormat="1" ht="18" customHeight="1" thickBot="1">
      <c r="A46" s="649"/>
      <c r="D46" s="649"/>
      <c r="E46" s="649"/>
      <c r="F46" s="649"/>
      <c r="K46" s="653"/>
      <c r="O46" s="1047" t="s">
        <v>950</v>
      </c>
      <c r="P46" s="1048" t="s">
        <v>2084</v>
      </c>
      <c r="Q46" s="1049">
        <f ca="1">J61</f>
        <v>90564</v>
      </c>
      <c r="R46" s="1050" t="s">
        <v>2085</v>
      </c>
    </row>
    <row r="47" spans="1:18" s="652" customFormat="1" ht="21.75" thickBot="1">
      <c r="A47" s="1497" t="s">
        <v>2086</v>
      </c>
      <c r="C47" s="992">
        <f ca="1">IF(C2="元",C69-C40,ROUND((C69-C40)/10000,0))</f>
        <v>-1640</v>
      </c>
      <c r="D47" s="1498" t="str">
        <f>C2</f>
        <v>万元</v>
      </c>
      <c r="E47" s="649"/>
      <c r="F47" s="649"/>
      <c r="I47" s="1499" t="s">
        <v>2087</v>
      </c>
      <c r="J47" s="1023"/>
      <c r="K47" s="1024"/>
      <c r="L47" s="1037">
        <f ca="1">IF(M48="住宅",0,IF(L49&gt;J52,L61,J61))</f>
        <v>90564</v>
      </c>
      <c r="O47" s="1051" t="s">
        <v>951</v>
      </c>
      <c r="P47" s="1048" t="s">
        <v>2088</v>
      </c>
      <c r="Q47" s="1049">
        <f ca="1">C29</f>
        <v>1843924</v>
      </c>
      <c r="R47" s="1050" t="s">
        <v>2083</v>
      </c>
    </row>
    <row r="48" spans="1:18" s="652" customFormat="1" ht="15.75" thickBot="1">
      <c r="A48" s="228" t="s">
        <v>2089</v>
      </c>
      <c r="B48" s="229" t="s">
        <v>2090</v>
      </c>
      <c r="C48" s="229" t="s">
        <v>2091</v>
      </c>
      <c r="D48" s="229" t="s">
        <v>2092</v>
      </c>
      <c r="E48" s="986" t="s">
        <v>2093</v>
      </c>
      <c r="F48" s="987"/>
      <c r="I48" s="1500" t="s">
        <v>2094</v>
      </c>
      <c r="J48" s="1501" t="s">
        <v>3054</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3055</v>
      </c>
      <c r="K49" s="1505" t="s">
        <v>2099</v>
      </c>
      <c r="L49" s="863">
        <f>'数据-取费表'!B13</f>
        <v>29</v>
      </c>
      <c r="O49" s="1051" t="s">
        <v>953</v>
      </c>
      <c r="P49" s="1048" t="s">
        <v>2100</v>
      </c>
      <c r="Q49" s="1052">
        <f>J53</f>
        <v>7.4999999999999997E-2</v>
      </c>
      <c r="R49" s="1050"/>
    </row>
    <row r="50" spans="1:18" s="652" customFormat="1" ht="15.75" thickBot="1">
      <c r="A50" s="260" t="s">
        <v>1957</v>
      </c>
      <c r="B50" s="1412" t="s">
        <v>2101</v>
      </c>
      <c r="C50" s="234">
        <f>ROUND(F50*F52*F51*(1-F53),0)</f>
        <v>0</v>
      </c>
      <c r="D50" s="42" t="s">
        <v>2642</v>
      </c>
      <c r="E50" s="1506" t="s">
        <v>2102</v>
      </c>
      <c r="F50" s="988"/>
      <c r="I50" s="1503" t="s">
        <v>2103</v>
      </c>
      <c r="J50" s="863">
        <f>'数据-取费表'!B27</f>
        <v>2013</v>
      </c>
      <c r="K50" s="1507" t="s">
        <v>2104</v>
      </c>
      <c r="L50" s="1026"/>
      <c r="O50" s="1051" t="s">
        <v>954</v>
      </c>
      <c r="P50" s="1048" t="s">
        <v>2105</v>
      </c>
      <c r="Q50" s="1049">
        <f>J54</f>
        <v>29</v>
      </c>
      <c r="R50" s="1050" t="s">
        <v>2106</v>
      </c>
    </row>
    <row r="51" spans="1:18" s="652" customFormat="1" ht="15.75" thickBot="1">
      <c r="A51" s="237"/>
      <c r="B51" s="238"/>
      <c r="C51" s="239"/>
      <c r="D51" s="240"/>
      <c r="E51" s="255" t="s">
        <v>1960</v>
      </c>
      <c r="F51" s="985">
        <f>F7</f>
        <v>362.84</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1606</v>
      </c>
      <c r="R51" s="1050" t="s">
        <v>956</v>
      </c>
    </row>
    <row r="52" spans="1:18" s="652" customFormat="1" ht="16.5" thickBot="1">
      <c r="A52" s="237"/>
      <c r="B52" s="238"/>
      <c r="C52" s="239"/>
      <c r="D52" s="240"/>
      <c r="E52" s="235" t="s">
        <v>1962</v>
      </c>
      <c r="F52" s="236">
        <f>F8</f>
        <v>365</v>
      </c>
      <c r="I52" s="1508" t="s">
        <v>2109</v>
      </c>
      <c r="J52" s="1028">
        <f>IF(J50="",J51,J50+J51-YEAR('数据-取费表'!B2))</f>
        <v>51</v>
      </c>
      <c r="K52" s="1509" t="s">
        <v>2110</v>
      </c>
      <c r="L52" s="1029">
        <f ca="1">ROUND(-PV('数据-取费表'!B15,J52,(C40-C13*J35)),0)</f>
        <v>292822309</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2648</v>
      </c>
      <c r="E54" s="246" t="s">
        <v>1966</v>
      </c>
      <c r="F54" s="1493"/>
      <c r="I54" s="1599" t="s">
        <v>2651</v>
      </c>
      <c r="J54" s="1031">
        <f>IF(M48="住宅",IF(E1="——",MAX(J52,L49),MAX(J52,L49-'数据-取费表'!B26)),IF(E1="——",MIN(J52,L49),MIN(J52,L49-'数据-取费表'!B26)))</f>
        <v>29</v>
      </c>
      <c r="K54" s="3626" t="s">
        <v>2640</v>
      </c>
      <c r="L54" s="3627"/>
      <c r="O54" s="1047" t="s">
        <v>949</v>
      </c>
      <c r="P54" s="1048" t="s">
        <v>2082</v>
      </c>
      <c r="Q54" s="1049">
        <f ca="1">C40+J29</f>
        <v>15967211</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0.36699999999999999</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1567335</v>
      </c>
      <c r="D57" s="983"/>
      <c r="E57" s="984"/>
      <c r="F57" s="991"/>
      <c r="I57" s="1517" t="s">
        <v>2119</v>
      </c>
      <c r="J57" s="1035" t="s">
        <v>2984</v>
      </c>
      <c r="K57" s="1503" t="s">
        <v>2120</v>
      </c>
      <c r="L57" s="863" t="str">
        <f>IF(L49&lt;J52,"——",L49-J52)</f>
        <v>——</v>
      </c>
      <c r="O57" s="1051" t="s">
        <v>952</v>
      </c>
      <c r="P57" s="1048" t="s">
        <v>2121</v>
      </c>
      <c r="Q57" s="1052">
        <f>L53</f>
        <v>0</v>
      </c>
      <c r="R57" s="1050"/>
    </row>
    <row r="58" spans="1:18" s="652" customFormat="1" ht="29.25" thickBot="1">
      <c r="A58" s="990"/>
      <c r="B58" s="235" t="s">
        <v>2051</v>
      </c>
      <c r="C58" s="104">
        <f ca="1">C29</f>
        <v>1843924</v>
      </c>
      <c r="D58" s="983"/>
      <c r="E58" s="984"/>
      <c r="F58" s="991"/>
      <c r="I58" s="1518" t="s">
        <v>2122</v>
      </c>
      <c r="J58" s="1034">
        <f>IF(OR(M48="住宅",J52&lt;L49,J57="是"),"——",J52-L49)</f>
        <v>22</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30010</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2">
        <f>ROUND(IF(AND(项目基本情况!B7="自然人",项目基本情况!B6="北京市"),C50*F60/(1+'数据-取费表'!F30),C61+C62+C63),0)</f>
        <v>0</v>
      </c>
      <c r="D60" s="1298" t="s">
        <v>2056</v>
      </c>
      <c r="E60" s="1301" t="s">
        <v>2057</v>
      </c>
      <c r="F60" s="2791">
        <f>IF(项目基本情况!B7="企业","——",IF('数据-取费表'!B10="住宅",IF(F50*F51*F52/12/(1+'数据-取费表'!F30)&gt;100000,4%,2.5%),IF(F50*F51*F52/12/(1+'数据-取费表'!F30)&gt;100000,12%,7%)))</f>
        <v>7.0000000000000007E-2</v>
      </c>
      <c r="I60" s="1518" t="s">
        <v>2129</v>
      </c>
      <c r="J60" s="1034">
        <f ca="1">IF(OR(M48="住宅",J52&lt;L49,J57="是"),"——",ROUND(C29*J59,0))</f>
        <v>737570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1597</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f ca="1">IF(OR(M48="住宅",J52&lt;L49,J57="是"),"0",ROUND(J60/(1+J53)^J54,0))</f>
        <v>90564</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15967211</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27659</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292822309</v>
      </c>
      <c r="R65" s="1054" t="s">
        <v>2145</v>
      </c>
    </row>
    <row r="66" spans="1:18" s="652" customFormat="1" ht="20.25" thickBot="1">
      <c r="A66" s="253" t="s">
        <v>20</v>
      </c>
      <c r="B66" s="235" t="s">
        <v>2023</v>
      </c>
      <c r="C66" s="13">
        <f ca="1">ROUND(C57*F66,0)</f>
        <v>2351</v>
      </c>
      <c r="D66" s="1301" t="s">
        <v>2024</v>
      </c>
      <c r="E66" s="235" t="s">
        <v>2025</v>
      </c>
      <c r="F66" s="266">
        <f t="shared" si="0"/>
        <v>1.5E-3</v>
      </c>
      <c r="I66" s="1521" t="s">
        <v>2146</v>
      </c>
      <c r="J66" s="1293">
        <v>40</v>
      </c>
      <c r="K66" s="1293">
        <v>30</v>
      </c>
      <c r="L66" s="1293">
        <v>50</v>
      </c>
      <c r="M66" s="1291">
        <v>0.02</v>
      </c>
      <c r="O66" s="1051" t="s">
        <v>952</v>
      </c>
      <c r="P66" s="1055" t="s">
        <v>2147</v>
      </c>
      <c r="Q66" s="1049">
        <f ca="1">ROUND(Q67-Q68*Q69,0)</f>
        <v>796507</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796507</v>
      </c>
      <c r="R67" s="1050" t="s">
        <v>2083</v>
      </c>
    </row>
    <row r="68" spans="1:18" ht="15.75" thickBot="1">
      <c r="A68" s="248" t="s">
        <v>22</v>
      </c>
      <c r="B68" s="41" t="s">
        <v>2033</v>
      </c>
      <c r="C68" s="250">
        <f ca="1">C49-C59</f>
        <v>-30010</v>
      </c>
      <c r="D68" s="1298" t="s">
        <v>2034</v>
      </c>
      <c r="E68" s="1300"/>
      <c r="F68" s="268"/>
      <c r="H68" s="652"/>
      <c r="I68" s="652"/>
      <c r="J68" s="652"/>
      <c r="K68" s="652"/>
      <c r="L68" s="652"/>
      <c r="M68" s="652"/>
      <c r="O68" s="1051" t="s">
        <v>958</v>
      </c>
      <c r="P68" s="1055" t="s">
        <v>2149</v>
      </c>
      <c r="Q68" s="1049">
        <f ca="1">C13</f>
        <v>1567335</v>
      </c>
      <c r="R68" s="1050" t="s">
        <v>2083</v>
      </c>
    </row>
    <row r="69" spans="1:18" ht="15.75" thickBot="1">
      <c r="A69" s="232" t="s">
        <v>23</v>
      </c>
      <c r="B69" s="233" t="s">
        <v>2071</v>
      </c>
      <c r="C69" s="234">
        <f ca="1">ROUND(C68*(1-((1+F71)/(1+F69))^F70)/(F69-F71),0)</f>
        <v>-430136</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29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-1185</v>
      </c>
      <c r="D72" s="274" t="s">
        <v>2075</v>
      </c>
      <c r="E72" s="275" t="s">
        <v>2076</v>
      </c>
      <c r="F72" s="276">
        <f>F43</f>
        <v>362.84</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1597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2976</v>
      </c>
      <c r="B1" s="3130"/>
      <c r="C1" s="3136"/>
      <c r="D1" s="3136"/>
      <c r="E1" s="3131"/>
      <c r="F1" s="3132"/>
      <c r="G1" s="3225"/>
      <c r="J1" s="3228" t="s">
        <v>2832</v>
      </c>
      <c r="K1" s="3229"/>
      <c r="L1" s="3229"/>
      <c r="M1" s="3229"/>
      <c r="N1" s="3229"/>
      <c r="O1" s="3229"/>
      <c r="P1" s="3229"/>
      <c r="Q1" s="3229"/>
      <c r="R1" s="3230"/>
      <c r="S1" s="3231"/>
      <c r="T1" s="3231"/>
      <c r="U1" s="3231"/>
    </row>
    <row r="2" spans="1:23" s="3139" customFormat="1" ht="13.15" customHeight="1">
      <c r="A2" s="3134" t="s">
        <v>2833</v>
      </c>
      <c r="B2" s="3135" t="e">
        <f>C40</f>
        <v>#DIV/0!</v>
      </c>
      <c r="C2" s="3136" t="s">
        <v>2834</v>
      </c>
      <c r="D2" s="3136"/>
      <c r="E2" s="3137"/>
      <c r="F2" s="3138"/>
      <c r="G2" s="3232"/>
      <c r="H2" s="3233"/>
      <c r="I2" s="3234"/>
      <c r="J2" s="3628" t="s">
        <v>2835</v>
      </c>
      <c r="K2" s="3629"/>
      <c r="L2" s="3235" t="s">
        <v>2836</v>
      </c>
      <c r="M2" s="3235" t="s">
        <v>2837</v>
      </c>
      <c r="N2" s="3235" t="s">
        <v>2838</v>
      </c>
      <c r="O2" s="3235" t="s">
        <v>2839</v>
      </c>
      <c r="P2" s="3235" t="s">
        <v>2840</v>
      </c>
      <c r="Q2" s="3236" t="s">
        <v>2841</v>
      </c>
      <c r="R2" s="3237" t="s">
        <v>2842</v>
      </c>
      <c r="S2" s="3231"/>
      <c r="T2" s="3231"/>
      <c r="U2" s="3231"/>
      <c r="V2" s="3234"/>
      <c r="W2" s="3233"/>
    </row>
    <row r="3" spans="1:23" s="3139" customFormat="1" ht="13.15" customHeight="1">
      <c r="A3" s="3141" t="s">
        <v>2843</v>
      </c>
      <c r="B3" s="3142" t="e">
        <f>ROUND(B2*10000/B4,0)</f>
        <v>#DIV/0!</v>
      </c>
      <c r="C3" s="3136" t="s">
        <v>2844</v>
      </c>
      <c r="D3" s="3136"/>
      <c r="E3" s="3137"/>
      <c r="F3" s="3138"/>
      <c r="G3" s="3232"/>
      <c r="H3" s="3233"/>
      <c r="I3" s="3234"/>
      <c r="J3" s="3630" t="s">
        <v>2845</v>
      </c>
      <c r="K3" s="3631"/>
      <c r="L3" s="3238"/>
      <c r="M3" s="3238"/>
      <c r="N3" s="3238"/>
      <c r="O3" s="3238"/>
      <c r="P3" s="3238"/>
      <c r="Q3" s="3239"/>
      <c r="R3" s="3240">
        <f>SUM(L3:Q3)</f>
        <v>0</v>
      </c>
      <c r="S3" s="3231"/>
      <c r="T3" s="3231"/>
      <c r="U3" s="3231"/>
      <c r="V3" s="3234"/>
      <c r="W3" s="3233"/>
    </row>
    <row r="4" spans="1:23" s="3139" customFormat="1" ht="13.15" customHeight="1">
      <c r="A4" s="3143" t="s">
        <v>2846</v>
      </c>
      <c r="B4" s="3200"/>
      <c r="C4" s="3136"/>
      <c r="D4" s="3136"/>
      <c r="E4" s="3137"/>
      <c r="F4" s="3138"/>
      <c r="G4" s="3232"/>
      <c r="H4" s="3233"/>
      <c r="I4" s="3234"/>
      <c r="J4" s="3630" t="s">
        <v>2847</v>
      </c>
      <c r="K4" s="3631"/>
      <c r="L4" s="3241"/>
      <c r="M4" s="3241"/>
      <c r="N4" s="3241"/>
      <c r="O4" s="3241"/>
      <c r="P4" s="3241"/>
      <c r="Q4" s="3242"/>
      <c r="R4" s="3243">
        <f>SUM(L4:Q4)</f>
        <v>0</v>
      </c>
      <c r="S4" s="3231"/>
      <c r="T4" s="3231"/>
      <c r="U4" s="3231"/>
      <c r="V4" s="3234"/>
      <c r="W4" s="3233"/>
    </row>
    <row r="5" spans="1:23" s="3139" customFormat="1" ht="13.15" customHeight="1" thickBot="1">
      <c r="A5" s="3144" t="s">
        <v>2848</v>
      </c>
      <c r="B5" s="3201"/>
      <c r="C5" s="3136"/>
      <c r="D5" s="3145"/>
      <c r="E5" s="3138"/>
      <c r="F5" s="3138"/>
      <c r="G5" s="3232"/>
      <c r="H5" s="3233"/>
      <c r="I5" s="3234"/>
      <c r="J5" s="3244" t="s">
        <v>2849</v>
      </c>
      <c r="K5" s="3245"/>
      <c r="L5" s="3245"/>
      <c r="M5" s="3246"/>
      <c r="N5" s="3246"/>
      <c r="O5" s="3246"/>
      <c r="P5" s="3246"/>
      <c r="Q5" s="3246"/>
      <c r="R5" s="3237">
        <f>SUM(R14,R19,R24,R25,R27,R28)</f>
        <v>0</v>
      </c>
      <c r="S5" s="3231"/>
      <c r="T5" s="3231" t="s">
        <v>2850</v>
      </c>
      <c r="U5" s="3231" t="e">
        <f>ROUND(R5*10000/365/R3,1)</f>
        <v>#DIV/0!</v>
      </c>
      <c r="V5" s="3234"/>
      <c r="W5" s="3233"/>
    </row>
    <row r="6" spans="1:23" s="3139" customFormat="1" ht="13.15" customHeight="1" thickBot="1">
      <c r="A6" s="3632" t="s">
        <v>2851</v>
      </c>
      <c r="B6" s="3633"/>
      <c r="C6" s="3634"/>
      <c r="D6" s="3202"/>
      <c r="E6" s="3146"/>
      <c r="F6" s="3147"/>
      <c r="G6" s="3247"/>
      <c r="H6" s="3233"/>
      <c r="I6" s="3234"/>
      <c r="J6" s="3635">
        <v>1</v>
      </c>
      <c r="K6" s="3636" t="s">
        <v>2852</v>
      </c>
      <c r="L6" s="3248" t="s">
        <v>2853</v>
      </c>
      <c r="M6" s="3249" t="s">
        <v>2854</v>
      </c>
      <c r="N6" s="3249" t="s">
        <v>2855</v>
      </c>
      <c r="O6" s="3249" t="s">
        <v>2856</v>
      </c>
      <c r="P6" s="3249" t="s">
        <v>2857</v>
      </c>
      <c r="Q6" s="3249" t="s">
        <v>2858</v>
      </c>
      <c r="R6" s="3240" t="s">
        <v>2859</v>
      </c>
      <c r="S6" s="3231"/>
      <c r="T6" s="3231" t="s">
        <v>2860</v>
      </c>
      <c r="U6" s="3231"/>
      <c r="V6" s="3234"/>
      <c r="W6" s="3233"/>
    </row>
    <row r="7" spans="1:23" s="3139" customFormat="1" ht="13.15" customHeight="1">
      <c r="A7" s="3149" t="s">
        <v>2861</v>
      </c>
      <c r="B7" s="3150"/>
      <c r="C7" s="3151"/>
      <c r="D7" s="3152">
        <f>SUM(D9,D10,D11,D17,0)</f>
        <v>0</v>
      </c>
      <c r="E7" s="3153" t="e">
        <f>E9+E10+E11+E17</f>
        <v>#DIV/0!</v>
      </c>
      <c r="F7" s="3154"/>
      <c r="G7" s="3250"/>
      <c r="H7" s="3233"/>
      <c r="I7" s="3234"/>
      <c r="J7" s="3635"/>
      <c r="K7" s="3637"/>
      <c r="L7" s="3251" t="s">
        <v>2961</v>
      </c>
      <c r="M7" s="3252"/>
      <c r="N7" s="3252"/>
      <c r="O7" s="3253"/>
      <c r="P7" s="3253"/>
      <c r="Q7" s="3254">
        <v>365</v>
      </c>
      <c r="R7" s="3255">
        <f>ROUND(M7*N7*O7*P7*Q7/10000,0)</f>
        <v>0</v>
      </c>
      <c r="S7" s="3231"/>
      <c r="T7" s="3231" t="s">
        <v>2862</v>
      </c>
      <c r="U7" s="3231"/>
      <c r="V7" s="3234"/>
      <c r="W7" s="3233"/>
    </row>
    <row r="8" spans="1:23" s="3139" customFormat="1" ht="13.15" customHeight="1">
      <c r="A8" s="3155" t="s">
        <v>2863</v>
      </c>
      <c r="B8" s="3639" t="s">
        <v>2864</v>
      </c>
      <c r="C8" s="3640"/>
      <c r="D8" s="3156" t="s">
        <v>2865</v>
      </c>
      <c r="E8" s="3157" t="s">
        <v>2866</v>
      </c>
      <c r="F8" s="3140" t="s">
        <v>2867</v>
      </c>
      <c r="G8" s="3310" t="s">
        <v>2975</v>
      </c>
      <c r="H8" s="3233"/>
      <c r="I8" s="3234"/>
      <c r="J8" s="3635"/>
      <c r="K8" s="3637"/>
      <c r="L8" s="3251" t="s">
        <v>2962</v>
      </c>
      <c r="M8" s="3252"/>
      <c r="N8" s="3252"/>
      <c r="O8" s="3253"/>
      <c r="P8" s="3253"/>
      <c r="Q8" s="3254">
        <v>365</v>
      </c>
      <c r="R8" s="3255">
        <f t="shared" ref="R8:R13" si="0">ROUND(M8*N8*O8*P8*Q8/10000,0)</f>
        <v>0</v>
      </c>
      <c r="S8" s="3231"/>
      <c r="T8" s="3231" t="s">
        <v>2868</v>
      </c>
      <c r="U8" s="3231"/>
      <c r="V8" s="3234"/>
      <c r="W8" s="3233"/>
    </row>
    <row r="9" spans="1:23" s="3139" customFormat="1" ht="13.15" customHeight="1">
      <c r="A9" s="3155">
        <v>1</v>
      </c>
      <c r="B9" s="3639" t="s">
        <v>2869</v>
      </c>
      <c r="C9" s="3640"/>
      <c r="D9" s="3156">
        <f>ROUND(D6*E9,0)</f>
        <v>0</v>
      </c>
      <c r="E9" s="3203"/>
      <c r="F9" s="3158" t="s">
        <v>2870</v>
      </c>
      <c r="G9" s="3256" t="s">
        <v>2973</v>
      </c>
      <c r="H9" s="3233"/>
      <c r="I9" s="3234"/>
      <c r="J9" s="3635"/>
      <c r="K9" s="3637"/>
      <c r="L9" s="3251" t="s">
        <v>2963</v>
      </c>
      <c r="M9" s="3252"/>
      <c r="N9" s="3252"/>
      <c r="O9" s="3253"/>
      <c r="P9" s="3253"/>
      <c r="Q9" s="3254">
        <v>365</v>
      </c>
      <c r="R9" s="3255">
        <f t="shared" si="0"/>
        <v>0</v>
      </c>
      <c r="S9" s="3231"/>
      <c r="T9" s="3231"/>
      <c r="U9" s="3231"/>
      <c r="V9" s="3234"/>
      <c r="W9" s="3233"/>
    </row>
    <row r="10" spans="1:23" s="3139" customFormat="1" ht="13.15" customHeight="1">
      <c r="A10" s="3155">
        <v>2</v>
      </c>
      <c r="B10" s="3639" t="s">
        <v>2871</v>
      </c>
      <c r="C10" s="3640"/>
      <c r="D10" s="3156">
        <f>ROUND(D6*E10,0)</f>
        <v>0</v>
      </c>
      <c r="E10" s="3203"/>
      <c r="F10" s="3158" t="s">
        <v>2872</v>
      </c>
      <c r="G10" s="3256" t="s">
        <v>2974</v>
      </c>
      <c r="H10" s="3233"/>
      <c r="I10" s="3234"/>
      <c r="J10" s="3635"/>
      <c r="K10" s="3637"/>
      <c r="L10" s="3251" t="s">
        <v>2964</v>
      </c>
      <c r="M10" s="3252"/>
      <c r="N10" s="3252"/>
      <c r="O10" s="3253"/>
      <c r="P10" s="3253"/>
      <c r="Q10" s="3254">
        <v>365</v>
      </c>
      <c r="R10" s="3255">
        <f t="shared" si="0"/>
        <v>0</v>
      </c>
      <c r="S10" s="3231"/>
      <c r="T10" s="3231"/>
      <c r="U10" s="3231"/>
      <c r="V10" s="3234"/>
      <c r="W10" s="3233"/>
    </row>
    <row r="11" spans="1:23" s="3139" customFormat="1" ht="13.15" customHeight="1">
      <c r="A11" s="3155">
        <v>3</v>
      </c>
      <c r="B11" s="3639" t="s">
        <v>2873</v>
      </c>
      <c r="C11" s="3640"/>
      <c r="D11" s="3156">
        <f>D12+D14+D15+D16</f>
        <v>0</v>
      </c>
      <c r="E11" s="3159" t="e">
        <f>D11/D6</f>
        <v>#DIV/0!</v>
      </c>
      <c r="F11" s="3140"/>
      <c r="G11" s="3256"/>
      <c r="H11" s="3233"/>
      <c r="I11" s="3234"/>
      <c r="J11" s="3635"/>
      <c r="K11" s="3637"/>
      <c r="L11" s="3251" t="s">
        <v>2965</v>
      </c>
      <c r="M11" s="3252"/>
      <c r="N11" s="3252"/>
      <c r="O11" s="3253"/>
      <c r="P11" s="3253"/>
      <c r="Q11" s="3254">
        <v>365</v>
      </c>
      <c r="R11" s="3255">
        <f t="shared" si="0"/>
        <v>0</v>
      </c>
      <c r="S11" s="3231"/>
      <c r="T11" s="3231"/>
      <c r="U11" s="3231"/>
      <c r="V11" s="3234"/>
      <c r="W11" s="3233"/>
    </row>
    <row r="12" spans="1:23" s="3139" customFormat="1" ht="13.15" customHeight="1">
      <c r="A12" s="3160" t="s">
        <v>2874</v>
      </c>
      <c r="B12" s="3641" t="s">
        <v>2875</v>
      </c>
      <c r="C12" s="3642"/>
      <c r="D12" s="3161">
        <f>ROUND(D13*1.2%*(1-30%),0)</f>
        <v>0</v>
      </c>
      <c r="E12" s="3162">
        <v>1.2E-2</v>
      </c>
      <c r="F12" s="3140" t="s">
        <v>2876</v>
      </c>
      <c r="G12" s="3256"/>
      <c r="H12" s="3233"/>
      <c r="I12" s="3234"/>
      <c r="J12" s="3635"/>
      <c r="K12" s="3637"/>
      <c r="L12" s="3251" t="s">
        <v>2966</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2877</v>
      </c>
      <c r="D13" s="3204"/>
      <c r="E13" s="3165"/>
      <c r="F13" s="3140"/>
      <c r="G13" s="3256"/>
      <c r="H13" s="3233"/>
      <c r="I13" s="3234"/>
      <c r="J13" s="3635"/>
      <c r="K13" s="3637"/>
      <c r="L13" s="3251" t="s">
        <v>2967</v>
      </c>
      <c r="M13" s="3252"/>
      <c r="N13" s="3252"/>
      <c r="O13" s="3253"/>
      <c r="P13" s="3253"/>
      <c r="Q13" s="3254">
        <v>365</v>
      </c>
      <c r="R13" s="3255">
        <f t="shared" si="0"/>
        <v>0</v>
      </c>
      <c r="S13" s="3231"/>
      <c r="T13" s="3231"/>
      <c r="U13" s="3231"/>
      <c r="V13" s="3234"/>
      <c r="W13" s="3233"/>
    </row>
    <row r="14" spans="1:23" s="3139" customFormat="1" ht="13.15" customHeight="1">
      <c r="A14" s="3160" t="s">
        <v>2878</v>
      </c>
      <c r="B14" s="3641" t="s">
        <v>2879</v>
      </c>
      <c r="C14" s="3642"/>
      <c r="D14" s="3161">
        <f>ROUND(E14*B5/10000,0)</f>
        <v>0</v>
      </c>
      <c r="E14" s="3205"/>
      <c r="F14" s="3140" t="s">
        <v>2880</v>
      </c>
      <c r="G14" s="3256"/>
      <c r="H14" s="3233"/>
      <c r="I14" s="3234"/>
      <c r="J14" s="3635"/>
      <c r="K14" s="3638"/>
      <c r="L14" s="3257" t="s">
        <v>2881</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2882</v>
      </c>
      <c r="B15" s="3641" t="s">
        <v>2883</v>
      </c>
      <c r="C15" s="3642"/>
      <c r="D15" s="3161">
        <f>ROUND(D6*E15,0)</f>
        <v>0</v>
      </c>
      <c r="E15" s="3162">
        <v>5.5E-2</v>
      </c>
      <c r="F15" s="3140" t="s">
        <v>2884</v>
      </c>
      <c r="G15" s="3256"/>
      <c r="H15" s="3233"/>
      <c r="I15" s="3234"/>
      <c r="J15" s="3635">
        <v>2</v>
      </c>
      <c r="K15" s="3636" t="s">
        <v>2885</v>
      </c>
      <c r="L15" s="3261" t="s">
        <v>2886</v>
      </c>
      <c r="M15" s="3262" t="s">
        <v>2887</v>
      </c>
      <c r="N15" s="3262" t="s">
        <v>2888</v>
      </c>
      <c r="O15" s="3263" t="s">
        <v>2889</v>
      </c>
      <c r="P15" s="3263" t="s">
        <v>2890</v>
      </c>
      <c r="Q15" s="3200" t="s">
        <v>2891</v>
      </c>
      <c r="R15" s="3264" t="s">
        <v>2892</v>
      </c>
      <c r="S15" s="3231"/>
      <c r="T15" s="3231"/>
      <c r="U15" s="3231"/>
      <c r="V15" s="3234"/>
      <c r="W15" s="3233"/>
    </row>
    <row r="16" spans="1:23" s="3139" customFormat="1" ht="13.15" customHeight="1">
      <c r="A16" s="3160" t="s">
        <v>2893</v>
      </c>
      <c r="B16" s="3641" t="s">
        <v>2894</v>
      </c>
      <c r="C16" s="3642"/>
      <c r="D16" s="3206">
        <f>D6*E16</f>
        <v>0</v>
      </c>
      <c r="E16" s="3207"/>
      <c r="F16" s="3158" t="s">
        <v>2895</v>
      </c>
      <c r="G16" s="3256"/>
      <c r="H16" s="3233"/>
      <c r="I16" s="3234"/>
      <c r="J16" s="3635"/>
      <c r="K16" s="3637"/>
      <c r="L16" s="3251" t="s">
        <v>2968</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643" t="s">
        <v>2896</v>
      </c>
      <c r="C17" s="3644"/>
      <c r="D17" s="3167">
        <f>ROUND(D6*E17,0)</f>
        <v>0</v>
      </c>
      <c r="E17" s="3208"/>
      <c r="F17" s="3168" t="s">
        <v>2897</v>
      </c>
      <c r="G17" s="3309">
        <v>0.1</v>
      </c>
      <c r="H17" s="3233"/>
      <c r="I17" s="3234"/>
      <c r="J17" s="3635"/>
      <c r="K17" s="3637"/>
      <c r="L17" s="3251" t="s">
        <v>2969</v>
      </c>
      <c r="M17" s="3252"/>
      <c r="N17" s="3252"/>
      <c r="O17" s="3253"/>
      <c r="P17" s="3254">
        <v>365</v>
      </c>
      <c r="Q17" s="3252"/>
      <c r="R17" s="3265">
        <f>ROUND(M17*N17*O17*P17/10000,0)</f>
        <v>0</v>
      </c>
      <c r="S17" s="3231"/>
      <c r="T17" s="3231"/>
      <c r="U17" s="3231"/>
      <c r="V17" s="3234"/>
      <c r="W17" s="3233"/>
    </row>
    <row r="18" spans="1:23" s="3139" customFormat="1" ht="13.15" customHeight="1" thickBot="1">
      <c r="A18" s="3149" t="s">
        <v>2898</v>
      </c>
      <c r="B18" s="3150"/>
      <c r="C18" s="3150"/>
      <c r="D18" s="3169">
        <f>ROUND(D6*E18,0)</f>
        <v>0</v>
      </c>
      <c r="E18" s="3209"/>
      <c r="F18" s="3170" t="s">
        <v>2899</v>
      </c>
      <c r="G18" s="3309">
        <v>0.05</v>
      </c>
      <c r="H18" s="3233"/>
      <c r="I18" s="3234"/>
      <c r="J18" s="3635"/>
      <c r="K18" s="3637"/>
      <c r="L18" s="3251" t="s">
        <v>2970</v>
      </c>
      <c r="M18" s="3252"/>
      <c r="N18" s="3252"/>
      <c r="O18" s="3253"/>
      <c r="P18" s="3254">
        <v>365</v>
      </c>
      <c r="Q18" s="3252"/>
      <c r="R18" s="3265">
        <f>ROUND(M18*N18*O18*P18/10000,0)</f>
        <v>0</v>
      </c>
      <c r="S18" s="3231"/>
      <c r="T18" s="3231"/>
      <c r="U18" s="3231"/>
      <c r="V18" s="3234"/>
      <c r="W18" s="3233"/>
    </row>
    <row r="19" spans="1:23" s="3139" customFormat="1" ht="13.15" customHeight="1" thickBot="1">
      <c r="A19" s="3171" t="s">
        <v>2900</v>
      </c>
      <c r="B19" s="3146"/>
      <c r="C19" s="3146"/>
      <c r="D19" s="3146"/>
      <c r="E19" s="3146"/>
      <c r="F19" s="3147"/>
      <c r="G19" s="3256"/>
      <c r="H19" s="3233"/>
      <c r="I19" s="3234"/>
      <c r="J19" s="3635"/>
      <c r="K19" s="3638"/>
      <c r="L19" s="3257" t="s">
        <v>2881</v>
      </c>
      <c r="M19" s="3258"/>
      <c r="N19" s="3258">
        <f>SUM(N16:N18)</f>
        <v>0</v>
      </c>
      <c r="O19" s="3259"/>
      <c r="P19" s="3266" t="s">
        <v>2971</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635">
        <v>3</v>
      </c>
      <c r="K20" s="3636" t="s">
        <v>2901</v>
      </c>
      <c r="L20" s="3261" t="s">
        <v>2902</v>
      </c>
      <c r="M20" s="3262" t="s">
        <v>2903</v>
      </c>
      <c r="N20" s="3268" t="s">
        <v>2904</v>
      </c>
      <c r="O20" s="3263" t="s">
        <v>2905</v>
      </c>
      <c r="P20" s="3205" t="s">
        <v>2890</v>
      </c>
      <c r="Q20" s="3200" t="s">
        <v>2891</v>
      </c>
      <c r="R20" s="3264" t="s">
        <v>2892</v>
      </c>
      <c r="S20" s="3269"/>
      <c r="T20" s="3269"/>
      <c r="U20" s="3269"/>
      <c r="V20" s="3234"/>
      <c r="W20" s="3233"/>
    </row>
    <row r="21" spans="1:23" s="3139" customFormat="1" ht="13.15" customHeight="1">
      <c r="A21" s="3149"/>
      <c r="B21" s="3150"/>
      <c r="C21" s="3173" t="s">
        <v>2906</v>
      </c>
      <c r="D21" s="3174" t="s">
        <v>2907</v>
      </c>
      <c r="E21" s="3175" t="s">
        <v>2908</v>
      </c>
      <c r="F21" s="3172"/>
      <c r="G21" s="3256"/>
      <c r="H21" s="3233"/>
      <c r="I21" s="3234"/>
      <c r="J21" s="3635"/>
      <c r="K21" s="3637"/>
      <c r="L21" s="3261" t="s">
        <v>2909</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2910</v>
      </c>
      <c r="D22" s="3211" t="s">
        <v>2911</v>
      </c>
      <c r="E22" s="3212" t="s">
        <v>2912</v>
      </c>
      <c r="F22" s="3172"/>
      <c r="G22" s="3271"/>
      <c r="H22" s="3233"/>
      <c r="I22" s="3234"/>
      <c r="J22" s="3635"/>
      <c r="K22" s="3637"/>
      <c r="L22" s="3261" t="s">
        <v>2913</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2914</v>
      </c>
      <c r="C23" s="3177">
        <f>D6</f>
        <v>0</v>
      </c>
      <c r="D23" s="3178">
        <f>C23*(1+D24)</f>
        <v>0</v>
      </c>
      <c r="E23" s="3179">
        <f>D23*(1+E24)</f>
        <v>0</v>
      </c>
      <c r="F23" s="3180"/>
      <c r="G23" s="3272"/>
      <c r="H23" s="3233"/>
      <c r="I23" s="3234"/>
      <c r="J23" s="3635"/>
      <c r="K23" s="3637"/>
      <c r="L23" s="3261" t="s">
        <v>2915</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2916</v>
      </c>
      <c r="C24" s="3183"/>
      <c r="D24" s="3213"/>
      <c r="E24" s="3214"/>
      <c r="F24" s="3184"/>
      <c r="G24" s="3272"/>
      <c r="H24" s="3233"/>
      <c r="I24" s="3234"/>
      <c r="J24" s="3635"/>
      <c r="K24" s="3638"/>
      <c r="L24" s="3257" t="s">
        <v>2881</v>
      </c>
      <c r="M24" s="3258">
        <f>SUM(M21:M23)</f>
        <v>0</v>
      </c>
      <c r="N24" s="3258"/>
      <c r="O24" s="3259"/>
      <c r="P24" s="3266" t="s">
        <v>2971</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2917</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2918</v>
      </c>
      <c r="C26" s="3177">
        <f>D7</f>
        <v>0</v>
      </c>
      <c r="D26" s="3178">
        <f>D23*D27</f>
        <v>0</v>
      </c>
      <c r="E26" s="3179">
        <f>E23*E27</f>
        <v>0</v>
      </c>
      <c r="F26" s="3180"/>
      <c r="G26" s="3272"/>
      <c r="H26" s="3233"/>
      <c r="I26" s="3234"/>
      <c r="J26" s="3645">
        <v>5</v>
      </c>
      <c r="K26" s="3280" t="s">
        <v>2919</v>
      </c>
      <c r="L26" s="3281"/>
      <c r="M26" s="3282"/>
      <c r="N26" s="3283" t="s">
        <v>2920</v>
      </c>
      <c r="O26" s="3283" t="s">
        <v>2921</v>
      </c>
      <c r="P26" s="3284" t="s">
        <v>2922</v>
      </c>
      <c r="Q26" s="3284" t="s">
        <v>2923</v>
      </c>
      <c r="R26" s="3240" t="s">
        <v>2892</v>
      </c>
      <c r="S26" s="3285"/>
      <c r="T26" s="3285"/>
      <c r="U26" s="3285"/>
      <c r="V26" s="3278"/>
      <c r="W26" s="3279"/>
    </row>
    <row r="27" spans="1:23" s="3139" customFormat="1" ht="13.15" customHeight="1">
      <c r="A27" s="3181"/>
      <c r="B27" s="3182" t="s">
        <v>2924</v>
      </c>
      <c r="C27" s="3186" t="e">
        <f>E7</f>
        <v>#DIV/0!</v>
      </c>
      <c r="D27" s="3213"/>
      <c r="E27" s="3214"/>
      <c r="F27" s="3184"/>
      <c r="G27" s="3272"/>
      <c r="H27" s="3279"/>
      <c r="I27" s="3278"/>
      <c r="J27" s="3646"/>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2925</v>
      </c>
      <c r="F28" s="3184"/>
      <c r="G28" s="3271"/>
      <c r="H28" s="3279"/>
      <c r="I28" s="3278"/>
      <c r="J28" s="3291">
        <v>6</v>
      </c>
      <c r="K28" s="3292" t="s">
        <v>2926</v>
      </c>
      <c r="L28" s="3293" t="s">
        <v>2927</v>
      </c>
      <c r="M28" s="3294"/>
      <c r="N28" s="3293" t="s">
        <v>2928</v>
      </c>
      <c r="O28" s="3295"/>
      <c r="P28" s="3293" t="s">
        <v>2929</v>
      </c>
      <c r="Q28" s="3296">
        <v>1.4999999999999999E-2</v>
      </c>
      <c r="R28" s="3297"/>
      <c r="S28" s="3269"/>
      <c r="T28" s="3269"/>
      <c r="U28" s="3269"/>
      <c r="V28" s="3278"/>
      <c r="W28" s="3279"/>
    </row>
    <row r="29" spans="1:23" s="3185" customFormat="1" ht="13.15" customHeight="1">
      <c r="A29" s="3176">
        <v>3</v>
      </c>
      <c r="B29" s="3148" t="s">
        <v>2930</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2924</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2931</v>
      </c>
      <c r="K31" s="3229"/>
      <c r="L31" s="3229"/>
      <c r="M31" s="3229"/>
      <c r="N31" s="3229"/>
      <c r="O31" s="3229"/>
      <c r="P31" s="3229"/>
      <c r="Q31" s="3229"/>
      <c r="R31" s="3230"/>
      <c r="S31" s="3269"/>
      <c r="T31" s="3231"/>
      <c r="U31" s="3231"/>
      <c r="V31" s="3278"/>
      <c r="W31" s="3279"/>
    </row>
    <row r="32" spans="1:23" s="3185" customFormat="1" ht="13.15" customHeight="1">
      <c r="A32" s="3176">
        <v>4</v>
      </c>
      <c r="B32" s="3148" t="s">
        <v>2932</v>
      </c>
      <c r="C32" s="3177">
        <f>C23-C26-C29</f>
        <v>0</v>
      </c>
      <c r="D32" s="3178">
        <f>D23-D26-D29</f>
        <v>0</v>
      </c>
      <c r="E32" s="3179">
        <f>E23-E26-E29</f>
        <v>0</v>
      </c>
      <c r="F32" s="3180"/>
      <c r="G32" s="3271"/>
      <c r="H32" s="3233"/>
      <c r="I32" s="3234"/>
      <c r="J32" s="3628" t="s">
        <v>2933</v>
      </c>
      <c r="K32" s="3629"/>
      <c r="L32" s="3235" t="s">
        <v>2934</v>
      </c>
      <c r="M32" s="3235" t="s">
        <v>2837</v>
      </c>
      <c r="N32" s="3235" t="s">
        <v>2838</v>
      </c>
      <c r="O32" s="3235" t="s">
        <v>2839</v>
      </c>
      <c r="P32" s="3235" t="s">
        <v>2840</v>
      </c>
      <c r="Q32" s="3236" t="s">
        <v>2935</v>
      </c>
      <c r="R32" s="3298" t="s">
        <v>2936</v>
      </c>
      <c r="S32" s="3269"/>
      <c r="T32" s="3231"/>
      <c r="U32" s="3231"/>
      <c r="V32" s="3278"/>
      <c r="W32" s="3279"/>
    </row>
    <row r="33" spans="1:23" s="3139" customFormat="1" ht="13.15" customHeight="1">
      <c r="A33" s="3176"/>
      <c r="B33" s="3148"/>
      <c r="C33" s="3177"/>
      <c r="D33" s="3188"/>
      <c r="E33" s="3189"/>
      <c r="F33" s="3180"/>
      <c r="G33" s="3271"/>
      <c r="H33" s="3279"/>
      <c r="I33" s="3278"/>
      <c r="J33" s="3630" t="s">
        <v>2937</v>
      </c>
      <c r="K33" s="3631"/>
      <c r="L33" s="3238"/>
      <c r="M33" s="3238"/>
      <c r="N33" s="3238"/>
      <c r="O33" s="3238"/>
      <c r="P33" s="3238"/>
      <c r="Q33" s="3239"/>
      <c r="R33" s="3299">
        <f>SUM(L33:Q33)</f>
        <v>0</v>
      </c>
      <c r="S33" s="3269"/>
      <c r="T33" s="3231"/>
      <c r="U33" s="3231"/>
      <c r="V33" s="3234"/>
      <c r="W33" s="3233"/>
    </row>
    <row r="34" spans="1:23" s="3139" customFormat="1" ht="13.15" customHeight="1">
      <c r="A34" s="3176">
        <v>5</v>
      </c>
      <c r="B34" s="3148" t="s">
        <v>2938</v>
      </c>
      <c r="C34" s="3216"/>
      <c r="D34" s="3217"/>
      <c r="E34" s="3218"/>
      <c r="F34" s="3180"/>
      <c r="G34" s="3271"/>
      <c r="H34" s="3279"/>
      <c r="I34" s="3278"/>
      <c r="J34" s="3630" t="s">
        <v>2939</v>
      </c>
      <c r="K34" s="3631"/>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2940</v>
      </c>
      <c r="C35" s="3219"/>
      <c r="D35" s="3220"/>
      <c r="E35" s="3221"/>
      <c r="F35" s="3180"/>
      <c r="G35" s="3301"/>
      <c r="H35" s="3233"/>
      <c r="I35" s="3278"/>
      <c r="J35" s="3244" t="s">
        <v>2941</v>
      </c>
      <c r="K35" s="3245"/>
      <c r="L35" s="3245"/>
      <c r="M35" s="3246"/>
      <c r="N35" s="3246"/>
      <c r="O35" s="3246"/>
      <c r="P35" s="3246"/>
      <c r="Q35" s="3246"/>
      <c r="R35" s="3302">
        <f>R40+R41+R43</f>
        <v>0</v>
      </c>
      <c r="S35" s="3269"/>
      <c r="T35" s="3231" t="s">
        <v>2942</v>
      </c>
      <c r="U35" s="3231"/>
      <c r="V35" s="3234"/>
      <c r="W35" s="3233"/>
    </row>
    <row r="36" spans="1:23" s="3139" customFormat="1" ht="13.15" customHeight="1" thickBot="1">
      <c r="A36" s="3176">
        <v>7</v>
      </c>
      <c r="B36" s="3190" t="s">
        <v>2943</v>
      </c>
      <c r="C36" s="3222"/>
      <c r="D36" s="3223"/>
      <c r="E36" s="3224"/>
      <c r="F36" s="3191">
        <f>C36+D36+E36</f>
        <v>0</v>
      </c>
      <c r="G36" s="3271"/>
      <c r="H36" s="3233"/>
      <c r="I36" s="3234"/>
      <c r="J36" s="3635">
        <v>1</v>
      </c>
      <c r="K36" s="3636" t="s">
        <v>2944</v>
      </c>
      <c r="L36" s="3248"/>
      <c r="M36" s="3249"/>
      <c r="N36" s="3249"/>
      <c r="O36" s="3249"/>
      <c r="P36" s="3249"/>
      <c r="Q36" s="3249"/>
      <c r="R36" s="3240" t="s">
        <v>2892</v>
      </c>
      <c r="S36" s="3269"/>
      <c r="T36" s="3231" t="s">
        <v>2945</v>
      </c>
      <c r="U36" s="3231"/>
      <c r="V36" s="3234"/>
      <c r="W36" s="3233"/>
    </row>
    <row r="37" spans="1:23" s="3139" customFormat="1" ht="13.15" customHeight="1">
      <c r="A37" s="3176"/>
      <c r="B37" s="3148"/>
      <c r="C37" s="3148"/>
      <c r="D37" s="3148"/>
      <c r="E37" s="3148"/>
      <c r="F37" s="3180"/>
      <c r="G37" s="3271"/>
      <c r="H37" s="3233"/>
      <c r="I37" s="3234"/>
      <c r="J37" s="3635"/>
      <c r="K37" s="3637"/>
      <c r="L37" s="3261"/>
      <c r="M37" s="3262"/>
      <c r="N37" s="3200"/>
      <c r="O37" s="3263"/>
      <c r="P37" s="3263"/>
      <c r="Q37" s="3205"/>
      <c r="R37" s="3303"/>
      <c r="S37" s="3269"/>
      <c r="T37" s="3231" t="s">
        <v>2946</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635"/>
      <c r="K38" s="3637"/>
      <c r="L38" s="3261"/>
      <c r="M38" s="3262"/>
      <c r="N38" s="3200"/>
      <c r="O38" s="3263"/>
      <c r="P38" s="3263"/>
      <c r="Q38" s="3205"/>
      <c r="R38" s="3303"/>
      <c r="S38" s="3269"/>
      <c r="T38" s="3231" t="s">
        <v>2868</v>
      </c>
      <c r="U38" s="3231"/>
      <c r="V38" s="3234"/>
      <c r="W38" s="3233"/>
    </row>
    <row r="39" spans="1:23" s="3139" customFormat="1" ht="13.15" customHeight="1">
      <c r="A39" s="3176">
        <v>9</v>
      </c>
      <c r="B39" s="3148" t="s">
        <v>2947</v>
      </c>
      <c r="C39" s="3161" t="e">
        <f>C38</f>
        <v>#DIV/0!</v>
      </c>
      <c r="D39" s="3148">
        <f>D38/(1+D34)^C36</f>
        <v>0</v>
      </c>
      <c r="E39" s="3148">
        <f>E38/(1+E34)^(C36+D36)</f>
        <v>0</v>
      </c>
      <c r="F39" s="3180"/>
      <c r="G39" s="3304"/>
      <c r="H39" s="3233"/>
      <c r="I39" s="3234"/>
      <c r="J39" s="3635"/>
      <c r="K39" s="3637"/>
      <c r="L39" s="3261"/>
      <c r="M39" s="3262"/>
      <c r="N39" s="3200"/>
      <c r="O39" s="3263"/>
      <c r="P39" s="3263"/>
      <c r="Q39" s="3205"/>
      <c r="R39" s="3303"/>
      <c r="S39" s="3269"/>
      <c r="T39" s="3231"/>
      <c r="U39" s="3231"/>
      <c r="V39" s="3234"/>
      <c r="W39" s="3233"/>
    </row>
    <row r="40" spans="1:23" s="3139" customFormat="1" ht="13.15" customHeight="1">
      <c r="A40" s="3192">
        <v>10</v>
      </c>
      <c r="B40" s="3148" t="s">
        <v>2948</v>
      </c>
      <c r="C40" s="3193" t="e">
        <f>C39+D39+E39</f>
        <v>#DIV/0!</v>
      </c>
      <c r="D40" s="3194"/>
      <c r="E40" s="3194"/>
      <c r="F40" s="3195"/>
      <c r="G40" s="3271"/>
      <c r="H40" s="3233"/>
      <c r="I40" s="3234"/>
      <c r="J40" s="3635"/>
      <c r="K40" s="3638"/>
      <c r="L40" s="3257" t="s">
        <v>2949</v>
      </c>
      <c r="M40" s="3258"/>
      <c r="N40" s="3258"/>
      <c r="O40" s="3259"/>
      <c r="P40" s="3259"/>
      <c r="Q40" s="3260"/>
      <c r="R40" s="3237">
        <f>SUM(R37:R39)</f>
        <v>0</v>
      </c>
      <c r="S40" s="3269"/>
      <c r="T40" s="3231"/>
      <c r="U40" s="3231"/>
      <c r="V40" s="3234"/>
      <c r="W40" s="3233"/>
    </row>
    <row r="41" spans="1:23" s="3139" customFormat="1" ht="13.15" customHeight="1" thickBot="1">
      <c r="A41" s="3196">
        <v>11</v>
      </c>
      <c r="B41" s="3197" t="s">
        <v>2950</v>
      </c>
      <c r="C41" s="3197" t="e">
        <f>ROUND(C40*10000/B4,0)</f>
        <v>#DIV/0!</v>
      </c>
      <c r="D41" s="3198"/>
      <c r="E41" s="3198"/>
      <c r="F41" s="3199"/>
      <c r="G41" s="3305"/>
      <c r="H41" s="3233"/>
      <c r="I41" s="3234"/>
      <c r="J41" s="3273">
        <v>2</v>
      </c>
      <c r="K41" s="3274" t="s">
        <v>2951</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645">
        <v>3</v>
      </c>
      <c r="K42" s="3280" t="s">
        <v>2952</v>
      </c>
      <c r="L42" s="3281"/>
      <c r="M42" s="3282"/>
      <c r="N42" s="3283" t="s">
        <v>2953</v>
      </c>
      <c r="O42" s="3283" t="s">
        <v>2954</v>
      </c>
      <c r="P42" s="3284" t="s">
        <v>2955</v>
      </c>
      <c r="Q42" s="3284" t="s">
        <v>2956</v>
      </c>
      <c r="R42" s="3240" t="s">
        <v>2859</v>
      </c>
      <c r="S42" s="3285"/>
      <c r="T42" s="3285"/>
      <c r="U42" s="3231"/>
      <c r="V42" s="3234"/>
      <c r="W42" s="3233"/>
    </row>
    <row r="43" spans="1:23" ht="13.15" customHeight="1">
      <c r="A43" s="3139"/>
      <c r="B43" s="3139"/>
      <c r="C43" s="3139"/>
      <c r="D43" s="3139"/>
      <c r="E43" s="3139"/>
      <c r="F43" s="3139"/>
      <c r="I43" s="3226"/>
      <c r="J43" s="3646"/>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2957</v>
      </c>
      <c r="L44" s="3308" t="s">
        <v>2958</v>
      </c>
      <c r="M44" s="3294"/>
      <c r="N44" s="3308" t="s">
        <v>2959</v>
      </c>
      <c r="O44" s="3294"/>
      <c r="P44" s="3308" t="s">
        <v>2960</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B24</f>
        <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650" t="s">
        <v>2156</v>
      </c>
      <c r="D4" s="3651"/>
      <c r="E4" s="3651"/>
      <c r="F4" s="3651"/>
      <c r="G4" s="3651"/>
      <c r="H4" s="3651"/>
      <c r="I4" s="3651"/>
      <c r="J4" s="3651"/>
      <c r="K4" s="3651"/>
      <c r="L4" s="3651"/>
      <c r="M4" s="3651"/>
      <c r="N4" s="3651"/>
      <c r="O4" s="3651"/>
      <c r="P4" s="3651"/>
      <c r="Q4" s="3651"/>
      <c r="R4" s="3651"/>
      <c r="S4" s="3652"/>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f>ROUND(B23*10000/B25,0)</f>
        <v>0</v>
      </c>
      <c r="C24" s="864"/>
      <c r="D24" s="37"/>
      <c r="E24" s="37"/>
      <c r="F24" s="37"/>
      <c r="G24" s="37"/>
      <c r="H24" s="37"/>
      <c r="I24" s="37"/>
      <c r="J24" s="37"/>
      <c r="K24" s="37"/>
      <c r="L24" s="37"/>
      <c r="M24" s="37"/>
      <c r="N24" s="37"/>
      <c r="O24" s="37"/>
      <c r="P24" s="37"/>
      <c r="Q24" s="37"/>
      <c r="R24" s="645"/>
      <c r="S24" s="13" t="s">
        <v>2170</v>
      </c>
      <c r="T24" s="1302" t="s">
        <v>2171</v>
      </c>
      <c r="U24" s="2210" t="s">
        <v>2172</v>
      </c>
      <c r="V24" s="2953"/>
      <c r="W24" s="2954" t="s">
        <v>2173</v>
      </c>
      <c r="X24" s="2210" t="s">
        <v>2174</v>
      </c>
      <c r="Y24" s="2953"/>
      <c r="Z24" s="2955" t="s">
        <v>2173</v>
      </c>
    </row>
    <row r="25" spans="1:45">
      <c r="A25" s="250" t="s">
        <v>2175</v>
      </c>
      <c r="B25" s="13">
        <f>SUM(B27:B10000)</f>
        <v>362.84</v>
      </c>
      <c r="C25" s="3647" t="s">
        <v>45</v>
      </c>
      <c r="D25" s="3648"/>
      <c r="E25" s="3648"/>
      <c r="F25" s="3648"/>
      <c r="G25" s="3648"/>
      <c r="H25" s="3648"/>
      <c r="I25" s="3648"/>
      <c r="J25" s="3648"/>
      <c r="K25" s="3648"/>
      <c r="L25" s="3648"/>
      <c r="M25" s="3648"/>
      <c r="N25" s="3648"/>
      <c r="O25" s="3648"/>
      <c r="P25" s="3648"/>
      <c r="Q25" s="3649"/>
      <c r="R25" s="597">
        <f>IF(C23="万元",ROUND(T25*10000/B25,0),ROUND(S25/B25,0))</f>
        <v>0</v>
      </c>
      <c r="S25" s="13">
        <f>SUM(S27:S10000)</f>
        <v>0</v>
      </c>
      <c r="T25" s="13">
        <f>SUM(T27:T10000)</f>
        <v>0</v>
      </c>
      <c r="U25" s="17">
        <f>SUM(U27:U10000)</f>
        <v>0</v>
      </c>
      <c r="V25" s="17">
        <f>SUM(V27:V10000)</f>
        <v>0</v>
      </c>
      <c r="W25" s="2957"/>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362.84</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6">
        <f t="shared" si="22"/>
        <v>0</v>
      </c>
      <c r="V29" s="2956">
        <f t="shared" si="23"/>
        <v>0</v>
      </c>
      <c r="W29" s="998"/>
      <c r="X29" s="2956">
        <f t="shared" si="24"/>
        <v>0</v>
      </c>
      <c r="Y29" s="295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5" customWidth="1"/>
    <col min="12" max="12" width="12.25" style="1876"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2"/>
      <c r="AC1" s="1617"/>
    </row>
    <row r="2" spans="1:29" s="1925" customFormat="1" ht="28.5" customHeight="1" thickTop="1">
      <c r="A2" s="1619" t="s">
        <v>1857</v>
      </c>
      <c r="B2" s="1620" t="e">
        <f ca="1">IF(D2="——",IF(C2="元",ROUND(C50*D3,0),ROUND(C50*D3/10000,0)),IF(C2="元",ROUND(C50*D3,0),ROUND(C50*D3/10000,0))-E2)</f>
        <v>#DIV/0!</v>
      </c>
      <c r="C2" s="1621" t="str">
        <f>'数据-取费表'!B3</f>
        <v>万元</v>
      </c>
      <c r="D2" s="1622"/>
      <c r="E2" s="2453" t="e">
        <f ca="1">SUMIF(INDIRECT("'"&amp;G2&amp;"'"&amp;"!A:A"),"承租人权益价值",INDIRECT("'"&amp;G2&amp;"'"&amp;"!c:c"))</f>
        <v>#REF!</v>
      </c>
      <c r="F2" s="1624" t="str">
        <f>C2</f>
        <v>万元</v>
      </c>
      <c r="G2" s="1625"/>
      <c r="H2" s="2977"/>
      <c r="I2" s="2977"/>
      <c r="J2" s="2977"/>
      <c r="K2" s="2977"/>
      <c r="L2" s="2979"/>
      <c r="M2" s="2977"/>
      <c r="N2" s="2977"/>
      <c r="O2" s="2977"/>
      <c r="P2" s="1922"/>
      <c r="Q2" s="1922"/>
      <c r="R2" s="1922"/>
      <c r="S2" s="1922"/>
      <c r="T2" s="1922"/>
      <c r="U2" s="1922"/>
      <c r="V2" s="1922"/>
      <c r="W2" s="1922"/>
      <c r="X2" s="1922"/>
      <c r="Y2" s="1922"/>
      <c r="Z2" s="1922"/>
      <c r="AA2" s="1922"/>
      <c r="AB2" s="2454"/>
      <c r="AC2" s="1930"/>
    </row>
    <row r="3" spans="1:29" s="1925" customFormat="1" ht="28.5" customHeight="1" thickBot="1">
      <c r="A3" s="1629" t="s">
        <v>1858</v>
      </c>
      <c r="B3" s="1928" t="e">
        <f ca="1">ROUND(IF(D2="——",C50,IF(C2="万元",B2*10000/D3,B2/D3)),0)</f>
        <v>#DIV/0!</v>
      </c>
      <c r="C3" s="1630" t="s">
        <v>2188</v>
      </c>
      <c r="D3" s="1630">
        <f>IF(C1="仅计算典型户型",'数据-取费表'!E5,'数据-取费表'!B5)</f>
        <v>362.84</v>
      </c>
      <c r="F3" s="2976"/>
      <c r="G3" s="2977"/>
      <c r="H3" s="2977"/>
      <c r="I3" s="2977"/>
      <c r="J3" s="2977"/>
      <c r="K3" s="2978"/>
      <c r="L3" s="2979"/>
      <c r="M3" s="2977"/>
      <c r="N3" s="2977"/>
      <c r="O3" s="2977"/>
      <c r="P3" s="2984"/>
      <c r="Q3" s="1917"/>
      <c r="R3" s="1917"/>
      <c r="S3" s="1917"/>
      <c r="T3" s="1917"/>
      <c r="U3" s="1917"/>
      <c r="V3" s="1917"/>
      <c r="W3" s="1917"/>
      <c r="X3" s="1922"/>
      <c r="Y3" s="1917"/>
      <c r="Z3" s="1917"/>
      <c r="AA3" s="1917"/>
      <c r="AB3" s="2455"/>
      <c r="AC3" s="1930"/>
    </row>
    <row r="4" spans="1:29" ht="15">
      <c r="A4" s="1633" t="s">
        <v>2189</v>
      </c>
      <c r="B4" s="1634"/>
      <c r="C4" s="3606" t="s">
        <v>2190</v>
      </c>
      <c r="D4" s="3607"/>
      <c r="E4" s="3608" t="s">
        <v>2191</v>
      </c>
      <c r="F4" s="3609"/>
      <c r="G4" s="3606" t="s">
        <v>2192</v>
      </c>
      <c r="H4" s="3607"/>
      <c r="I4" s="3606" t="s">
        <v>2193</v>
      </c>
      <c r="J4" s="3607"/>
      <c r="K4" s="1931" t="s">
        <v>2194</v>
      </c>
      <c r="L4" s="2962"/>
      <c r="M4" s="2963"/>
      <c r="N4" s="2963"/>
      <c r="O4" s="2963"/>
      <c r="P4" s="3610" t="s">
        <v>2195</v>
      </c>
      <c r="Q4" s="3611"/>
      <c r="R4" s="3591" t="s">
        <v>2191</v>
      </c>
      <c r="S4" s="3592"/>
      <c r="T4" s="3591" t="s">
        <v>2192</v>
      </c>
      <c r="U4" s="3592"/>
      <c r="V4" s="3616" t="s">
        <v>2193</v>
      </c>
      <c r="W4" s="3616"/>
      <c r="X4" s="2040"/>
      <c r="Y4" s="3591" t="s">
        <v>2195</v>
      </c>
      <c r="Z4" s="3592"/>
      <c r="AA4" s="3603" t="s">
        <v>2191</v>
      </c>
      <c r="AB4" s="3603" t="s">
        <v>2192</v>
      </c>
      <c r="AC4" s="3603" t="s">
        <v>2193</v>
      </c>
    </row>
    <row r="5" spans="1:29" ht="15">
      <c r="A5" s="1638"/>
      <c r="B5" s="1639"/>
      <c r="C5" s="3617" t="s">
        <v>2196</v>
      </c>
      <c r="D5" s="3618"/>
      <c r="E5" s="3654" t="s">
        <v>2197</v>
      </c>
      <c r="F5" s="3624"/>
      <c r="G5" s="3617" t="s">
        <v>2198</v>
      </c>
      <c r="H5" s="3618"/>
      <c r="I5" s="3617" t="s">
        <v>2199</v>
      </c>
      <c r="J5" s="3618"/>
      <c r="K5" s="1931"/>
      <c r="L5" s="2962"/>
      <c r="M5" s="2963"/>
      <c r="N5" s="2963"/>
      <c r="O5" s="2963"/>
      <c r="P5" s="3612"/>
      <c r="Q5" s="3613"/>
      <c r="R5" s="3593"/>
      <c r="S5" s="3594"/>
      <c r="T5" s="3593"/>
      <c r="U5" s="3594"/>
      <c r="V5" s="3616"/>
      <c r="W5" s="3616"/>
      <c r="X5" s="2040"/>
      <c r="Y5" s="3593"/>
      <c r="Z5" s="3594"/>
      <c r="AA5" s="3604"/>
      <c r="AB5" s="3604"/>
      <c r="AC5" s="3604"/>
    </row>
    <row r="6" spans="1:29" ht="15.75" thickBot="1">
      <c r="A6" s="1641"/>
      <c r="B6" s="1642"/>
      <c r="C6" s="3573" t="s">
        <v>2200</v>
      </c>
      <c r="D6" s="3574"/>
      <c r="E6" s="3619" t="s">
        <v>2200</v>
      </c>
      <c r="F6" s="3620"/>
      <c r="G6" s="3573" t="s">
        <v>2200</v>
      </c>
      <c r="H6" s="3574"/>
      <c r="I6" s="3573" t="s">
        <v>2200</v>
      </c>
      <c r="J6" s="3574"/>
      <c r="K6" s="1931" t="s">
        <v>2201</v>
      </c>
      <c r="L6" s="2962"/>
      <c r="M6" s="2963"/>
      <c r="N6" s="2963"/>
      <c r="O6" s="2963"/>
      <c r="P6" s="3614"/>
      <c r="Q6" s="3615"/>
      <c r="R6" s="3593"/>
      <c r="S6" s="3594"/>
      <c r="T6" s="3595"/>
      <c r="U6" s="3596"/>
      <c r="V6" s="3616"/>
      <c r="W6" s="3616"/>
      <c r="X6" s="2040"/>
      <c r="Y6" s="3595"/>
      <c r="Z6" s="3596"/>
      <c r="AA6" s="3605"/>
      <c r="AB6" s="3605"/>
      <c r="AC6" s="3605"/>
    </row>
    <row r="7" spans="1:29" s="1655" customFormat="1" ht="15.75" thickBot="1">
      <c r="A7" s="1643" t="s">
        <v>2202</v>
      </c>
      <c r="B7" s="1644"/>
      <c r="C7" s="1645">
        <f>'数据-取费表'!B2</f>
        <v>44616</v>
      </c>
      <c r="D7" s="1646">
        <v>100</v>
      </c>
      <c r="E7" s="1647"/>
      <c r="F7" s="1648">
        <f>SUMIF(59:59,YEAR(E7)&amp;"-"&amp;MONTH(E7),60:60)</f>
        <v>0</v>
      </c>
      <c r="G7" s="1932"/>
      <c r="H7" s="1646">
        <f>SUMIF(59:59,YEAR(G7)&amp;"-"&amp;MONTH(G7),60:60)</f>
        <v>0</v>
      </c>
      <c r="I7" s="1932"/>
      <c r="J7" s="1646">
        <f>SUMIF(59:59,YEAR(I7)&amp;"-"&amp;MONTH(I7),60:60)</f>
        <v>0</v>
      </c>
      <c r="K7" s="1933"/>
      <c r="L7" s="2962"/>
      <c r="M7" s="2935"/>
      <c r="N7" s="2935"/>
      <c r="O7" s="2935"/>
      <c r="P7" s="3589" t="s">
        <v>2203</v>
      </c>
      <c r="Q7" s="3597"/>
      <c r="R7" s="1651" t="s">
        <v>25</v>
      </c>
      <c r="S7" s="1652">
        <f t="shared" ref="S7:S15" si="0">F7</f>
        <v>0</v>
      </c>
      <c r="T7" s="1651" t="s">
        <v>25</v>
      </c>
      <c r="U7" s="1652">
        <f t="shared" ref="U7:U15" si="1">H7</f>
        <v>0</v>
      </c>
      <c r="V7" s="1651" t="s">
        <v>25</v>
      </c>
      <c r="W7" s="1652">
        <f t="shared" ref="W7:W15" si="2">J7</f>
        <v>0</v>
      </c>
      <c r="X7" s="1653"/>
      <c r="Y7" s="3589" t="s">
        <v>2203</v>
      </c>
      <c r="Z7" s="3590"/>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3"/>
      <c r="L8" s="2962"/>
      <c r="M8" s="2935"/>
      <c r="N8" s="2935"/>
      <c r="O8" s="2935"/>
      <c r="P8" s="3589" t="s">
        <v>2206</v>
      </c>
      <c r="Q8" s="3590"/>
      <c r="R8" s="1651" t="s">
        <v>25</v>
      </c>
      <c r="S8" s="1652">
        <f t="shared" si="0"/>
        <v>0</v>
      </c>
      <c r="T8" s="1651" t="s">
        <v>25</v>
      </c>
      <c r="U8" s="1652">
        <f t="shared" si="1"/>
        <v>0</v>
      </c>
      <c r="V8" s="1651" t="s">
        <v>25</v>
      </c>
      <c r="W8" s="1652">
        <f t="shared" si="2"/>
        <v>0</v>
      </c>
      <c r="X8" s="1653"/>
      <c r="Y8" s="3589" t="s">
        <v>2206</v>
      </c>
      <c r="Z8" s="3590"/>
      <c r="AA8" s="1654" t="e">
        <f t="shared" ref="AA8:AA47" si="3">D8/F8</f>
        <v>#DIV/0!</v>
      </c>
      <c r="AB8" s="1654" t="e">
        <f t="shared" ref="AB8:AB47" si="4">D8/H8</f>
        <v>#DIV/0!</v>
      </c>
      <c r="AC8" s="1654" t="e">
        <f t="shared" ref="AC8:AC47" si="5">D8/J8</f>
        <v>#DIV/0!</v>
      </c>
    </row>
    <row r="9" spans="1:29" s="1655" customFormat="1">
      <c r="A9" s="2032" t="s">
        <v>2207</v>
      </c>
      <c r="B9" s="1657" t="s">
        <v>2208</v>
      </c>
      <c r="C9" s="1658"/>
      <c r="D9" s="1659">
        <v>100</v>
      </c>
      <c r="E9" s="1662"/>
      <c r="F9" s="1659">
        <f>SUMIF(64:64,E9,65:65)-SUMIF(64:64,C9,65:65)+100</f>
        <v>100</v>
      </c>
      <c r="G9" s="1660"/>
      <c r="H9" s="1659">
        <f>SUMIF(64:64,G9,65:65)-SUMIF(64:64,C9,65:65)+100</f>
        <v>100</v>
      </c>
      <c r="I9" s="1660"/>
      <c r="J9" s="1659">
        <f>SUMIF(64:64,I9,65:65)-SUMIF(64:64,C9,65:65)+100</f>
        <v>100</v>
      </c>
      <c r="K9" s="1933"/>
      <c r="L9" s="2962"/>
      <c r="M9" s="2935"/>
      <c r="N9" s="2935"/>
      <c r="O9" s="2935"/>
      <c r="P9" s="3578" t="s">
        <v>2209</v>
      </c>
      <c r="Q9" s="2880" t="str">
        <f t="shared" ref="Q9:Q15" si="6">B9</f>
        <v>用途</v>
      </c>
      <c r="R9" s="1651" t="s">
        <v>25</v>
      </c>
      <c r="S9" s="1652">
        <f t="shared" si="0"/>
        <v>100</v>
      </c>
      <c r="T9" s="1651" t="s">
        <v>25</v>
      </c>
      <c r="U9" s="1652">
        <f t="shared" si="1"/>
        <v>100</v>
      </c>
      <c r="V9" s="1651" t="s">
        <v>25</v>
      </c>
      <c r="W9" s="1652">
        <f t="shared" si="2"/>
        <v>100</v>
      </c>
      <c r="X9" s="1653"/>
      <c r="Y9" s="3469" t="s">
        <v>2210</v>
      </c>
      <c r="Z9" s="1663" t="str">
        <f t="shared" ref="Z9:Z15" si="7">Q9</f>
        <v>用途</v>
      </c>
      <c r="AA9" s="1654">
        <f t="shared" si="3"/>
        <v>1</v>
      </c>
      <c r="AB9" s="1654">
        <f t="shared" si="4"/>
        <v>1</v>
      </c>
      <c r="AC9" s="1654">
        <f t="shared" si="5"/>
        <v>1</v>
      </c>
    </row>
    <row r="10" spans="1:29" s="1671" customFormat="1" ht="27">
      <c r="A10" s="1664"/>
      <c r="B10" s="1665" t="s">
        <v>2211</v>
      </c>
      <c r="C10" s="1666"/>
      <c r="D10" s="1667">
        <v>100</v>
      </c>
      <c r="E10" s="1666"/>
      <c r="F10" s="1667">
        <f>SUMIF(66:66,E10,67:67)-SUMIF(66:66,C10,67:67)+100</f>
        <v>100</v>
      </c>
      <c r="G10" s="1668"/>
      <c r="H10" s="1667">
        <f>SUMIF(66:66,G10,67:67)-SUMIF(66:66,C10,67:67)+100</f>
        <v>100</v>
      </c>
      <c r="I10" s="1666"/>
      <c r="J10" s="1667">
        <f>SUMIF(66:66,I10,67:67)-SUMIF(66:66,C10,67:67)+100</f>
        <v>100</v>
      </c>
      <c r="K10" s="1958"/>
      <c r="L10" s="2964"/>
      <c r="M10" s="2965"/>
      <c r="N10" s="2965"/>
      <c r="O10" s="2965"/>
      <c r="P10" s="3578"/>
      <c r="Q10" s="2880" t="str">
        <f t="shared" si="6"/>
        <v>土地使用年限（年）</v>
      </c>
      <c r="R10" s="1651" t="s">
        <v>25</v>
      </c>
      <c r="S10" s="1652">
        <f t="shared" si="0"/>
        <v>100</v>
      </c>
      <c r="T10" s="1651" t="s">
        <v>25</v>
      </c>
      <c r="U10" s="1652">
        <f t="shared" si="1"/>
        <v>100</v>
      </c>
      <c r="V10" s="1651" t="s">
        <v>25</v>
      </c>
      <c r="W10" s="1652">
        <f t="shared" si="2"/>
        <v>100</v>
      </c>
      <c r="X10" s="1653"/>
      <c r="Y10" s="3469"/>
      <c r="Z10" s="1663" t="str">
        <f t="shared" si="7"/>
        <v>土地使用年限（年）</v>
      </c>
      <c r="AA10" s="1654">
        <f t="shared" si="3"/>
        <v>1</v>
      </c>
      <c r="AB10" s="1654">
        <f t="shared" si="4"/>
        <v>1</v>
      </c>
      <c r="AC10" s="1654">
        <f t="shared" si="5"/>
        <v>1</v>
      </c>
    </row>
    <row r="11" spans="1:29" ht="15">
      <c r="A11" s="1672"/>
      <c r="B11" s="1665" t="s">
        <v>2212</v>
      </c>
      <c r="C11" s="1673"/>
      <c r="D11" s="1667">
        <v>100</v>
      </c>
      <c r="E11" s="1673"/>
      <c r="F11" s="1667" t="e">
        <f>LOOKUP(E11,69:69,70:70)-LOOKUP(C11,69:69,70:70)+100</f>
        <v>#N/A</v>
      </c>
      <c r="G11" s="1674"/>
      <c r="H11" s="1667" t="e">
        <f>LOOKUP(G11,69:69,70:70)-LOOKUP(C11,69:69,70:70)+100</f>
        <v>#N/A</v>
      </c>
      <c r="I11" s="1673"/>
      <c r="J11" s="1667" t="e">
        <f>LOOKUP(I11,69:69,70:70)-LOOKUP(C11,69:69,70:70)+100</f>
        <v>#N/A</v>
      </c>
      <c r="K11" s="1958"/>
      <c r="L11" s="2966"/>
      <c r="M11" s="2963"/>
      <c r="N11" s="2963"/>
      <c r="O11" s="2963"/>
      <c r="P11" s="3578"/>
      <c r="Q11" s="2880" t="str">
        <f t="shared" si="6"/>
        <v>容积率</v>
      </c>
      <c r="R11" s="1651" t="s">
        <v>25</v>
      </c>
      <c r="S11" s="1652" t="e">
        <f t="shared" si="0"/>
        <v>#N/A</v>
      </c>
      <c r="T11" s="1651" t="s">
        <v>25</v>
      </c>
      <c r="U11" s="1652" t="e">
        <f t="shared" si="1"/>
        <v>#N/A</v>
      </c>
      <c r="V11" s="1651" t="s">
        <v>25</v>
      </c>
      <c r="W11" s="1652" t="e">
        <f t="shared" si="2"/>
        <v>#N/A</v>
      </c>
      <c r="X11" s="1653"/>
      <c r="Y11" s="3469"/>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77"/>
      <c r="F12" s="1667">
        <f>SUMIF(71:71,E12,72:72)-SUMIF(71:71,C12,72:72)+100</f>
        <v>100</v>
      </c>
      <c r="G12" s="2456"/>
      <c r="H12" s="1667">
        <f>SUMIF(71:71,G12,72:72)-SUMIF(71:71,C12,72:72)+100</f>
        <v>100</v>
      </c>
      <c r="I12" s="1677"/>
      <c r="J12" s="1667">
        <f>SUMIF(71:71,I12,72:72)-SUMIF(71:71,C12,72:72)+100</f>
        <v>100</v>
      </c>
      <c r="K12" s="1955"/>
      <c r="L12" s="2962"/>
      <c r="M12" s="2935"/>
      <c r="N12" s="2935"/>
      <c r="O12" s="2935"/>
      <c r="P12" s="3578"/>
      <c r="Q12" s="2880">
        <f t="shared" si="6"/>
        <v>111</v>
      </c>
      <c r="R12" s="1651" t="s">
        <v>25</v>
      </c>
      <c r="S12" s="1652">
        <f t="shared" si="0"/>
        <v>100</v>
      </c>
      <c r="T12" s="1651" t="s">
        <v>25</v>
      </c>
      <c r="U12" s="1652">
        <f t="shared" si="1"/>
        <v>100</v>
      </c>
      <c r="V12" s="1651" t="s">
        <v>25</v>
      </c>
      <c r="W12" s="1652">
        <f t="shared" si="2"/>
        <v>100</v>
      </c>
      <c r="X12" s="1653"/>
      <c r="Y12" s="3469"/>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6"/>
      <c r="H13" s="1681">
        <f>SUMIF(73:73,G13,74:74)-SUMIF(73:73,C13,74:74)+100</f>
        <v>100</v>
      </c>
      <c r="I13" s="1677"/>
      <c r="J13" s="1681">
        <f>SUMIF(73:73,I13,74:74)-SUMIF(73:73,C13,74:74)+100</f>
        <v>100</v>
      </c>
      <c r="K13" s="1955"/>
      <c r="L13" s="2967"/>
      <c r="M13" s="2963"/>
      <c r="N13" s="2963"/>
      <c r="O13" s="2963"/>
      <c r="P13" s="3578"/>
      <c r="Q13" s="2880">
        <f t="shared" si="6"/>
        <v>111</v>
      </c>
      <c r="R13" s="1651" t="s">
        <v>25</v>
      </c>
      <c r="S13" s="1652">
        <f t="shared" si="0"/>
        <v>100</v>
      </c>
      <c r="T13" s="1651" t="s">
        <v>25</v>
      </c>
      <c r="U13" s="1652">
        <f t="shared" si="1"/>
        <v>100</v>
      </c>
      <c r="V13" s="1651" t="s">
        <v>25</v>
      </c>
      <c r="W13" s="1652">
        <f t="shared" si="2"/>
        <v>100</v>
      </c>
      <c r="X13" s="1653"/>
      <c r="Y13" s="3469"/>
      <c r="Z13" s="1663">
        <f t="shared" si="7"/>
        <v>111</v>
      </c>
      <c r="AA13" s="1654">
        <f t="shared" si="3"/>
        <v>1</v>
      </c>
      <c r="AB13" s="1654">
        <f t="shared" si="4"/>
        <v>1</v>
      </c>
      <c r="AC13" s="1654">
        <f t="shared" si="5"/>
        <v>1</v>
      </c>
    </row>
    <row r="14" spans="1:29" ht="15.75" thickBot="1">
      <c r="A14" s="1682"/>
      <c r="B14" s="1683">
        <v>111</v>
      </c>
      <c r="C14" s="1684"/>
      <c r="D14" s="1685">
        <v>100</v>
      </c>
      <c r="E14" s="2457"/>
      <c r="F14" s="1685">
        <f>SUMIF(75:75,E14,76:76)-SUMIF(75:75,C14,76:76)+100</f>
        <v>100</v>
      </c>
      <c r="G14" s="2456"/>
      <c r="H14" s="1685">
        <f>SUMIF(75:75,G14,76:76)-SUMIF(75:75,C14,76:76)+100</f>
        <v>100</v>
      </c>
      <c r="I14" s="1677"/>
      <c r="J14" s="1685">
        <f>SUMIF(75:75,I14,76:76)-SUMIF(75:75,C14,76:76)+100</f>
        <v>100</v>
      </c>
      <c r="K14" s="1955"/>
      <c r="L14" s="2967"/>
      <c r="M14" s="2963"/>
      <c r="N14" s="2963"/>
      <c r="O14" s="2963"/>
      <c r="P14" s="3578"/>
      <c r="Q14" s="2880">
        <f t="shared" si="6"/>
        <v>111</v>
      </c>
      <c r="R14" s="1651" t="s">
        <v>25</v>
      </c>
      <c r="S14" s="1652">
        <f t="shared" si="0"/>
        <v>100</v>
      </c>
      <c r="T14" s="1651" t="s">
        <v>25</v>
      </c>
      <c r="U14" s="1652">
        <f t="shared" si="1"/>
        <v>100</v>
      </c>
      <c r="V14" s="1651" t="s">
        <v>25</v>
      </c>
      <c r="W14" s="1652">
        <f t="shared" si="2"/>
        <v>100</v>
      </c>
      <c r="X14" s="1653"/>
      <c r="Y14" s="3469"/>
      <c r="Z14" s="1663">
        <f t="shared" si="7"/>
        <v>111</v>
      </c>
      <c r="AA14" s="1654">
        <f t="shared" si="3"/>
        <v>1</v>
      </c>
      <c r="AB14" s="1654">
        <f t="shared" si="4"/>
        <v>1</v>
      </c>
      <c r="AC14" s="1654">
        <f t="shared" si="5"/>
        <v>1</v>
      </c>
    </row>
    <row r="15" spans="1:29" ht="71.25">
      <c r="A15" s="1687" t="s">
        <v>2213</v>
      </c>
      <c r="B15" s="2458" t="s">
        <v>2328</v>
      </c>
      <c r="C15" s="1939"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38"/>
      <c r="L15" s="2967"/>
      <c r="M15" s="2963"/>
      <c r="N15" s="2963"/>
      <c r="O15" s="2963"/>
      <c r="P15" s="3582" t="s">
        <v>2214</v>
      </c>
      <c r="Q15" s="2881" t="str">
        <f t="shared" si="6"/>
        <v>办公集聚程度</v>
      </c>
      <c r="R15" s="1695" t="s">
        <v>25</v>
      </c>
      <c r="S15" s="1696">
        <f t="shared" si="0"/>
        <v>100</v>
      </c>
      <c r="T15" s="1695" t="s">
        <v>25</v>
      </c>
      <c r="U15" s="1696">
        <f t="shared" si="1"/>
        <v>100</v>
      </c>
      <c r="V15" s="1695" t="s">
        <v>25</v>
      </c>
      <c r="W15" s="1696">
        <f t="shared" si="2"/>
        <v>100</v>
      </c>
      <c r="X15" s="2040"/>
      <c r="Y15" s="3582" t="s">
        <v>2214</v>
      </c>
      <c r="Z15" s="2044" t="str">
        <f t="shared" si="7"/>
        <v>办公集聚程度</v>
      </c>
      <c r="AA15" s="2035">
        <f t="shared" si="3"/>
        <v>1</v>
      </c>
      <c r="AB15" s="2035">
        <f t="shared" si="4"/>
        <v>1</v>
      </c>
      <c r="AC15" s="2035">
        <f t="shared" si="5"/>
        <v>1</v>
      </c>
    </row>
    <row r="16" spans="1:29" ht="15">
      <c r="A16" s="1672"/>
      <c r="B16" s="2459"/>
      <c r="C16" s="1941"/>
      <c r="D16" s="1701"/>
      <c r="E16" s="1700"/>
      <c r="F16" s="1701"/>
      <c r="G16" s="1941"/>
      <c r="H16" s="1705"/>
      <c r="I16" s="1700"/>
      <c r="J16" s="1701"/>
      <c r="K16" s="2439"/>
      <c r="L16" s="2967"/>
      <c r="M16" s="2963"/>
      <c r="N16" s="2963"/>
      <c r="O16" s="2963"/>
      <c r="P16" s="3583"/>
      <c r="Q16" s="2881"/>
      <c r="R16" s="1695"/>
      <c r="S16" s="1696"/>
      <c r="T16" s="1695"/>
      <c r="U16" s="1696"/>
      <c r="V16" s="1695"/>
      <c r="W16" s="1696"/>
      <c r="X16" s="2040"/>
      <c r="Y16" s="3583"/>
      <c r="Z16" s="2044"/>
      <c r="AA16" s="2035">
        <v>1</v>
      </c>
      <c r="AB16" s="2035">
        <v>1</v>
      </c>
      <c r="AC16" s="2035">
        <v>1</v>
      </c>
    </row>
    <row r="17" spans="1:29" ht="85.5">
      <c r="A17" s="1672"/>
      <c r="B17" s="2460" t="s">
        <v>1649</v>
      </c>
      <c r="C17" s="1946"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38"/>
      <c r="L17" s="2967"/>
      <c r="M17" s="2963"/>
      <c r="N17" s="2963"/>
      <c r="O17" s="2963"/>
      <c r="P17" s="3583"/>
      <c r="Q17" s="2881" t="str">
        <f>B17</f>
        <v>交通便捷度</v>
      </c>
      <c r="R17" s="1695" t="s">
        <v>25</v>
      </c>
      <c r="S17" s="1696">
        <f>F17</f>
        <v>100</v>
      </c>
      <c r="T17" s="1695" t="s">
        <v>25</v>
      </c>
      <c r="U17" s="1696">
        <f>H17</f>
        <v>100</v>
      </c>
      <c r="V17" s="1695" t="s">
        <v>25</v>
      </c>
      <c r="W17" s="1696">
        <f>J17</f>
        <v>100</v>
      </c>
      <c r="X17" s="2040"/>
      <c r="Y17" s="3583"/>
      <c r="Z17" s="2044" t="str">
        <f>Q17</f>
        <v>交通便捷度</v>
      </c>
      <c r="AA17" s="2035">
        <f t="shared" si="3"/>
        <v>1</v>
      </c>
      <c r="AB17" s="2035">
        <f t="shared" si="4"/>
        <v>1</v>
      </c>
      <c r="AC17" s="2035">
        <f t="shared" si="5"/>
        <v>1</v>
      </c>
    </row>
    <row r="18" spans="1:29" ht="15">
      <c r="A18" s="1672"/>
      <c r="B18" s="2461"/>
      <c r="C18" s="1945"/>
      <c r="D18" s="1705"/>
      <c r="E18" s="1716"/>
      <c r="F18" s="1705"/>
      <c r="G18" s="1715"/>
      <c r="H18" s="1701"/>
      <c r="I18" s="1715"/>
      <c r="J18" s="1701"/>
      <c r="K18" s="2439"/>
      <c r="L18" s="2967"/>
      <c r="M18" s="2963"/>
      <c r="N18" s="2963"/>
      <c r="O18" s="2963"/>
      <c r="P18" s="3583"/>
      <c r="Q18" s="2881"/>
      <c r="R18" s="1695"/>
      <c r="S18" s="1696"/>
      <c r="T18" s="1695"/>
      <c r="U18" s="1696"/>
      <c r="V18" s="1695"/>
      <c r="W18" s="1696"/>
      <c r="X18" s="2040"/>
      <c r="Y18" s="3583"/>
      <c r="Z18" s="2044"/>
      <c r="AA18" s="2035">
        <v>1</v>
      </c>
      <c r="AB18" s="2035">
        <v>1</v>
      </c>
      <c r="AC18" s="2035">
        <v>1</v>
      </c>
    </row>
    <row r="19" spans="1:29" ht="42.75">
      <c r="A19" s="1672"/>
      <c r="B19" s="2460" t="s">
        <v>2329</v>
      </c>
      <c r="C19" s="1946"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38"/>
      <c r="L19" s="2967"/>
      <c r="M19" s="2963"/>
      <c r="N19" s="2963"/>
      <c r="O19" s="2963"/>
      <c r="P19" s="3583"/>
      <c r="Q19" s="2881" t="str">
        <f>B19</f>
        <v>公共配套设施</v>
      </c>
      <c r="R19" s="1695" t="s">
        <v>25</v>
      </c>
      <c r="S19" s="1696">
        <f>F19</f>
        <v>100</v>
      </c>
      <c r="T19" s="1695" t="s">
        <v>25</v>
      </c>
      <c r="U19" s="1696">
        <f>H19</f>
        <v>100</v>
      </c>
      <c r="V19" s="1695" t="s">
        <v>25</v>
      </c>
      <c r="W19" s="1696">
        <f>J19</f>
        <v>100</v>
      </c>
      <c r="X19" s="2040"/>
      <c r="Y19" s="3583"/>
      <c r="Z19" s="2044" t="str">
        <f>Q19</f>
        <v>公共配套设施</v>
      </c>
      <c r="AA19" s="2035">
        <f t="shared" si="3"/>
        <v>1</v>
      </c>
      <c r="AB19" s="2035">
        <f t="shared" si="4"/>
        <v>1</v>
      </c>
      <c r="AC19" s="2035">
        <f t="shared" si="5"/>
        <v>1</v>
      </c>
    </row>
    <row r="20" spans="1:29" ht="15">
      <c r="A20" s="1672"/>
      <c r="B20" s="2461"/>
      <c r="C20" s="1941"/>
      <c r="D20" s="1701"/>
      <c r="E20" s="1704"/>
      <c r="F20" s="1701"/>
      <c r="G20" s="1702"/>
      <c r="H20" s="1701"/>
      <c r="I20" s="1702"/>
      <c r="J20" s="1701"/>
      <c r="K20" s="2439"/>
      <c r="L20" s="2967"/>
      <c r="M20" s="2963"/>
      <c r="N20" s="2963"/>
      <c r="O20" s="2963"/>
      <c r="P20" s="3583"/>
      <c r="Q20" s="2881"/>
      <c r="R20" s="1695"/>
      <c r="S20" s="1696"/>
      <c r="T20" s="1695"/>
      <c r="U20" s="1696"/>
      <c r="V20" s="1695"/>
      <c r="W20" s="1696"/>
      <c r="X20" s="2040"/>
      <c r="Y20" s="3583"/>
      <c r="Z20" s="2044"/>
      <c r="AA20" s="2035">
        <v>1</v>
      </c>
      <c r="AB20" s="2035">
        <v>1</v>
      </c>
      <c r="AC20" s="2035">
        <v>1</v>
      </c>
    </row>
    <row r="21" spans="1:29" ht="28.5">
      <c r="A21" s="1672"/>
      <c r="B21" s="2462" t="s">
        <v>2330</v>
      </c>
      <c r="C21" s="1946"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38"/>
      <c r="L21" s="2967"/>
      <c r="M21" s="2963"/>
      <c r="N21" s="2963"/>
      <c r="O21" s="2963"/>
      <c r="P21" s="3583"/>
      <c r="Q21" s="2881" t="str">
        <f>B21</f>
        <v>基础设施水平</v>
      </c>
      <c r="R21" s="1695" t="s">
        <v>25</v>
      </c>
      <c r="S21" s="1696">
        <f>F21</f>
        <v>100</v>
      </c>
      <c r="T21" s="1695" t="s">
        <v>25</v>
      </c>
      <c r="U21" s="1696">
        <f>H21</f>
        <v>100</v>
      </c>
      <c r="V21" s="1695" t="s">
        <v>25</v>
      </c>
      <c r="W21" s="1696">
        <f>J21</f>
        <v>100</v>
      </c>
      <c r="X21" s="2040"/>
      <c r="Y21" s="3583"/>
      <c r="Z21" s="2044" t="str">
        <f>Q21</f>
        <v>基础设施水平</v>
      </c>
      <c r="AA21" s="2035">
        <f t="shared" ref="AA21" si="8">D21/F21</f>
        <v>1</v>
      </c>
      <c r="AB21" s="2035">
        <f t="shared" ref="AB21" si="9">D21/H21</f>
        <v>1</v>
      </c>
      <c r="AC21" s="2035">
        <f t="shared" ref="AC21" si="10">D21/J21</f>
        <v>1</v>
      </c>
    </row>
    <row r="22" spans="1:29" ht="15">
      <c r="A22" s="1672"/>
      <c r="B22" s="2462"/>
      <c r="C22" s="1945"/>
      <c r="D22" s="1701"/>
      <c r="E22" s="1700"/>
      <c r="F22" s="1701"/>
      <c r="G22" s="1941"/>
      <c r="H22" s="1701"/>
      <c r="I22" s="1941"/>
      <c r="J22" s="1701"/>
      <c r="K22" s="2440"/>
      <c r="L22" s="2967"/>
      <c r="M22" s="2963"/>
      <c r="N22" s="2963"/>
      <c r="O22" s="2963"/>
      <c r="P22" s="3583"/>
      <c r="Q22" s="2881"/>
      <c r="R22" s="1695"/>
      <c r="S22" s="1696"/>
      <c r="T22" s="1695"/>
      <c r="U22" s="1696"/>
      <c r="V22" s="1695"/>
      <c r="W22" s="1696"/>
      <c r="X22" s="2040"/>
      <c r="Y22" s="3583"/>
      <c r="Z22" s="2044"/>
      <c r="AA22" s="2035">
        <v>1</v>
      </c>
      <c r="AB22" s="2035">
        <v>1</v>
      </c>
      <c r="AC22" s="2035">
        <v>1</v>
      </c>
    </row>
    <row r="23" spans="1:29" ht="57">
      <c r="A23" s="1672"/>
      <c r="B23" s="2460" t="s">
        <v>2331</v>
      </c>
      <c r="C23" s="1946"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38"/>
      <c r="L23" s="2967"/>
      <c r="M23" s="2963"/>
      <c r="N23" s="2963"/>
      <c r="O23" s="2963"/>
      <c r="P23" s="3583"/>
      <c r="Q23" s="2881" t="str">
        <f>B23</f>
        <v>环境质量</v>
      </c>
      <c r="R23" s="1695" t="s">
        <v>25</v>
      </c>
      <c r="S23" s="1696">
        <f>F23</f>
        <v>100</v>
      </c>
      <c r="T23" s="1695" t="s">
        <v>25</v>
      </c>
      <c r="U23" s="1696">
        <f>H23</f>
        <v>100</v>
      </c>
      <c r="V23" s="1695" t="s">
        <v>25</v>
      </c>
      <c r="W23" s="1696">
        <f>J23</f>
        <v>100</v>
      </c>
      <c r="X23" s="2040"/>
      <c r="Y23" s="3583"/>
      <c r="Z23" s="2044" t="str">
        <f>Q23</f>
        <v>环境质量</v>
      </c>
      <c r="AA23" s="2035">
        <f t="shared" si="3"/>
        <v>1</v>
      </c>
      <c r="AB23" s="2035">
        <f t="shared" si="4"/>
        <v>1</v>
      </c>
      <c r="AC23" s="2035">
        <f t="shared" si="5"/>
        <v>1</v>
      </c>
    </row>
    <row r="24" spans="1:29" ht="15">
      <c r="A24" s="1672"/>
      <c r="B24" s="2462"/>
      <c r="C24" s="1941"/>
      <c r="D24" s="1701"/>
      <c r="E24" s="1704"/>
      <c r="F24" s="1701"/>
      <c r="G24" s="1702"/>
      <c r="H24" s="1701"/>
      <c r="I24" s="1702"/>
      <c r="J24" s="1701"/>
      <c r="K24" s="2439"/>
      <c r="L24" s="2967"/>
      <c r="M24" s="2963"/>
      <c r="N24" s="2963"/>
      <c r="O24" s="2963"/>
      <c r="P24" s="3583"/>
      <c r="Q24" s="2881"/>
      <c r="R24" s="1695"/>
      <c r="S24" s="1696"/>
      <c r="T24" s="1695"/>
      <c r="U24" s="1696"/>
      <c r="V24" s="1695"/>
      <c r="W24" s="1696"/>
      <c r="X24" s="2040"/>
      <c r="Y24" s="3583"/>
      <c r="Z24" s="2044"/>
      <c r="AA24" s="2035">
        <v>1</v>
      </c>
      <c r="AB24" s="2035">
        <v>1</v>
      </c>
      <c r="AC24" s="2035">
        <v>1</v>
      </c>
    </row>
    <row r="25" spans="1:29" ht="27">
      <c r="A25" s="1638"/>
      <c r="B25" s="2460" t="s">
        <v>2332</v>
      </c>
      <c r="C25" s="2463"/>
      <c r="D25" s="1681">
        <v>100</v>
      </c>
      <c r="E25" s="1680"/>
      <c r="F25" s="1681">
        <f>SUMIF(87:87,E26,88:88)-SUMIF(87:87,C26,88:88)+100</f>
        <v>100</v>
      </c>
      <c r="G25" s="2463"/>
      <c r="H25" s="1681">
        <f>SUMIF(87:87,G26,88:88)-SUMIF(87:87,C26,88:88)+100</f>
        <v>100</v>
      </c>
      <c r="I25" s="1680"/>
      <c r="J25" s="1681">
        <f>SUMIF(87:87,I26,88:88)-SUMIF(87:87,C26,88:88)+100</f>
        <v>100</v>
      </c>
      <c r="K25" s="2438"/>
      <c r="L25" s="2967"/>
      <c r="M25" s="2963"/>
      <c r="N25" s="2963"/>
      <c r="O25" s="2963"/>
      <c r="P25" s="3583"/>
      <c r="Q25" s="2881" t="str">
        <f>B25</f>
        <v>毗邻道路的类型与等级</v>
      </c>
      <c r="R25" s="1695" t="s">
        <v>25</v>
      </c>
      <c r="S25" s="1696">
        <f>F25</f>
        <v>100</v>
      </c>
      <c r="T25" s="1695" t="s">
        <v>25</v>
      </c>
      <c r="U25" s="1696">
        <f>H25</f>
        <v>100</v>
      </c>
      <c r="V25" s="1695" t="s">
        <v>25</v>
      </c>
      <c r="W25" s="1696">
        <f>J25</f>
        <v>100</v>
      </c>
      <c r="X25" s="2040"/>
      <c r="Y25" s="3583"/>
      <c r="Z25" s="2044" t="str">
        <f>Q25</f>
        <v>毗邻道路的类型与等级</v>
      </c>
      <c r="AA25" s="2035">
        <f t="shared" si="3"/>
        <v>1</v>
      </c>
      <c r="AB25" s="2035">
        <f t="shared" si="4"/>
        <v>1</v>
      </c>
      <c r="AC25" s="2035">
        <f t="shared" si="5"/>
        <v>1</v>
      </c>
    </row>
    <row r="26" spans="1:29" ht="15">
      <c r="A26" s="1638"/>
      <c r="B26" s="2461"/>
      <c r="C26" s="1949"/>
      <c r="D26" s="1681"/>
      <c r="E26" s="1957"/>
      <c r="F26" s="1681"/>
      <c r="G26" s="1949"/>
      <c r="H26" s="1681"/>
      <c r="I26" s="1957"/>
      <c r="J26" s="1681"/>
      <c r="K26" s="2439"/>
      <c r="L26" s="2967"/>
      <c r="M26" s="2963"/>
      <c r="N26" s="2963"/>
      <c r="O26" s="2963"/>
      <c r="P26" s="3583"/>
      <c r="Q26" s="2881"/>
      <c r="R26" s="1695"/>
      <c r="S26" s="1696"/>
      <c r="T26" s="1695"/>
      <c r="U26" s="1696"/>
      <c r="V26" s="1695"/>
      <c r="W26" s="1696"/>
      <c r="X26" s="2040"/>
      <c r="Y26" s="3583"/>
      <c r="Z26" s="2044"/>
      <c r="AA26" s="2035">
        <v>1</v>
      </c>
      <c r="AB26" s="2035">
        <v>1</v>
      </c>
      <c r="AC26" s="2035">
        <v>1</v>
      </c>
    </row>
    <row r="27" spans="1:29" ht="15">
      <c r="A27" s="1672"/>
      <c r="B27" s="2461" t="s">
        <v>2305</v>
      </c>
      <c r="C27" s="1949"/>
      <c r="D27" s="1681">
        <v>100</v>
      </c>
      <c r="E27" s="1957"/>
      <c r="F27" s="1681">
        <f>SUMIF(89:89,E27,90:90)-SUMIF(89:89,C27,90:90)+100</f>
        <v>100</v>
      </c>
      <c r="G27" s="1949"/>
      <c r="H27" s="1681">
        <f>SUMIF(89:89,G27,90:90)-SUMIF(89:89,C27,90:90)+100</f>
        <v>100</v>
      </c>
      <c r="I27" s="1957"/>
      <c r="J27" s="1681">
        <f>SUMIF(89:89,I27,90:90)-SUMIF(89:89,C27,90:90)+100</f>
        <v>100</v>
      </c>
      <c r="K27" s="1958"/>
      <c r="L27" s="2967"/>
      <c r="M27" s="2963"/>
      <c r="N27" s="2963"/>
      <c r="O27" s="2963"/>
      <c r="P27" s="3583"/>
      <c r="Q27" s="2881" t="str">
        <f t="shared" ref="Q27:Q47" si="11">B27</f>
        <v>楼层</v>
      </c>
      <c r="R27" s="1695" t="s">
        <v>25</v>
      </c>
      <c r="S27" s="1696">
        <f>F27</f>
        <v>100</v>
      </c>
      <c r="T27" s="1695" t="s">
        <v>25</v>
      </c>
      <c r="U27" s="1696">
        <f>H27</f>
        <v>100</v>
      </c>
      <c r="V27" s="1695" t="s">
        <v>25</v>
      </c>
      <c r="W27" s="1696">
        <f>J27</f>
        <v>100</v>
      </c>
      <c r="X27" s="2040"/>
      <c r="Y27" s="3583"/>
      <c r="Z27" s="2044" t="str">
        <f>Q27</f>
        <v>楼层</v>
      </c>
      <c r="AA27" s="2035">
        <f t="shared" si="3"/>
        <v>1</v>
      </c>
      <c r="AB27" s="2035">
        <f t="shared" si="4"/>
        <v>1</v>
      </c>
      <c r="AC27" s="2035">
        <f t="shared" si="5"/>
        <v>1</v>
      </c>
    </row>
    <row r="28" spans="1:29" s="1655" customFormat="1" ht="15">
      <c r="A28" s="1675"/>
      <c r="B28" s="2460" t="s">
        <v>2333</v>
      </c>
      <c r="C28" s="2464"/>
      <c r="D28" s="1725">
        <v>100</v>
      </c>
      <c r="E28" s="2442"/>
      <c r="F28" s="1725">
        <f>SUMIF(91:91,E28,92:92)-SUMIF(91:91,C28,92:92)+100</f>
        <v>100</v>
      </c>
      <c r="G28" s="2464"/>
      <c r="H28" s="1725">
        <f>SUMIF(91:91,G28,92:92)-SUMIF(91:91,C28,92:92)+100</f>
        <v>100</v>
      </c>
      <c r="I28" s="2442"/>
      <c r="J28" s="1725">
        <f>SUMIF(91:91,I28,92:92)-SUMIF(91:91,C28,92:92)+100</f>
        <v>100</v>
      </c>
      <c r="K28" s="1958"/>
      <c r="L28" s="2962"/>
      <c r="M28" s="2935"/>
      <c r="N28" s="2935"/>
      <c r="O28" s="2935"/>
      <c r="P28" s="3583"/>
      <c r="Q28" s="2880" t="str">
        <f t="shared" si="11"/>
        <v>朝向</v>
      </c>
      <c r="R28" s="1651" t="s">
        <v>25</v>
      </c>
      <c r="S28" s="1652">
        <f>F28</f>
        <v>100</v>
      </c>
      <c r="T28" s="1651" t="s">
        <v>25</v>
      </c>
      <c r="U28" s="1652">
        <f>H28</f>
        <v>100</v>
      </c>
      <c r="V28" s="1651" t="s">
        <v>25</v>
      </c>
      <c r="W28" s="1652">
        <f>J28</f>
        <v>100</v>
      </c>
      <c r="X28" s="1653"/>
      <c r="Y28" s="3583"/>
      <c r="Z28" s="1663" t="str">
        <f>Q28</f>
        <v>朝向</v>
      </c>
      <c r="AA28" s="2035">
        <f>D28/F28</f>
        <v>1</v>
      </c>
      <c r="AB28" s="2035">
        <f>D28/H28</f>
        <v>1</v>
      </c>
      <c r="AC28" s="2035">
        <f>D28/J28</f>
        <v>1</v>
      </c>
    </row>
    <row r="29" spans="1:29" ht="15">
      <c r="A29" s="1672"/>
      <c r="B29" s="2465">
        <v>111</v>
      </c>
      <c r="C29" s="2463"/>
      <c r="D29" s="1681">
        <v>100</v>
      </c>
      <c r="E29" s="1677"/>
      <c r="F29" s="1681">
        <f>SUMIF(93:93,E29,94:94)-SUMIF(93:93,C29,94:94)+100</f>
        <v>100</v>
      </c>
      <c r="G29" s="2456"/>
      <c r="H29" s="1681">
        <f>SUMIF(93:93,G29,94:94)-SUMIF(93:93,C29,94:94)+100</f>
        <v>100</v>
      </c>
      <c r="I29" s="1677"/>
      <c r="J29" s="1681">
        <f>SUMIF(93:93,I29,94:94)-SUMIF(93:93,C29,94:94)+100</f>
        <v>100</v>
      </c>
      <c r="K29" s="1955"/>
      <c r="L29" s="2967"/>
      <c r="M29" s="2963"/>
      <c r="N29" s="2963"/>
      <c r="O29" s="2963"/>
      <c r="P29" s="3583"/>
      <c r="Q29" s="2881">
        <f t="shared" si="11"/>
        <v>111</v>
      </c>
      <c r="R29" s="1695" t="s">
        <v>25</v>
      </c>
      <c r="S29" s="1696">
        <f t="shared" ref="S29:S47" si="12">F29</f>
        <v>100</v>
      </c>
      <c r="T29" s="1695" t="s">
        <v>25</v>
      </c>
      <c r="U29" s="1696">
        <f t="shared" ref="U29:U47" si="13">H29</f>
        <v>100</v>
      </c>
      <c r="V29" s="1695" t="s">
        <v>25</v>
      </c>
      <c r="W29" s="1696">
        <f t="shared" ref="W29:W47" si="14">J29</f>
        <v>100</v>
      </c>
      <c r="X29" s="2040"/>
      <c r="Y29" s="3583"/>
      <c r="Z29" s="2044">
        <f t="shared" ref="Z29:Z47" si="15">Q29</f>
        <v>111</v>
      </c>
      <c r="AA29" s="2035">
        <f t="shared" si="3"/>
        <v>1</v>
      </c>
      <c r="AB29" s="2035">
        <f t="shared" si="4"/>
        <v>1</v>
      </c>
      <c r="AC29" s="2035">
        <f t="shared" si="5"/>
        <v>1</v>
      </c>
    </row>
    <row r="30" spans="1:29" ht="15">
      <c r="A30" s="1672"/>
      <c r="B30" s="2465">
        <v>111</v>
      </c>
      <c r="C30" s="2463"/>
      <c r="D30" s="1681">
        <v>100</v>
      </c>
      <c r="E30" s="1677"/>
      <c r="F30" s="1681">
        <f>SUMIF(95:95,E30,96:96)-SUMIF(95:95,C30,96:96)+100</f>
        <v>100</v>
      </c>
      <c r="G30" s="2456"/>
      <c r="H30" s="1681">
        <f>SUMIF(95:95,G30,96:96)-SUMIF(95:95,C30,96:96)+100</f>
        <v>100</v>
      </c>
      <c r="I30" s="1677"/>
      <c r="J30" s="1681">
        <f>SUMIF(95:95,I30,96:96)-SUMIF(95:95,C30,96:96)+100</f>
        <v>100</v>
      </c>
      <c r="K30" s="1955"/>
      <c r="L30" s="2967"/>
      <c r="M30" s="2963"/>
      <c r="N30" s="2963"/>
      <c r="O30" s="2963"/>
      <c r="P30" s="3583"/>
      <c r="Q30" s="2881">
        <f t="shared" si="11"/>
        <v>111</v>
      </c>
      <c r="R30" s="1695" t="s">
        <v>25</v>
      </c>
      <c r="S30" s="1696">
        <f t="shared" si="12"/>
        <v>100</v>
      </c>
      <c r="T30" s="1695" t="s">
        <v>25</v>
      </c>
      <c r="U30" s="1696">
        <f t="shared" si="13"/>
        <v>100</v>
      </c>
      <c r="V30" s="1695" t="s">
        <v>25</v>
      </c>
      <c r="W30" s="1696">
        <f t="shared" si="14"/>
        <v>100</v>
      </c>
      <c r="X30" s="2040"/>
      <c r="Y30" s="3583"/>
      <c r="Z30" s="2044">
        <f t="shared" si="15"/>
        <v>111</v>
      </c>
      <c r="AA30" s="2035">
        <f t="shared" si="3"/>
        <v>1</v>
      </c>
      <c r="AB30" s="2035">
        <f t="shared" si="4"/>
        <v>1</v>
      </c>
      <c r="AC30" s="2035">
        <f t="shared" si="5"/>
        <v>1</v>
      </c>
    </row>
    <row r="31" spans="1:29" ht="15">
      <c r="A31" s="1672"/>
      <c r="B31" s="2465">
        <v>111</v>
      </c>
      <c r="C31" s="2463"/>
      <c r="D31" s="1681">
        <v>100</v>
      </c>
      <c r="E31" s="1677"/>
      <c r="F31" s="1681">
        <f>SUMIF(97:97,E31,98:98)-SUMIF(97:97,C31,98:98)+100</f>
        <v>100</v>
      </c>
      <c r="G31" s="2456"/>
      <c r="H31" s="1681">
        <f>SUMIF(97:97,G31,98:98)-SUMIF(97:97,C31,98:98)+100</f>
        <v>100</v>
      </c>
      <c r="I31" s="1677"/>
      <c r="J31" s="1681">
        <f>SUMIF(97:97,I31,98:98)-SUMIF(97:97,C31,98:98)+100</f>
        <v>100</v>
      </c>
      <c r="K31" s="1955"/>
      <c r="L31" s="2967"/>
      <c r="M31" s="2963"/>
      <c r="N31" s="2963"/>
      <c r="O31" s="2963"/>
      <c r="P31" s="3583"/>
      <c r="Q31" s="2881">
        <f t="shared" si="11"/>
        <v>111</v>
      </c>
      <c r="R31" s="1695" t="s">
        <v>25</v>
      </c>
      <c r="S31" s="1696">
        <f t="shared" si="12"/>
        <v>100</v>
      </c>
      <c r="T31" s="1695" t="s">
        <v>25</v>
      </c>
      <c r="U31" s="1696">
        <f t="shared" si="13"/>
        <v>100</v>
      </c>
      <c r="V31" s="1695" t="s">
        <v>25</v>
      </c>
      <c r="W31" s="1696">
        <f t="shared" si="14"/>
        <v>100</v>
      </c>
      <c r="X31" s="2040"/>
      <c r="Y31" s="3583"/>
      <c r="Z31" s="2044">
        <f t="shared" si="15"/>
        <v>111</v>
      </c>
      <c r="AA31" s="2035">
        <f t="shared" si="3"/>
        <v>1</v>
      </c>
      <c r="AB31" s="2035">
        <f t="shared" si="4"/>
        <v>1</v>
      </c>
      <c r="AC31" s="2035">
        <f t="shared" si="5"/>
        <v>1</v>
      </c>
    </row>
    <row r="32" spans="1:29" ht="15.75" thickBot="1">
      <c r="A32" s="1682"/>
      <c r="B32" s="2466">
        <v>111</v>
      </c>
      <c r="C32" s="2467"/>
      <c r="D32" s="1685">
        <v>100</v>
      </c>
      <c r="E32" s="2457"/>
      <c r="F32" s="1685">
        <f>SUMIF(99:99,E32,100:100)-SUMIF(99:99,C32,100:100)+100</f>
        <v>100</v>
      </c>
      <c r="G32" s="2456"/>
      <c r="H32" s="1685">
        <f>SUMIF(99:99,G32,100:100)-SUMIF(99:99,C32,100:100)+100</f>
        <v>100</v>
      </c>
      <c r="I32" s="1677"/>
      <c r="J32" s="1685">
        <f>SUMIF(99:99,I32,100:100)-SUMIF(99:99,C32,100:100)+100</f>
        <v>100</v>
      </c>
      <c r="K32" s="1955"/>
      <c r="L32" s="2967"/>
      <c r="M32" s="2963"/>
      <c r="N32" s="2963"/>
      <c r="O32" s="2963"/>
      <c r="P32" s="3583"/>
      <c r="Q32" s="2881">
        <f t="shared" si="11"/>
        <v>111</v>
      </c>
      <c r="R32" s="1695" t="s">
        <v>25</v>
      </c>
      <c r="S32" s="1696">
        <f t="shared" si="12"/>
        <v>100</v>
      </c>
      <c r="T32" s="1695" t="s">
        <v>25</v>
      </c>
      <c r="U32" s="1696">
        <f t="shared" si="13"/>
        <v>100</v>
      </c>
      <c r="V32" s="1695" t="s">
        <v>25</v>
      </c>
      <c r="W32" s="1696">
        <f t="shared" si="14"/>
        <v>100</v>
      </c>
      <c r="X32" s="2040"/>
      <c r="Y32" s="3583"/>
      <c r="Z32" s="2044">
        <f t="shared" si="15"/>
        <v>111</v>
      </c>
      <c r="AA32" s="2035">
        <f t="shared" si="3"/>
        <v>1</v>
      </c>
      <c r="AB32" s="2035">
        <f t="shared" si="4"/>
        <v>1</v>
      </c>
      <c r="AC32" s="2035">
        <f t="shared" si="5"/>
        <v>1</v>
      </c>
    </row>
    <row r="33" spans="1:29" ht="15">
      <c r="A33" s="1687" t="s">
        <v>2218</v>
      </c>
      <c r="B33" s="1657" t="s">
        <v>2334</v>
      </c>
      <c r="C33" s="2468"/>
      <c r="D33" s="1731">
        <v>100</v>
      </c>
      <c r="E33" s="2468"/>
      <c r="F33" s="1723">
        <f>SUMIF(101:101,E33,102:102)-SUMIF(101:101,C33,102:102)+100</f>
        <v>100</v>
      </c>
      <c r="G33" s="2468"/>
      <c r="H33" s="1681">
        <f>SUMIF(101:101,G33,102:102)-SUMIF(101:101,C33,102:102)+100</f>
        <v>100</v>
      </c>
      <c r="I33" s="2468"/>
      <c r="J33" s="1731">
        <f>SUMIF(101:101,I33,102:102)-SUMIF(101:101,C33,102:102)+100</f>
        <v>100</v>
      </c>
      <c r="K33" s="1958"/>
      <c r="L33" s="2967"/>
      <c r="M33" s="2963"/>
      <c r="N33" s="2963"/>
      <c r="O33" s="2963"/>
      <c r="P33" s="3653" t="s">
        <v>2220</v>
      </c>
      <c r="Q33" s="2881" t="str">
        <f t="shared" si="11"/>
        <v>建筑类型</v>
      </c>
      <c r="R33" s="1695" t="s">
        <v>25</v>
      </c>
      <c r="S33" s="1696">
        <f t="shared" si="12"/>
        <v>100</v>
      </c>
      <c r="T33" s="1695" t="s">
        <v>25</v>
      </c>
      <c r="U33" s="1696">
        <f t="shared" si="13"/>
        <v>100</v>
      </c>
      <c r="V33" s="1695" t="s">
        <v>25</v>
      </c>
      <c r="W33" s="1696">
        <f t="shared" si="14"/>
        <v>100</v>
      </c>
      <c r="X33" s="2040"/>
      <c r="Y33" s="3587" t="s">
        <v>2220</v>
      </c>
      <c r="Z33" s="2044" t="str">
        <f t="shared" si="15"/>
        <v>建筑类型</v>
      </c>
      <c r="AA33" s="2035">
        <f t="shared" si="3"/>
        <v>1</v>
      </c>
      <c r="AB33" s="2035">
        <f t="shared" si="4"/>
        <v>1</v>
      </c>
      <c r="AC33" s="2035">
        <f t="shared" si="5"/>
        <v>1</v>
      </c>
    </row>
    <row r="34" spans="1:29" s="1739" customFormat="1" ht="15">
      <c r="A34" s="1732"/>
      <c r="B34" s="1665" t="s">
        <v>2221</v>
      </c>
      <c r="C34" s="1733"/>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5"/>
      <c r="L34" s="2966"/>
      <c r="M34" s="2025"/>
      <c r="N34" s="2025"/>
      <c r="O34" s="2025"/>
      <c r="P34" s="3587"/>
      <c r="Q34" s="1734" t="str">
        <f t="shared" si="11"/>
        <v>项目建筑规模</v>
      </c>
      <c r="R34" s="1735" t="s">
        <v>25</v>
      </c>
      <c r="S34" s="1736" t="e">
        <f t="shared" si="12"/>
        <v>#N/A</v>
      </c>
      <c r="T34" s="1735" t="s">
        <v>25</v>
      </c>
      <c r="U34" s="1736" t="e">
        <f t="shared" si="13"/>
        <v>#N/A</v>
      </c>
      <c r="V34" s="1735" t="s">
        <v>25</v>
      </c>
      <c r="W34" s="1736" t="e">
        <f t="shared" si="14"/>
        <v>#N/A</v>
      </c>
      <c r="X34" s="1737"/>
      <c r="Y34" s="3587"/>
      <c r="Z34" s="1738" t="str">
        <f t="shared" si="15"/>
        <v>项目建筑规模</v>
      </c>
      <c r="AA34" s="2035" t="e">
        <f t="shared" si="3"/>
        <v>#N/A</v>
      </c>
      <c r="AB34" s="2035" t="e">
        <f t="shared" si="4"/>
        <v>#N/A</v>
      </c>
      <c r="AC34" s="2035" t="e">
        <f t="shared" si="5"/>
        <v>#N/A</v>
      </c>
    </row>
    <row r="35" spans="1:29" ht="15">
      <c r="A35" s="1740"/>
      <c r="B35" s="1665" t="s">
        <v>2222</v>
      </c>
      <c r="C35" s="1722"/>
      <c r="D35" s="1681">
        <v>100</v>
      </c>
      <c r="E35" s="1722"/>
      <c r="F35" s="1723">
        <f>SUMIF(106:106,E35,107:107)-SUMIF(106:106,C35,107:107)+100</f>
        <v>100</v>
      </c>
      <c r="G35" s="1722"/>
      <c r="H35" s="1681">
        <f>SUMIF(106:106,G35,107:107)-SUMIF(106:106,C35,107:107)+100</f>
        <v>100</v>
      </c>
      <c r="I35" s="1722"/>
      <c r="J35" s="1681">
        <f>SUMIF(106:106,I35,107:107)-SUMIF(106:106,C35,107:107)+100</f>
        <v>100</v>
      </c>
      <c r="K35" s="1958"/>
      <c r="L35" s="2967"/>
      <c r="M35" s="2963"/>
      <c r="N35" s="2963"/>
      <c r="O35" s="2963"/>
      <c r="P35" s="3587"/>
      <c r="Q35" s="2881" t="str">
        <f t="shared" si="11"/>
        <v>建筑结构</v>
      </c>
      <c r="R35" s="1695" t="s">
        <v>25</v>
      </c>
      <c r="S35" s="1696">
        <f t="shared" si="12"/>
        <v>100</v>
      </c>
      <c r="T35" s="1695" t="s">
        <v>25</v>
      </c>
      <c r="U35" s="1696">
        <f t="shared" si="13"/>
        <v>100</v>
      </c>
      <c r="V35" s="1695" t="s">
        <v>25</v>
      </c>
      <c r="W35" s="1696">
        <f t="shared" si="14"/>
        <v>100</v>
      </c>
      <c r="X35" s="2040"/>
      <c r="Y35" s="3587"/>
      <c r="Z35" s="2044" t="str">
        <f t="shared" si="15"/>
        <v>建筑结构</v>
      </c>
      <c r="AA35" s="2035">
        <f t="shared" si="3"/>
        <v>1</v>
      </c>
      <c r="AB35" s="2035">
        <f t="shared" si="4"/>
        <v>1</v>
      </c>
      <c r="AC35" s="2035">
        <f t="shared" si="5"/>
        <v>1</v>
      </c>
    </row>
    <row r="36" spans="1:29" ht="15">
      <c r="A36" s="1740"/>
      <c r="B36" s="1665" t="s">
        <v>2307</v>
      </c>
      <c r="C36" s="1722"/>
      <c r="D36" s="1681">
        <v>100</v>
      </c>
      <c r="E36" s="1722"/>
      <c r="F36" s="1723">
        <f>SUMIF(108:108,E36,109:109)-SUMIF(108:108,C36,109:109)+100</f>
        <v>100</v>
      </c>
      <c r="G36" s="1722"/>
      <c r="H36" s="1681">
        <f>SUMIF(108:108,G36,109:109)-SUMIF(108:108,C36,109:109)+100</f>
        <v>100</v>
      </c>
      <c r="I36" s="1722"/>
      <c r="J36" s="1681">
        <f>SUMIF(108:108,I36,109:109)-SUMIF(108:108,C36,109:109)+100</f>
        <v>100</v>
      </c>
      <c r="K36" s="1958"/>
      <c r="L36" s="2967"/>
      <c r="M36" s="2963"/>
      <c r="N36" s="2963"/>
      <c r="O36" s="2963"/>
      <c r="P36" s="3587"/>
      <c r="Q36" s="2881" t="str">
        <f t="shared" si="11"/>
        <v>公共部分装修</v>
      </c>
      <c r="R36" s="1695" t="s">
        <v>25</v>
      </c>
      <c r="S36" s="1696">
        <f t="shared" si="12"/>
        <v>100</v>
      </c>
      <c r="T36" s="1695" t="s">
        <v>25</v>
      </c>
      <c r="U36" s="1696">
        <f t="shared" si="13"/>
        <v>100</v>
      </c>
      <c r="V36" s="1695" t="s">
        <v>25</v>
      </c>
      <c r="W36" s="1696">
        <f t="shared" si="14"/>
        <v>100</v>
      </c>
      <c r="X36" s="2040"/>
      <c r="Y36" s="3587"/>
      <c r="Z36" s="2044" t="str">
        <f t="shared" si="15"/>
        <v>公共部分装修</v>
      </c>
      <c r="AA36" s="2035">
        <f t="shared" si="3"/>
        <v>1</v>
      </c>
      <c r="AB36" s="2035">
        <f t="shared" si="4"/>
        <v>1</v>
      </c>
      <c r="AC36" s="2035">
        <f t="shared" si="5"/>
        <v>1</v>
      </c>
    </row>
    <row r="37" spans="1:29" ht="15">
      <c r="A37" s="1740"/>
      <c r="B37" s="1665" t="s">
        <v>2308</v>
      </c>
      <c r="C37" s="1744"/>
      <c r="D37" s="1681">
        <v>100</v>
      </c>
      <c r="E37" s="1744"/>
      <c r="F37" s="1723" t="e">
        <f>LOOKUP(E37,111:111,112:112)-LOOKUP(C37,111:111,112:112)+100</f>
        <v>#N/A</v>
      </c>
      <c r="G37" s="1744"/>
      <c r="H37" s="1723" t="e">
        <f>LOOKUP(G37,111:111,112:112)-LOOKUP(C37,111:111,112:112)+100</f>
        <v>#N/A</v>
      </c>
      <c r="I37" s="1744"/>
      <c r="J37" s="1681" t="e">
        <f>LOOKUP(I37,111:111,112:112)-LOOKUP(C37,111:111,112:112)+100</f>
        <v>#N/A</v>
      </c>
      <c r="K37" s="1958"/>
      <c r="L37" s="2967"/>
      <c r="M37" s="2963"/>
      <c r="N37" s="2963"/>
      <c r="O37" s="2963"/>
      <c r="P37" s="3587"/>
      <c r="Q37" s="2881" t="str">
        <f t="shared" si="11"/>
        <v>成新度</v>
      </c>
      <c r="R37" s="1695" t="s">
        <v>25</v>
      </c>
      <c r="S37" s="1696" t="e">
        <f t="shared" si="12"/>
        <v>#N/A</v>
      </c>
      <c r="T37" s="1695" t="s">
        <v>25</v>
      </c>
      <c r="U37" s="1696" t="e">
        <f t="shared" si="13"/>
        <v>#N/A</v>
      </c>
      <c r="V37" s="1695" t="s">
        <v>25</v>
      </c>
      <c r="W37" s="1696" t="e">
        <f t="shared" si="14"/>
        <v>#N/A</v>
      </c>
      <c r="X37" s="2040"/>
      <c r="Y37" s="3587"/>
      <c r="Z37" s="2044" t="str">
        <f t="shared" si="15"/>
        <v>成新度</v>
      </c>
      <c r="AA37" s="2035" t="e">
        <f t="shared" si="3"/>
        <v>#N/A</v>
      </c>
      <c r="AB37" s="2035" t="e">
        <f t="shared" si="4"/>
        <v>#N/A</v>
      </c>
      <c r="AC37" s="2035" t="e">
        <f t="shared" si="5"/>
        <v>#N/A</v>
      </c>
    </row>
    <row r="38" spans="1:29" s="1655" customFormat="1" ht="15">
      <c r="A38" s="1743"/>
      <c r="B38" s="1665" t="s">
        <v>2335</v>
      </c>
      <c r="C38" s="1722"/>
      <c r="D38" s="1667">
        <v>100</v>
      </c>
      <c r="E38" s="1722"/>
      <c r="F38" s="1723">
        <f>SUMIF(113:113,E38,114:114)-SUMIF(113:113,C38,114:114)+100</f>
        <v>100</v>
      </c>
      <c r="G38" s="1722"/>
      <c r="H38" s="1681">
        <f>SUMIF(113:113,G38,114:114)-SUMIF(113:113,C38,114:114)+100</f>
        <v>100</v>
      </c>
      <c r="I38" s="1722"/>
      <c r="J38" s="1681">
        <f>SUMIF(113:113,I38,114:114)-SUMIF(113:113,C38,114:114)+100</f>
        <v>100</v>
      </c>
      <c r="K38" s="1958"/>
      <c r="L38" s="2962"/>
      <c r="M38" s="2935"/>
      <c r="N38" s="2935"/>
      <c r="O38" s="2935"/>
      <c r="P38" s="3587"/>
      <c r="Q38" s="2880" t="str">
        <f t="shared" si="11"/>
        <v>写字楼等级</v>
      </c>
      <c r="R38" s="1651" t="s">
        <v>25</v>
      </c>
      <c r="S38" s="1652">
        <f t="shared" si="12"/>
        <v>100</v>
      </c>
      <c r="T38" s="1651" t="s">
        <v>25</v>
      </c>
      <c r="U38" s="1652">
        <f t="shared" si="13"/>
        <v>100</v>
      </c>
      <c r="V38" s="1651" t="s">
        <v>25</v>
      </c>
      <c r="W38" s="1652">
        <f t="shared" si="14"/>
        <v>100</v>
      </c>
      <c r="X38" s="1653"/>
      <c r="Y38" s="3587"/>
      <c r="Z38" s="1663" t="str">
        <f t="shared" si="15"/>
        <v>写字楼等级</v>
      </c>
      <c r="AA38" s="1654">
        <f t="shared" si="3"/>
        <v>1</v>
      </c>
      <c r="AB38" s="1654">
        <f t="shared" si="4"/>
        <v>1</v>
      </c>
      <c r="AC38" s="1654">
        <f t="shared" si="5"/>
        <v>1</v>
      </c>
    </row>
    <row r="39" spans="1:29" ht="15">
      <c r="A39" s="1740"/>
      <c r="B39" s="1665" t="s">
        <v>2336</v>
      </c>
      <c r="C39" s="1722"/>
      <c r="D39" s="1681">
        <v>100</v>
      </c>
      <c r="E39" s="1722"/>
      <c r="F39" s="1723">
        <f>SUMIF(115:115,E39,116:116)-SUMIF(115:115,C39,116:116)+100</f>
        <v>100</v>
      </c>
      <c r="G39" s="1722"/>
      <c r="H39" s="1681">
        <f>SUMIF(115:115,G39,116:116)-SUMIF(115:115,C39,116:116)+100</f>
        <v>100</v>
      </c>
      <c r="I39" s="1722"/>
      <c r="J39" s="1681">
        <f>SUMIF(115:115,I39,116:116)-SUMIF(115:115,C39,116:116)+100</f>
        <v>100</v>
      </c>
      <c r="K39" s="1958"/>
      <c r="L39" s="2967"/>
      <c r="M39" s="2963"/>
      <c r="N39" s="2963"/>
      <c r="O39" s="2963"/>
      <c r="P39" s="3587" t="s">
        <v>2220</v>
      </c>
      <c r="Q39" s="2881" t="str">
        <f t="shared" si="11"/>
        <v>物业管理</v>
      </c>
      <c r="R39" s="1695" t="s">
        <v>25</v>
      </c>
      <c r="S39" s="1696">
        <f t="shared" si="12"/>
        <v>100</v>
      </c>
      <c r="T39" s="1695" t="s">
        <v>25</v>
      </c>
      <c r="U39" s="1696">
        <f t="shared" si="13"/>
        <v>100</v>
      </c>
      <c r="V39" s="1695" t="s">
        <v>25</v>
      </c>
      <c r="W39" s="1696">
        <f t="shared" si="14"/>
        <v>100</v>
      </c>
      <c r="X39" s="2040"/>
      <c r="Y39" s="3587" t="s">
        <v>2220</v>
      </c>
      <c r="Z39" s="2044" t="str">
        <f t="shared" si="15"/>
        <v>物业管理</v>
      </c>
      <c r="AA39" s="2035">
        <f t="shared" si="3"/>
        <v>1</v>
      </c>
      <c r="AB39" s="2035">
        <f t="shared" si="4"/>
        <v>1</v>
      </c>
      <c r="AC39" s="2035">
        <f t="shared" si="5"/>
        <v>1</v>
      </c>
    </row>
    <row r="40" spans="1:29" ht="15">
      <c r="A40" s="1740"/>
      <c r="B40" s="1665" t="s">
        <v>2309</v>
      </c>
      <c r="C40" s="1722"/>
      <c r="D40" s="1681">
        <v>100</v>
      </c>
      <c r="E40" s="1722"/>
      <c r="F40" s="1723">
        <f>SUMIF(117:117,E40,118:118)-SUMIF(117:117,C40,118:118)+100</f>
        <v>100</v>
      </c>
      <c r="G40" s="1722"/>
      <c r="H40" s="1681">
        <f>SUMIF(117:117,G40,118:118)-SUMIF(117:117,C40,118:118)+100</f>
        <v>100</v>
      </c>
      <c r="I40" s="1722"/>
      <c r="J40" s="1681">
        <f>SUMIF(117:117,I40,118:118)-SUMIF(117:117,C40,118:118)+100</f>
        <v>100</v>
      </c>
      <c r="K40" s="1958"/>
      <c r="L40" s="2967"/>
      <c r="M40" s="2963"/>
      <c r="N40" s="2963"/>
      <c r="O40" s="2963"/>
      <c r="P40" s="3587"/>
      <c r="Q40" s="2881" t="str">
        <f t="shared" si="11"/>
        <v>市政基础设施</v>
      </c>
      <c r="R40" s="1695" t="s">
        <v>25</v>
      </c>
      <c r="S40" s="1696">
        <f t="shared" si="12"/>
        <v>100</v>
      </c>
      <c r="T40" s="1695" t="s">
        <v>25</v>
      </c>
      <c r="U40" s="1696">
        <f t="shared" si="13"/>
        <v>100</v>
      </c>
      <c r="V40" s="1695" t="s">
        <v>25</v>
      </c>
      <c r="W40" s="1696">
        <f t="shared" si="14"/>
        <v>100</v>
      </c>
      <c r="X40" s="2040"/>
      <c r="Y40" s="3587"/>
      <c r="Z40" s="2044" t="str">
        <f t="shared" si="15"/>
        <v>市政基础设施</v>
      </c>
      <c r="AA40" s="2035">
        <f t="shared" si="3"/>
        <v>1</v>
      </c>
      <c r="AB40" s="2035">
        <f t="shared" si="4"/>
        <v>1</v>
      </c>
      <c r="AC40" s="2035">
        <f t="shared" si="5"/>
        <v>1</v>
      </c>
    </row>
    <row r="41" spans="1:29" ht="15">
      <c r="A41" s="1740"/>
      <c r="B41" s="1665" t="s">
        <v>2311</v>
      </c>
      <c r="C41" s="1957"/>
      <c r="D41" s="1681">
        <v>100</v>
      </c>
      <c r="E41" s="1957"/>
      <c r="F41" s="1723">
        <f>SUMIF(119:119,E41,120:120)-SUMIF(119:119,C41,120:120)+100</f>
        <v>100</v>
      </c>
      <c r="G41" s="1957"/>
      <c r="H41" s="1681">
        <f>SUMIF(119:119,G41,120:120)-SUMIF(119:119,C41,120:120)+100</f>
        <v>100</v>
      </c>
      <c r="I41" s="1957"/>
      <c r="J41" s="1681">
        <f>SUMIF(119:119,I41,120:120)-SUMIF(119:119,C41,120:120)+100</f>
        <v>100</v>
      </c>
      <c r="K41" s="1958"/>
      <c r="L41" s="2967"/>
      <c r="M41" s="2963"/>
      <c r="N41" s="2963"/>
      <c r="O41" s="2963"/>
      <c r="P41" s="3587"/>
      <c r="Q41" s="2881" t="str">
        <f t="shared" si="11"/>
        <v>层高</v>
      </c>
      <c r="R41" s="1695" t="s">
        <v>25</v>
      </c>
      <c r="S41" s="1696">
        <f t="shared" si="12"/>
        <v>100</v>
      </c>
      <c r="T41" s="1695" t="s">
        <v>25</v>
      </c>
      <c r="U41" s="1696">
        <f t="shared" si="13"/>
        <v>100</v>
      </c>
      <c r="V41" s="1695" t="s">
        <v>25</v>
      </c>
      <c r="W41" s="1696">
        <f t="shared" si="14"/>
        <v>100</v>
      </c>
      <c r="X41" s="2040"/>
      <c r="Y41" s="3587"/>
      <c r="Z41" s="2044" t="str">
        <f t="shared" si="15"/>
        <v>层高</v>
      </c>
      <c r="AA41" s="2035">
        <f t="shared" si="3"/>
        <v>1</v>
      </c>
      <c r="AB41" s="2035">
        <f t="shared" si="4"/>
        <v>1</v>
      </c>
      <c r="AC41" s="2035">
        <f t="shared" si="5"/>
        <v>1</v>
      </c>
    </row>
    <row r="42" spans="1:29" s="1739" customFormat="1" ht="15">
      <c r="A42" s="1732"/>
      <c r="B42" s="2036" t="s">
        <v>2337</v>
      </c>
      <c r="C42" s="1680"/>
      <c r="D42" s="1681">
        <v>100</v>
      </c>
      <c r="E42" s="1680"/>
      <c r="F42" s="1723">
        <f>SUMIF(121:121,E42,122:122)-SUMIF(121:121,C42,122:122)+100</f>
        <v>100</v>
      </c>
      <c r="G42" s="1680"/>
      <c r="H42" s="1681">
        <f>SUMIF(121:121,G42,122:122)-SUMIF(121:121,C42,122:122)+100</f>
        <v>100</v>
      </c>
      <c r="I42" s="1680"/>
      <c r="J42" s="1681">
        <f>SUMIF(121:121,I42,122:122)-SUMIF(121:121,C42,122:122)+100</f>
        <v>100</v>
      </c>
      <c r="K42" s="1955"/>
      <c r="L42" s="2966"/>
      <c r="M42" s="2025"/>
      <c r="N42" s="2025"/>
      <c r="O42" s="2025"/>
      <c r="P42" s="3587"/>
      <c r="Q42" s="1734" t="str">
        <f t="shared" si="11"/>
        <v>单套建筑面积</v>
      </c>
      <c r="R42" s="1735" t="s">
        <v>25</v>
      </c>
      <c r="S42" s="1736">
        <f t="shared" si="12"/>
        <v>100</v>
      </c>
      <c r="T42" s="1735" t="s">
        <v>25</v>
      </c>
      <c r="U42" s="1736">
        <f t="shared" si="13"/>
        <v>100</v>
      </c>
      <c r="V42" s="1735" t="s">
        <v>25</v>
      </c>
      <c r="W42" s="1736">
        <f t="shared" si="14"/>
        <v>100</v>
      </c>
      <c r="X42" s="1737"/>
      <c r="Y42" s="3587"/>
      <c r="Z42" s="1738" t="str">
        <f t="shared" si="15"/>
        <v>单套建筑面积</v>
      </c>
      <c r="AA42" s="2035">
        <f t="shared" si="3"/>
        <v>1</v>
      </c>
      <c r="AB42" s="2035">
        <f t="shared" si="4"/>
        <v>1</v>
      </c>
      <c r="AC42" s="2035">
        <f t="shared" si="5"/>
        <v>1</v>
      </c>
    </row>
    <row r="43" spans="1:29" ht="15">
      <c r="A43" s="1740"/>
      <c r="B43" s="1665" t="s">
        <v>2314</v>
      </c>
      <c r="C43" s="1722"/>
      <c r="D43" s="1681">
        <v>100</v>
      </c>
      <c r="E43" s="1722"/>
      <c r="F43" s="1723">
        <f>SUMIF(123:123,E43,124:124)-SUMIF(123:123,C43,124:124)+100</f>
        <v>100</v>
      </c>
      <c r="G43" s="1722"/>
      <c r="H43" s="1681">
        <f>SUMIF(123:123,G43,124:124)-SUMIF(123:123,C43,124:124)+100</f>
        <v>100</v>
      </c>
      <c r="I43" s="1722"/>
      <c r="J43" s="1681">
        <f>SUMIF(123:123,I43,124:124)-SUMIF(123:123,C43,124:124)+100</f>
        <v>100</v>
      </c>
      <c r="K43" s="1958"/>
      <c r="L43" s="2967"/>
      <c r="M43" s="2963"/>
      <c r="N43" s="2963"/>
      <c r="O43" s="2963"/>
      <c r="P43" s="3587"/>
      <c r="Q43" s="2881" t="str">
        <f t="shared" si="11"/>
        <v>内部装修</v>
      </c>
      <c r="R43" s="1695" t="s">
        <v>25</v>
      </c>
      <c r="S43" s="1696">
        <f t="shared" si="12"/>
        <v>100</v>
      </c>
      <c r="T43" s="1695" t="s">
        <v>25</v>
      </c>
      <c r="U43" s="1696">
        <f t="shared" si="13"/>
        <v>100</v>
      </c>
      <c r="V43" s="1695" t="s">
        <v>25</v>
      </c>
      <c r="W43" s="1696">
        <f t="shared" si="14"/>
        <v>100</v>
      </c>
      <c r="X43" s="2040"/>
      <c r="Y43" s="3587"/>
      <c r="Z43" s="2044" t="str">
        <f t="shared" si="15"/>
        <v>内部装修</v>
      </c>
      <c r="AA43" s="2035">
        <f t="shared" si="3"/>
        <v>1</v>
      </c>
      <c r="AB43" s="2035">
        <f t="shared" si="4"/>
        <v>1</v>
      </c>
      <c r="AC43" s="2035">
        <f t="shared" si="5"/>
        <v>1</v>
      </c>
    </row>
    <row r="44" spans="1:29" ht="15">
      <c r="A44" s="1740"/>
      <c r="B44" s="1665" t="s">
        <v>2231</v>
      </c>
      <c r="C44" s="1722"/>
      <c r="D44" s="1681">
        <v>100</v>
      </c>
      <c r="E44" s="1724"/>
      <c r="F44" s="1723">
        <f>SUMIF(125:125,E44,126:126)-SUMIF(125:125,C44,126:126)+100</f>
        <v>100</v>
      </c>
      <c r="G44" s="1724"/>
      <c r="H44" s="1681">
        <f>SUMIF(125:125,G44,126:126)-SUMIF(125:125,C44,126:126)+100</f>
        <v>100</v>
      </c>
      <c r="I44" s="1724"/>
      <c r="J44" s="1681">
        <f>SUMIF(125:125,I44,126:126)-SUMIF(125:125,C44,126:126)+100</f>
        <v>100</v>
      </c>
      <c r="K44" s="1958"/>
      <c r="L44" s="2967"/>
      <c r="M44" s="2963"/>
      <c r="N44" s="2963"/>
      <c r="O44" s="2963"/>
      <c r="P44" s="3587"/>
      <c r="Q44" s="2881" t="str">
        <f t="shared" si="11"/>
        <v>内部装修维护情况</v>
      </c>
      <c r="R44" s="1695" t="s">
        <v>25</v>
      </c>
      <c r="S44" s="1696">
        <f t="shared" si="12"/>
        <v>100</v>
      </c>
      <c r="T44" s="1695" t="s">
        <v>25</v>
      </c>
      <c r="U44" s="1696">
        <f t="shared" si="13"/>
        <v>100</v>
      </c>
      <c r="V44" s="1695" t="s">
        <v>25</v>
      </c>
      <c r="W44" s="1696">
        <f t="shared" si="14"/>
        <v>100</v>
      </c>
      <c r="X44" s="2040"/>
      <c r="Y44" s="3587"/>
      <c r="Z44" s="2044" t="str">
        <f t="shared" si="15"/>
        <v>内部装修维护情况</v>
      </c>
      <c r="AA44" s="2035">
        <f t="shared" si="3"/>
        <v>1</v>
      </c>
      <c r="AB44" s="2035">
        <f t="shared" si="4"/>
        <v>1</v>
      </c>
      <c r="AC44" s="2035">
        <f t="shared" si="5"/>
        <v>1</v>
      </c>
    </row>
    <row r="45" spans="1:29" s="1655" customFormat="1" ht="15">
      <c r="A45" s="1743"/>
      <c r="B45" s="1729">
        <v>111</v>
      </c>
      <c r="C45" s="1733"/>
      <c r="D45" s="1667">
        <v>100</v>
      </c>
      <c r="E45" s="1677"/>
      <c r="F45" s="1669">
        <f>SUMIF(127:127,E45,128:128)-SUMIF(127:127,C45,128:128)+100</f>
        <v>100</v>
      </c>
      <c r="G45" s="1677"/>
      <c r="H45" s="1667">
        <f>SUMIF(127:127,G45,128:128)-SUMIF(127:127,C45,128:128)+100</f>
        <v>100</v>
      </c>
      <c r="I45" s="1677"/>
      <c r="J45" s="1667">
        <f>SUMIF(127:127,I45,128:128)-SUMIF(127:127,C45,128:128)+100</f>
        <v>100</v>
      </c>
      <c r="K45" s="1955"/>
      <c r="L45" s="2962"/>
      <c r="M45" s="2935"/>
      <c r="N45" s="2935"/>
      <c r="O45" s="2935"/>
      <c r="P45" s="3587"/>
      <c r="Q45" s="2880">
        <f t="shared" si="11"/>
        <v>111</v>
      </c>
      <c r="R45" s="1651" t="s">
        <v>25</v>
      </c>
      <c r="S45" s="1652">
        <f t="shared" si="12"/>
        <v>100</v>
      </c>
      <c r="T45" s="1651" t="s">
        <v>25</v>
      </c>
      <c r="U45" s="1652">
        <f t="shared" si="13"/>
        <v>100</v>
      </c>
      <c r="V45" s="1651" t="s">
        <v>25</v>
      </c>
      <c r="W45" s="1652">
        <f t="shared" si="14"/>
        <v>100</v>
      </c>
      <c r="X45" s="1653"/>
      <c r="Y45" s="3587"/>
      <c r="Z45" s="1663">
        <f t="shared" si="15"/>
        <v>111</v>
      </c>
      <c r="AA45" s="1654">
        <f t="shared" si="3"/>
        <v>1</v>
      </c>
      <c r="AB45" s="1654">
        <f t="shared" si="4"/>
        <v>1</v>
      </c>
      <c r="AC45" s="1654">
        <f t="shared" si="5"/>
        <v>1</v>
      </c>
    </row>
    <row r="46" spans="1:29" ht="15">
      <c r="A46" s="1740"/>
      <c r="B46" s="1729">
        <v>111</v>
      </c>
      <c r="C46" s="1680"/>
      <c r="D46" s="1681">
        <v>100</v>
      </c>
      <c r="E46" s="1677"/>
      <c r="F46" s="1723">
        <f>SUMIF(129:129,E46,130:130)-SUMIF(129:129,C46,130:130)+100</f>
        <v>100</v>
      </c>
      <c r="G46" s="1677"/>
      <c r="H46" s="1681">
        <f>SUMIF(129:129,G46,130:130)-SUMIF(129:129,C46,130:130)+100</f>
        <v>100</v>
      </c>
      <c r="I46" s="1677"/>
      <c r="J46" s="1681">
        <f>SUMIF(129:129,I46,130:130)-SUMIF(129:129,C46,130:130)+100</f>
        <v>100</v>
      </c>
      <c r="K46" s="1955"/>
      <c r="L46" s="2967"/>
      <c r="M46" s="2963"/>
      <c r="N46" s="2963"/>
      <c r="O46" s="2963"/>
      <c r="P46" s="3587"/>
      <c r="Q46" s="2881">
        <f t="shared" si="11"/>
        <v>111</v>
      </c>
      <c r="R46" s="1695" t="s">
        <v>25</v>
      </c>
      <c r="S46" s="1696">
        <f t="shared" si="12"/>
        <v>100</v>
      </c>
      <c r="T46" s="1695" t="s">
        <v>25</v>
      </c>
      <c r="U46" s="1696">
        <f t="shared" si="13"/>
        <v>100</v>
      </c>
      <c r="V46" s="1695" t="s">
        <v>25</v>
      </c>
      <c r="W46" s="1696">
        <f t="shared" si="14"/>
        <v>100</v>
      </c>
      <c r="X46" s="2040"/>
      <c r="Y46" s="3587"/>
      <c r="Z46" s="2044">
        <f t="shared" si="15"/>
        <v>111</v>
      </c>
      <c r="AA46" s="2035">
        <f t="shared" si="3"/>
        <v>1</v>
      </c>
      <c r="AB46" s="2035">
        <f t="shared" si="4"/>
        <v>1</v>
      </c>
      <c r="AC46" s="2035">
        <f t="shared" si="5"/>
        <v>1</v>
      </c>
    </row>
    <row r="47" spans="1:29" ht="15.75" thickBot="1">
      <c r="A47" s="1746"/>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5"/>
      <c r="L47" s="2967"/>
      <c r="M47" s="2963"/>
      <c r="N47" s="2963"/>
      <c r="O47" s="2963"/>
      <c r="P47" s="3588"/>
      <c r="Q47" s="2881">
        <f t="shared" si="11"/>
        <v>111</v>
      </c>
      <c r="R47" s="1695" t="s">
        <v>25</v>
      </c>
      <c r="S47" s="1696">
        <f t="shared" si="12"/>
        <v>100</v>
      </c>
      <c r="T47" s="1695" t="s">
        <v>25</v>
      </c>
      <c r="U47" s="1696">
        <f t="shared" si="13"/>
        <v>100</v>
      </c>
      <c r="V47" s="1695" t="s">
        <v>25</v>
      </c>
      <c r="W47" s="1696">
        <f t="shared" si="14"/>
        <v>100</v>
      </c>
      <c r="X47" s="2040"/>
      <c r="Y47" s="3588"/>
      <c r="Z47" s="2044">
        <f t="shared" si="15"/>
        <v>111</v>
      </c>
      <c r="AA47" s="2035">
        <f t="shared" si="3"/>
        <v>1</v>
      </c>
      <c r="AB47" s="2035">
        <f t="shared" si="4"/>
        <v>1</v>
      </c>
      <c r="AC47" s="2035">
        <f t="shared" si="5"/>
        <v>1</v>
      </c>
    </row>
    <row r="48" spans="1:29" ht="15">
      <c r="A48" s="1747" t="s">
        <v>2232</v>
      </c>
      <c r="B48" s="1748"/>
      <c r="C48" s="1749" t="s">
        <v>1</v>
      </c>
      <c r="D48" s="1750"/>
      <c r="E48" s="1751"/>
      <c r="F48" s="1752"/>
      <c r="G48" s="1753"/>
      <c r="H48" s="1754"/>
      <c r="I48" s="1751"/>
      <c r="J48" s="1754"/>
      <c r="K48" s="1979"/>
      <c r="L48" s="2968"/>
      <c r="M48" s="2963"/>
      <c r="N48" s="2963"/>
      <c r="O48" s="2963"/>
      <c r="P48" s="3578" t="str">
        <f>A48</f>
        <v>成交单价（元/平方米）</v>
      </c>
      <c r="Q48" s="3578"/>
      <c r="R48" s="3579">
        <f>E48</f>
        <v>0</v>
      </c>
      <c r="S48" s="3579"/>
      <c r="T48" s="3579">
        <f>G48</f>
        <v>0</v>
      </c>
      <c r="U48" s="3579"/>
      <c r="V48" s="3579">
        <f>I48</f>
        <v>0</v>
      </c>
      <c r="W48" s="3579"/>
      <c r="X48" s="1757"/>
      <c r="Y48" s="2039"/>
      <c r="Z48" s="1757"/>
      <c r="AA48" s="1757"/>
      <c r="AB48" s="1757"/>
      <c r="AC48" s="1757"/>
    </row>
    <row r="49" spans="1:29" ht="15.75" thickBot="1">
      <c r="A49" s="1759" t="s">
        <v>2315</v>
      </c>
      <c r="B49" s="1760"/>
      <c r="C49" s="1761" t="e">
        <f>R50</f>
        <v>#DIV/0!</v>
      </c>
      <c r="D49" s="1762" t="s">
        <v>2685</v>
      </c>
      <c r="E49" s="1763" t="e">
        <f>R49</f>
        <v>#DIV/0!</v>
      </c>
      <c r="F49" s="1764"/>
      <c r="G49" s="1761" t="e">
        <f>T49</f>
        <v>#DIV/0!</v>
      </c>
      <c r="H49" s="1764"/>
      <c r="I49" s="1763" t="e">
        <f>V49</f>
        <v>#DIV/0!</v>
      </c>
      <c r="J49" s="1764"/>
      <c r="K49" s="2476">
        <f>F49+H49+J49</f>
        <v>0</v>
      </c>
      <c r="L49" s="2968"/>
      <c r="M49" s="2963"/>
      <c r="N49" s="2963"/>
      <c r="O49" s="2963"/>
      <c r="P49" s="3578" t="str">
        <f>A49</f>
        <v>比较价值（元/平方米）</v>
      </c>
      <c r="Q49" s="3578"/>
      <c r="R49" s="3579" t="e">
        <f>IF(E1="售价",ROUND(PRODUCT(R48,AA7:AA47),0),ROUND(PRODUCT(R48,AA7:AA47),1))</f>
        <v>#DIV/0!</v>
      </c>
      <c r="S49" s="3579"/>
      <c r="T49" s="3579" t="e">
        <f>IF(E1="售价",ROUND(PRODUCT(T48,AB7:AB47),0),ROUND(PRODUCT(T48,AB7:AB47),1))</f>
        <v>#DIV/0!</v>
      </c>
      <c r="U49" s="3579"/>
      <c r="V49" s="3579" t="e">
        <f>IF(E1="售价",ROUND(PRODUCT(V48,AC7:AC47),0),ROUND(PRODUCT(V48,AC7:AC47),1))</f>
        <v>#DIV/0!</v>
      </c>
      <c r="W49" s="3579"/>
      <c r="X49" s="1757"/>
      <c r="Y49" s="1757"/>
      <c r="Z49" s="1757"/>
      <c r="AA49" s="1757"/>
      <c r="AB49" s="1757"/>
      <c r="AC49" s="1757"/>
    </row>
    <row r="50" spans="1:29" ht="15.75" thickBot="1">
      <c r="A50" s="1765" t="s">
        <v>2338</v>
      </c>
      <c r="B50" s="1766"/>
      <c r="C50" s="1768" t="e">
        <f>R50</f>
        <v>#DIV/0!</v>
      </c>
      <c r="D50" s="1768"/>
      <c r="E50" s="1768"/>
      <c r="F50" s="1768"/>
      <c r="G50" s="1768"/>
      <c r="H50" s="1768"/>
      <c r="I50" s="1768"/>
      <c r="J50" s="1768"/>
      <c r="K50" s="1984"/>
      <c r="L50" s="2968"/>
      <c r="M50" s="2963"/>
      <c r="N50" s="2963"/>
      <c r="O50" s="2963"/>
      <c r="P50" s="3575" t="str">
        <f>A50</f>
        <v>估价对象XX用房的比较价值（楼面单价，元/平方米）</v>
      </c>
      <c r="Q50" s="3576"/>
      <c r="R50" s="3577" t="e">
        <f>IF(E1="售价",ROUND(IF(D49="简单平均",AVERAGE(R49:V49),R49*F49+T49*H49+V49*J49),0),ROUND(IF(D49="简单平均",AVERAGE(R49:V49),R49*F49+T49*H49+V49*J49),1))</f>
        <v>#DIV/0!</v>
      </c>
      <c r="S50" s="3577"/>
      <c r="T50" s="3577"/>
      <c r="U50" s="3577"/>
      <c r="V50" s="3577"/>
      <c r="W50" s="3577"/>
      <c r="X50" s="1757"/>
      <c r="Y50" s="1757"/>
      <c r="Z50" s="1757"/>
      <c r="AA50" s="1757"/>
      <c r="AB50" s="1757"/>
      <c r="AC50" s="1757"/>
    </row>
    <row r="51" spans="1:29">
      <c r="G51" s="2972"/>
    </row>
    <row r="53" spans="1:29" ht="13.5" customHeight="1">
      <c r="C53" s="383" t="s">
        <v>2317</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2318</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2319</v>
      </c>
      <c r="D55" s="1776"/>
      <c r="E55" s="1774" t="e">
        <f>IF(E48&lt;G48,G48/E48-1,E48/G48-1)</f>
        <v>#DIV/0!</v>
      </c>
      <c r="F55" s="1775" t="e">
        <f>IF(OR(E55&gt;=0.3,E55&lt;=-0.3),"超过30%","")</f>
        <v>#DIV/0!</v>
      </c>
      <c r="G55" s="1774" t="e">
        <f>IF(G48&lt;I48,I48/G48-1,G48/I48-1)</f>
        <v>#DIV/0!</v>
      </c>
      <c r="H55" s="1775" t="e">
        <f>IF(OR(G55&gt;=0.3,G55&lt;=-0.3),"超过30%","")</f>
        <v>#DIV/0!</v>
      </c>
      <c r="I55" s="1774" t="e">
        <f>IF(I48&lt;E48,E48/I48-1,I48/E48-1)</f>
        <v>#DIV/0!</v>
      </c>
      <c r="J55" s="1775" t="e">
        <f>IF(OR(I55&gt;=0.3,I55&lt;=-0.3),"超过30%","")</f>
        <v>#DIV/0!</v>
      </c>
      <c r="K55" s="2975"/>
      <c r="L55" s="2969"/>
    </row>
    <row r="56" spans="1:29" s="1779" customFormat="1">
      <c r="B56" s="2973"/>
      <c r="C56" s="2974"/>
      <c r="K56" s="2975"/>
      <c r="L56" s="2969"/>
    </row>
    <row r="57" spans="1:29">
      <c r="B57" s="2973"/>
      <c r="C57" s="2974"/>
    </row>
    <row r="58" spans="1:29" ht="21.75" thickBot="1">
      <c r="A58" s="1782" t="s">
        <v>2320</v>
      </c>
      <c r="B58" s="1757"/>
      <c r="C58" s="1783"/>
      <c r="D58" s="1783"/>
      <c r="E58" s="1783"/>
      <c r="F58" s="1783"/>
      <c r="G58" s="1783"/>
      <c r="H58" s="1783"/>
      <c r="I58" s="1783"/>
      <c r="J58" s="1783"/>
      <c r="K58" s="1784"/>
      <c r="L58" s="1785"/>
      <c r="M58" s="1783"/>
      <c r="N58" s="2971"/>
      <c r="O58" s="2971"/>
      <c r="P58" s="2011"/>
      <c r="Q58" s="1787"/>
    </row>
    <row r="59" spans="1:29" s="1793" customFormat="1" ht="15">
      <c r="A59" s="1788" t="s">
        <v>2202</v>
      </c>
      <c r="B59" s="1789"/>
      <c r="C59" s="1790" t="str">
        <f>YEAR(C7)&amp;"-"&amp;MONTH(C7)</f>
        <v>2022-2</v>
      </c>
      <c r="D59" s="1791">
        <f>EDATE(C59,-1)</f>
        <v>44562</v>
      </c>
      <c r="E59" s="1791">
        <f t="shared" ref="E59:O59" si="16">EDATE(D59,-1)</f>
        <v>44531</v>
      </c>
      <c r="F59" s="1791">
        <f t="shared" si="16"/>
        <v>44501</v>
      </c>
      <c r="G59" s="1791">
        <f t="shared" si="16"/>
        <v>44470</v>
      </c>
      <c r="H59" s="1791">
        <f t="shared" si="16"/>
        <v>44440</v>
      </c>
      <c r="I59" s="1791">
        <f t="shared" si="16"/>
        <v>44409</v>
      </c>
      <c r="J59" s="1791">
        <f t="shared" si="16"/>
        <v>44378</v>
      </c>
      <c r="K59" s="1791">
        <f t="shared" si="16"/>
        <v>44348</v>
      </c>
      <c r="L59" s="1791">
        <f t="shared" si="16"/>
        <v>44317</v>
      </c>
      <c r="M59" s="1791">
        <f t="shared" si="16"/>
        <v>44287</v>
      </c>
      <c r="N59" s="1791">
        <f t="shared" si="16"/>
        <v>44256</v>
      </c>
      <c r="O59" s="1791">
        <f t="shared" si="16"/>
        <v>44228</v>
      </c>
      <c r="P59" s="2469"/>
    </row>
    <row r="60" spans="1:29" s="1655" customFormat="1" ht="15">
      <c r="A60" s="1794"/>
      <c r="B60" s="1795"/>
      <c r="C60" s="1796">
        <v>100</v>
      </c>
      <c r="D60" s="1797"/>
      <c r="E60" s="1797"/>
      <c r="F60" s="1797"/>
      <c r="G60" s="1797"/>
      <c r="H60" s="1797"/>
      <c r="I60" s="1797"/>
      <c r="J60" s="1797"/>
      <c r="K60" s="1797"/>
      <c r="L60" s="1797"/>
      <c r="M60" s="1798"/>
      <c r="N60" s="1797"/>
      <c r="O60" s="1811"/>
      <c r="P60" s="1787"/>
    </row>
    <row r="61" spans="1:29" s="1655" customFormat="1" ht="15.75" thickBot="1">
      <c r="A61" s="1800" t="s">
        <v>2240</v>
      </c>
      <c r="B61" s="1801"/>
      <c r="C61" s="1802"/>
      <c r="D61" s="1803"/>
      <c r="E61" s="1803"/>
      <c r="F61" s="1803"/>
      <c r="G61" s="1803"/>
      <c r="H61" s="1803"/>
      <c r="I61" s="1803"/>
      <c r="J61" s="1803"/>
      <c r="K61" s="1803"/>
      <c r="L61" s="1803"/>
      <c r="M61" s="1804"/>
      <c r="N61" s="1803"/>
      <c r="O61" s="2470"/>
      <c r="P61" s="1787"/>
      <c r="Q61" s="1787"/>
    </row>
    <row r="62" spans="1:29" s="1655" customFormat="1" ht="15">
      <c r="A62" s="1805" t="s">
        <v>2204</v>
      </c>
      <c r="B62" s="1795"/>
      <c r="C62" s="1806" t="s">
        <v>2205</v>
      </c>
      <c r="D62" s="409"/>
      <c r="E62" s="409"/>
      <c r="F62" s="409"/>
      <c r="G62" s="409"/>
      <c r="H62" s="409"/>
      <c r="I62" s="409"/>
      <c r="J62" s="409"/>
      <c r="K62" s="409"/>
      <c r="L62" s="409"/>
      <c r="M62" s="1807"/>
      <c r="N62" s="2980"/>
      <c r="O62" s="2980"/>
      <c r="P62" s="2022"/>
      <c r="Q62" s="1787"/>
    </row>
    <row r="63" spans="1:29" s="1655" customFormat="1" ht="15.75" thickBot="1">
      <c r="A63" s="1805"/>
      <c r="B63" s="1795"/>
      <c r="C63" s="1810">
        <v>100</v>
      </c>
      <c r="D63" s="1797"/>
      <c r="E63" s="1797"/>
      <c r="F63" s="1797"/>
      <c r="G63" s="1797"/>
      <c r="H63" s="1797"/>
      <c r="I63" s="1797"/>
      <c r="J63" s="1797"/>
      <c r="K63" s="1797"/>
      <c r="L63" s="1797"/>
      <c r="M63" s="1811"/>
      <c r="N63" s="2980"/>
      <c r="O63" s="2980"/>
      <c r="P63" s="1787"/>
      <c r="Q63" s="1787"/>
    </row>
    <row r="64" spans="1:29">
      <c r="A64" s="1812" t="s">
        <v>2243</v>
      </c>
      <c r="B64" s="1813" t="s">
        <v>2208</v>
      </c>
      <c r="C64" s="1814">
        <f>C9</f>
        <v>0</v>
      </c>
      <c r="D64" s="1815"/>
      <c r="E64" s="1815"/>
      <c r="F64" s="1815"/>
      <c r="G64" s="1815"/>
      <c r="H64" s="1815"/>
      <c r="I64" s="1815"/>
      <c r="J64" s="1815"/>
      <c r="K64" s="417"/>
      <c r="L64" s="417"/>
      <c r="M64" s="1816"/>
      <c r="N64" s="2981"/>
      <c r="O64" s="2981"/>
      <c r="P64" s="2023"/>
      <c r="Q64" s="1787"/>
    </row>
    <row r="65" spans="1:17" ht="15.75" thickBot="1">
      <c r="A65" s="1819"/>
      <c r="B65" s="1820"/>
      <c r="C65" s="1821">
        <v>100</v>
      </c>
      <c r="D65" s="1821"/>
      <c r="E65" s="1821"/>
      <c r="F65" s="1821"/>
      <c r="G65" s="1821"/>
      <c r="H65" s="1821"/>
      <c r="I65" s="1821"/>
      <c r="J65" s="1821"/>
      <c r="K65" s="1821"/>
      <c r="L65" s="1821"/>
      <c r="M65" s="1822"/>
      <c r="N65" s="2982"/>
      <c r="O65" s="2982"/>
      <c r="P65" s="2023"/>
      <c r="Q65" s="1787"/>
    </row>
    <row r="66" spans="1:17" ht="27.75" thickTop="1">
      <c r="A66" s="1819"/>
      <c r="B66" s="1824" t="s">
        <v>2211</v>
      </c>
      <c r="C66" s="1825" t="s">
        <v>2244</v>
      </c>
      <c r="D66" s="1825" t="s">
        <v>2245</v>
      </c>
      <c r="E66" s="1825" t="s">
        <v>2246</v>
      </c>
      <c r="F66" s="1825" t="s">
        <v>2247</v>
      </c>
      <c r="G66" s="1825" t="s">
        <v>2248</v>
      </c>
      <c r="H66" s="1825" t="s">
        <v>2249</v>
      </c>
      <c r="I66" s="1825" t="s">
        <v>2250</v>
      </c>
      <c r="J66" s="1825"/>
      <c r="K66" s="428"/>
      <c r="L66" s="428"/>
      <c r="M66" s="1826"/>
      <c r="N66" s="2981"/>
      <c r="O66" s="2981"/>
      <c r="P66" s="2023"/>
      <c r="Q66" s="1787"/>
    </row>
    <row r="67" spans="1:17" ht="15.75" thickBot="1">
      <c r="A67" s="1819"/>
      <c r="B67" s="1827"/>
      <c r="C67" s="1828" t="s">
        <v>36</v>
      </c>
      <c r="D67" s="1828" t="s">
        <v>37</v>
      </c>
      <c r="E67" s="1828">
        <v>100</v>
      </c>
      <c r="F67" s="1828">
        <f>E67-$K10</f>
        <v>100</v>
      </c>
      <c r="G67" s="1828">
        <f>F67-$K10</f>
        <v>100</v>
      </c>
      <c r="H67" s="1828">
        <f>G67-$K10</f>
        <v>100</v>
      </c>
      <c r="I67" s="1828">
        <f>H67-$K10</f>
        <v>100</v>
      </c>
      <c r="J67" s="1828"/>
      <c r="K67" s="1828"/>
      <c r="L67" s="1828"/>
      <c r="M67" s="1829"/>
      <c r="N67" s="2982"/>
      <c r="O67" s="2982"/>
      <c r="P67" s="2023"/>
      <c r="Q67" s="1787"/>
    </row>
    <row r="68" spans="1:17" ht="15.75" thickTop="1">
      <c r="A68" s="1819"/>
      <c r="B68" s="1830" t="s">
        <v>2212</v>
      </c>
      <c r="C68" s="1831" t="str">
        <f>C69&amp;"（含）"&amp;"-"&amp;D69</f>
        <v>（含）-</v>
      </c>
      <c r="D68" s="1831" t="str">
        <f t="shared" ref="D68:L68" si="17">D69&amp;"（含）"&amp;"-"&amp;E69</f>
        <v>（含）-</v>
      </c>
      <c r="E68" s="1831" t="str">
        <f t="shared" si="17"/>
        <v>（含）-</v>
      </c>
      <c r="F68" s="1831" t="str">
        <f t="shared" si="17"/>
        <v>（含）-</v>
      </c>
      <c r="G68" s="1831" t="str">
        <f t="shared" si="17"/>
        <v>（含）-</v>
      </c>
      <c r="H68" s="1831" t="str">
        <f t="shared" si="17"/>
        <v>（含）-</v>
      </c>
      <c r="I68" s="1831" t="str">
        <f t="shared" si="17"/>
        <v>（含）-</v>
      </c>
      <c r="J68" s="1831" t="str">
        <f t="shared" si="17"/>
        <v>（含）-</v>
      </c>
      <c r="K68" s="1831" t="str">
        <f t="shared" si="17"/>
        <v>（含）-</v>
      </c>
      <c r="L68" s="1831" t="str">
        <f t="shared" si="17"/>
        <v>（含）-</v>
      </c>
      <c r="M68" s="1701" t="str">
        <f>M69&amp;"（含）"&amp;"-"&amp;P69</f>
        <v>（含）-</v>
      </c>
      <c r="N68" s="2982"/>
      <c r="O68" s="2982"/>
      <c r="P68" s="2023"/>
      <c r="Q68" s="1787"/>
    </row>
    <row r="69" spans="1:17" ht="15">
      <c r="A69" s="1819"/>
      <c r="B69" s="1832"/>
      <c r="C69" s="1833"/>
      <c r="D69" s="1833"/>
      <c r="E69" s="1833"/>
      <c r="F69" s="1833"/>
      <c r="G69" s="1833"/>
      <c r="H69" s="1833"/>
      <c r="I69" s="1833"/>
      <c r="J69" s="1833"/>
      <c r="K69" s="438"/>
      <c r="L69" s="438"/>
      <c r="M69" s="1834"/>
      <c r="N69" s="2981"/>
      <c r="O69" s="2981"/>
      <c r="P69" s="2023"/>
      <c r="Q69" s="1787"/>
    </row>
    <row r="70" spans="1:17" ht="15.75"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82"/>
      <c r="O70" s="2982"/>
      <c r="P70" s="2023"/>
      <c r="Q70" s="1787"/>
    </row>
    <row r="71" spans="1:17" s="1739" customFormat="1" ht="15.75" thickTop="1">
      <c r="A71" s="1835"/>
      <c r="B71" s="1824">
        <f>B12</f>
        <v>111</v>
      </c>
      <c r="C71" s="468"/>
      <c r="D71" s="468"/>
      <c r="E71" s="468"/>
      <c r="F71" s="468"/>
      <c r="G71" s="468"/>
      <c r="H71" s="443"/>
      <c r="I71" s="443"/>
      <c r="J71" s="443"/>
      <c r="K71" s="443"/>
      <c r="L71" s="443"/>
      <c r="M71" s="1836"/>
      <c r="N71" s="2983"/>
      <c r="O71" s="2983"/>
      <c r="P71" s="2024"/>
      <c r="Q71" s="1839"/>
    </row>
    <row r="72" spans="1:17" s="1739" customFormat="1" ht="15.75" thickBot="1">
      <c r="A72" s="1835"/>
      <c r="B72" s="1827"/>
      <c r="C72" s="1840"/>
      <c r="D72" s="1821"/>
      <c r="E72" s="1821"/>
      <c r="F72" s="1821"/>
      <c r="G72" s="1821"/>
      <c r="H72" s="1821"/>
      <c r="I72" s="1821"/>
      <c r="J72" s="1821"/>
      <c r="K72" s="1821"/>
      <c r="L72" s="1821"/>
      <c r="M72" s="1822"/>
      <c r="N72" s="2982"/>
      <c r="O72" s="2982"/>
      <c r="P72" s="2024"/>
      <c r="Q72" s="1839"/>
    </row>
    <row r="73" spans="1:17" s="1739" customFormat="1" ht="15.75" thickTop="1">
      <c r="A73" s="1835"/>
      <c r="B73" s="1824">
        <f>B13</f>
        <v>111</v>
      </c>
      <c r="C73" s="468"/>
      <c r="D73" s="468"/>
      <c r="E73" s="468"/>
      <c r="F73" s="468"/>
      <c r="G73" s="468"/>
      <c r="H73" s="443"/>
      <c r="I73" s="443"/>
      <c r="J73" s="443"/>
      <c r="K73" s="443"/>
      <c r="L73" s="443"/>
      <c r="M73" s="1836"/>
      <c r="N73" s="2983"/>
      <c r="O73" s="2983"/>
      <c r="P73" s="2025"/>
      <c r="Q73" s="1842"/>
    </row>
    <row r="74" spans="1:17" s="1739" customFormat="1" ht="15.75" thickBot="1">
      <c r="A74" s="1835"/>
      <c r="B74" s="1827"/>
      <c r="C74" s="1840"/>
      <c r="D74" s="1840"/>
      <c r="E74" s="1840"/>
      <c r="F74" s="1840"/>
      <c r="G74" s="1840"/>
      <c r="H74" s="1843"/>
      <c r="I74" s="1843"/>
      <c r="J74" s="1843"/>
      <c r="K74" s="1843"/>
      <c r="L74" s="1843"/>
      <c r="M74" s="1844"/>
      <c r="N74" s="2983"/>
      <c r="O74" s="2983"/>
      <c r="P74" s="2024"/>
      <c r="Q74" s="1839"/>
    </row>
    <row r="75" spans="1:17" s="1739" customFormat="1" ht="15.75" thickTop="1">
      <c r="A75" s="1835"/>
      <c r="B75" s="1830">
        <f>B14</f>
        <v>111</v>
      </c>
      <c r="C75" s="409"/>
      <c r="D75" s="409"/>
      <c r="E75" s="409"/>
      <c r="F75" s="409"/>
      <c r="G75" s="409"/>
      <c r="H75" s="453"/>
      <c r="I75" s="453"/>
      <c r="J75" s="453"/>
      <c r="K75" s="453"/>
      <c r="L75" s="453"/>
      <c r="M75" s="1845"/>
      <c r="N75" s="2983"/>
      <c r="O75" s="2983"/>
      <c r="P75" s="2024"/>
      <c r="Q75" s="1839"/>
    </row>
    <row r="76" spans="1:17" s="1739" customFormat="1" ht="15.75" thickBot="1">
      <c r="A76" s="1846"/>
      <c r="B76" s="1847"/>
      <c r="C76" s="1848"/>
      <c r="D76" s="1848"/>
      <c r="E76" s="1848"/>
      <c r="F76" s="1848"/>
      <c r="G76" s="1848"/>
      <c r="H76" s="1849"/>
      <c r="I76" s="1849"/>
      <c r="J76" s="1849"/>
      <c r="K76" s="1849"/>
      <c r="L76" s="1849"/>
      <c r="M76" s="1850"/>
      <c r="N76" s="2983"/>
      <c r="O76" s="2983"/>
      <c r="P76" s="2024"/>
      <c r="Q76" s="1839"/>
    </row>
    <row r="77" spans="1:17">
      <c r="A77" s="1812" t="s">
        <v>2213</v>
      </c>
      <c r="B77" s="1813" t="s">
        <v>2339</v>
      </c>
      <c r="C77" s="1851" t="s">
        <v>2252</v>
      </c>
      <c r="D77" s="1851" t="s">
        <v>2253</v>
      </c>
      <c r="E77" s="1851" t="s">
        <v>2254</v>
      </c>
      <c r="F77" s="1851" t="s">
        <v>2255</v>
      </c>
      <c r="G77" s="1851" t="s">
        <v>2256</v>
      </c>
      <c r="H77" s="1814"/>
      <c r="I77" s="1814"/>
      <c r="J77" s="1814"/>
      <c r="K77" s="463"/>
      <c r="L77" s="463"/>
      <c r="M77" s="1852"/>
      <c r="N77" s="2981"/>
      <c r="O77" s="2981"/>
      <c r="P77" s="2023"/>
      <c r="Q77" s="1787"/>
    </row>
    <row r="78" spans="1:17" ht="15.75" thickBot="1">
      <c r="A78" s="1819"/>
      <c r="B78" s="1827"/>
      <c r="C78" s="1828">
        <v>100</v>
      </c>
      <c r="D78" s="1828">
        <f>C78-$K15</f>
        <v>100</v>
      </c>
      <c r="E78" s="1828">
        <f>D78-$K15</f>
        <v>100</v>
      </c>
      <c r="F78" s="1828">
        <f>E78-$K15</f>
        <v>100</v>
      </c>
      <c r="G78" s="1828">
        <f>F78-$K15</f>
        <v>100</v>
      </c>
      <c r="H78" s="1828"/>
      <c r="I78" s="1828"/>
      <c r="J78" s="1828"/>
      <c r="K78" s="1828"/>
      <c r="L78" s="1828"/>
      <c r="M78" s="1829"/>
      <c r="N78" s="2982"/>
      <c r="O78" s="2982"/>
      <c r="P78" s="2023"/>
      <c r="Q78" s="1787"/>
    </row>
    <row r="79" spans="1:17" ht="15.75" thickTop="1">
      <c r="A79" s="1819"/>
      <c r="B79" s="1824" t="s">
        <v>2257</v>
      </c>
      <c r="C79" s="579" t="s">
        <v>2252</v>
      </c>
      <c r="D79" s="579" t="s">
        <v>2253</v>
      </c>
      <c r="E79" s="579" t="s">
        <v>2254</v>
      </c>
      <c r="F79" s="579" t="s">
        <v>2255</v>
      </c>
      <c r="G79" s="579" t="s">
        <v>2256</v>
      </c>
      <c r="H79" s="1825"/>
      <c r="I79" s="1825"/>
      <c r="J79" s="1825"/>
      <c r="K79" s="428"/>
      <c r="L79" s="428"/>
      <c r="M79" s="1826"/>
      <c r="N79" s="2981"/>
      <c r="O79" s="2981"/>
      <c r="P79" s="2023"/>
      <c r="Q79" s="1787"/>
    </row>
    <row r="80" spans="1:17" ht="15.75" thickBot="1">
      <c r="A80" s="1819"/>
      <c r="B80" s="1827"/>
      <c r="C80" s="1828">
        <v>100</v>
      </c>
      <c r="D80" s="1828">
        <f>C80-$K17</f>
        <v>100</v>
      </c>
      <c r="E80" s="1828">
        <f>D80-$K17</f>
        <v>100</v>
      </c>
      <c r="F80" s="1828">
        <f>E80-$K17</f>
        <v>100</v>
      </c>
      <c r="G80" s="1828">
        <f>F80-$K17</f>
        <v>100</v>
      </c>
      <c r="H80" s="1828"/>
      <c r="I80" s="1828"/>
      <c r="J80" s="1828"/>
      <c r="K80" s="1828"/>
      <c r="L80" s="1828"/>
      <c r="M80" s="1829"/>
      <c r="N80" s="2982"/>
      <c r="O80" s="2982"/>
      <c r="P80" s="2023"/>
      <c r="Q80" s="1787"/>
    </row>
    <row r="81" spans="1:17" ht="15.75" thickTop="1">
      <c r="A81" s="1819"/>
      <c r="B81" s="1824" t="s">
        <v>2258</v>
      </c>
      <c r="C81" s="579" t="s">
        <v>2252</v>
      </c>
      <c r="D81" s="579" t="s">
        <v>2253</v>
      </c>
      <c r="E81" s="579" t="s">
        <v>2254</v>
      </c>
      <c r="F81" s="579" t="s">
        <v>2255</v>
      </c>
      <c r="G81" s="579" t="s">
        <v>2256</v>
      </c>
      <c r="H81" s="1825"/>
      <c r="I81" s="1825"/>
      <c r="J81" s="1825"/>
      <c r="K81" s="428"/>
      <c r="L81" s="428"/>
      <c r="M81" s="1826"/>
      <c r="N81" s="2981"/>
      <c r="O81" s="2981"/>
      <c r="P81" s="2023"/>
      <c r="Q81" s="1787"/>
    </row>
    <row r="82" spans="1:17" ht="15.75" thickBot="1">
      <c r="A82" s="1819"/>
      <c r="B82" s="1827"/>
      <c r="C82" s="1828">
        <v>100</v>
      </c>
      <c r="D82" s="1828">
        <f>C82-$K19</f>
        <v>100</v>
      </c>
      <c r="E82" s="1828">
        <f>D82-$K19</f>
        <v>100</v>
      </c>
      <c r="F82" s="1828">
        <f>E82-$K19</f>
        <v>100</v>
      </c>
      <c r="G82" s="1828">
        <f>F82-$K19</f>
        <v>100</v>
      </c>
      <c r="H82" s="1828"/>
      <c r="I82" s="1828"/>
      <c r="J82" s="1828"/>
      <c r="K82" s="1828"/>
      <c r="L82" s="1828"/>
      <c r="M82" s="1829"/>
      <c r="N82" s="2982"/>
      <c r="O82" s="2982"/>
      <c r="P82" s="2023"/>
      <c r="Q82" s="1787"/>
    </row>
    <row r="83" spans="1:17" ht="15.75" thickTop="1">
      <c r="A83" s="1819"/>
      <c r="B83" s="1830" t="s">
        <v>2301</v>
      </c>
      <c r="C83" s="1825" t="s">
        <v>2259</v>
      </c>
      <c r="D83" s="1825" t="s">
        <v>2260</v>
      </c>
      <c r="E83" s="1825" t="s">
        <v>2261</v>
      </c>
      <c r="F83" s="1825" t="s">
        <v>2262</v>
      </c>
      <c r="G83" s="1825" t="s">
        <v>2263</v>
      </c>
      <c r="H83" s="1825"/>
      <c r="I83" s="1825"/>
      <c r="J83" s="1825"/>
      <c r="K83" s="1825"/>
      <c r="L83" s="1825"/>
      <c r="M83" s="1853"/>
      <c r="N83" s="2982"/>
      <c r="O83" s="2982"/>
      <c r="P83" s="2023"/>
      <c r="Q83" s="1787"/>
    </row>
    <row r="84" spans="1:17" ht="15.75" thickBot="1">
      <c r="A84" s="1819"/>
      <c r="B84" s="1830"/>
      <c r="C84" s="1828">
        <v>100</v>
      </c>
      <c r="D84" s="1828">
        <f>C84-$K21</f>
        <v>100</v>
      </c>
      <c r="E84" s="1828">
        <f>D84-$K21</f>
        <v>100</v>
      </c>
      <c r="F84" s="1828">
        <f>E84-$K21</f>
        <v>100</v>
      </c>
      <c r="G84" s="1828">
        <f>F84-$K21</f>
        <v>100</v>
      </c>
      <c r="H84" s="1854"/>
      <c r="I84" s="1854"/>
      <c r="J84" s="1854"/>
      <c r="K84" s="1854"/>
      <c r="L84" s="1854"/>
      <c r="M84" s="1705"/>
      <c r="N84" s="2982"/>
      <c r="O84" s="2982"/>
      <c r="P84" s="2023"/>
      <c r="Q84" s="1787"/>
    </row>
    <row r="85" spans="1:17" ht="15.75" thickTop="1">
      <c r="A85" s="1819"/>
      <c r="B85" s="1824" t="s">
        <v>2340</v>
      </c>
      <c r="C85" s="579" t="s">
        <v>2252</v>
      </c>
      <c r="D85" s="579" t="s">
        <v>2253</v>
      </c>
      <c r="E85" s="579" t="s">
        <v>2254</v>
      </c>
      <c r="F85" s="579" t="s">
        <v>2255</v>
      </c>
      <c r="G85" s="579" t="s">
        <v>2256</v>
      </c>
      <c r="H85" s="1825"/>
      <c r="I85" s="1825"/>
      <c r="J85" s="1825"/>
      <c r="K85" s="428"/>
      <c r="L85" s="428"/>
      <c r="M85" s="1826"/>
      <c r="N85" s="2981"/>
      <c r="O85" s="2981"/>
      <c r="P85" s="2023"/>
      <c r="Q85" s="1787"/>
    </row>
    <row r="86" spans="1:17" ht="15.75" thickBot="1">
      <c r="A86" s="1819"/>
      <c r="B86" s="1827"/>
      <c r="C86" s="1828">
        <v>100</v>
      </c>
      <c r="D86" s="1828">
        <f>C86-$K23</f>
        <v>100</v>
      </c>
      <c r="E86" s="1828">
        <f>D86-$K23</f>
        <v>100</v>
      </c>
      <c r="F86" s="1828">
        <f>E86-$K23</f>
        <v>100</v>
      </c>
      <c r="G86" s="1828">
        <f>F86-$K23</f>
        <v>100</v>
      </c>
      <c r="H86" s="1828"/>
      <c r="I86" s="1828"/>
      <c r="J86" s="1828"/>
      <c r="K86" s="1828"/>
      <c r="L86" s="1828"/>
      <c r="M86" s="1829"/>
      <c r="N86" s="2982"/>
      <c r="O86" s="2982"/>
      <c r="P86" s="2023"/>
      <c r="Q86" s="1787"/>
    </row>
    <row r="87" spans="1:17" s="1655" customFormat="1" ht="27.75" thickTop="1">
      <c r="A87" s="1855"/>
      <c r="B87" s="1824" t="s">
        <v>2341</v>
      </c>
      <c r="C87" s="468"/>
      <c r="D87" s="468"/>
      <c r="E87" s="468"/>
      <c r="F87" s="468"/>
      <c r="G87" s="468"/>
      <c r="H87" s="468"/>
      <c r="I87" s="468"/>
      <c r="J87" s="468"/>
      <c r="K87" s="468"/>
      <c r="L87" s="468"/>
      <c r="M87" s="1856"/>
      <c r="N87" s="2980"/>
      <c r="O87" s="2980"/>
      <c r="P87" s="2023"/>
      <c r="Q87" s="1787"/>
    </row>
    <row r="88" spans="1:17" s="1655" customFormat="1" ht="15.75" thickBot="1">
      <c r="A88" s="1855"/>
      <c r="B88" s="1827"/>
      <c r="C88" s="1857">
        <v>100</v>
      </c>
      <c r="D88" s="1828">
        <f t="shared" ref="D88:M88" si="19">C88-$K25</f>
        <v>100</v>
      </c>
      <c r="E88" s="1828">
        <f t="shared" si="19"/>
        <v>100</v>
      </c>
      <c r="F88" s="1828">
        <f t="shared" si="19"/>
        <v>100</v>
      </c>
      <c r="G88" s="1828">
        <f t="shared" si="19"/>
        <v>100</v>
      </c>
      <c r="H88" s="1828">
        <f t="shared" si="19"/>
        <v>100</v>
      </c>
      <c r="I88" s="1828">
        <f t="shared" si="19"/>
        <v>100</v>
      </c>
      <c r="J88" s="1828">
        <f t="shared" si="19"/>
        <v>100</v>
      </c>
      <c r="K88" s="1828">
        <f t="shared" si="19"/>
        <v>100</v>
      </c>
      <c r="L88" s="1828">
        <f t="shared" si="19"/>
        <v>100</v>
      </c>
      <c r="M88" s="1828">
        <f t="shared" si="19"/>
        <v>100</v>
      </c>
      <c r="N88" s="2982"/>
      <c r="O88" s="2982"/>
      <c r="P88" s="2023"/>
      <c r="Q88" s="1787"/>
    </row>
    <row r="89" spans="1:17" s="1655" customFormat="1" ht="15.75" thickTop="1">
      <c r="A89" s="1855"/>
      <c r="B89" s="1824" t="str">
        <f>B27</f>
        <v>楼层</v>
      </c>
      <c r="C89" s="468"/>
      <c r="D89" s="468"/>
      <c r="E89" s="468"/>
      <c r="F89" s="1858"/>
      <c r="G89" s="468"/>
      <c r="H89" s="468"/>
      <c r="I89" s="468"/>
      <c r="J89" s="468"/>
      <c r="K89" s="468"/>
      <c r="L89" s="468"/>
      <c r="M89" s="1856"/>
      <c r="N89" s="2980"/>
      <c r="O89" s="2980"/>
      <c r="P89" s="2023"/>
      <c r="Q89" s="1787"/>
    </row>
    <row r="90" spans="1:17" s="1655" customFormat="1" ht="15.75" thickBot="1">
      <c r="A90" s="1855"/>
      <c r="B90" s="1827"/>
      <c r="C90" s="1857">
        <v>100</v>
      </c>
      <c r="D90" s="1828">
        <f>C90-$K27</f>
        <v>100</v>
      </c>
      <c r="E90" s="1828">
        <f t="shared" ref="E90:M90" si="20">D90-$K27</f>
        <v>100</v>
      </c>
      <c r="F90" s="1828">
        <f t="shared" si="20"/>
        <v>100</v>
      </c>
      <c r="G90" s="1828">
        <f t="shared" si="20"/>
        <v>100</v>
      </c>
      <c r="H90" s="1828">
        <f t="shared" si="20"/>
        <v>100</v>
      </c>
      <c r="I90" s="1828">
        <f t="shared" si="20"/>
        <v>100</v>
      </c>
      <c r="J90" s="1828">
        <f t="shared" si="20"/>
        <v>100</v>
      </c>
      <c r="K90" s="1828">
        <f t="shared" si="20"/>
        <v>100</v>
      </c>
      <c r="L90" s="1828">
        <f t="shared" si="20"/>
        <v>100</v>
      </c>
      <c r="M90" s="1828">
        <f t="shared" si="20"/>
        <v>100</v>
      </c>
      <c r="N90" s="2982"/>
      <c r="O90" s="2982"/>
      <c r="P90" s="2023"/>
      <c r="Q90" s="1787"/>
    </row>
    <row r="91" spans="1:17" s="1739" customFormat="1" ht="15.75" thickTop="1">
      <c r="A91" s="1835"/>
      <c r="B91" s="1824" t="str">
        <f>B28</f>
        <v>朝向</v>
      </c>
      <c r="C91" s="468"/>
      <c r="D91" s="468"/>
      <c r="E91" s="468"/>
      <c r="F91" s="468"/>
      <c r="G91" s="468"/>
      <c r="H91" s="443"/>
      <c r="I91" s="443"/>
      <c r="J91" s="443"/>
      <c r="K91" s="443"/>
      <c r="L91" s="443"/>
      <c r="M91" s="1836"/>
      <c r="N91" s="2983"/>
      <c r="O91" s="2983"/>
      <c r="P91" s="2024"/>
      <c r="Q91" s="1839"/>
    </row>
    <row r="92" spans="1:17" s="1739" customFormat="1" ht="15.75"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83"/>
      <c r="O92" s="2983"/>
      <c r="P92" s="2024"/>
      <c r="Q92" s="1839"/>
    </row>
    <row r="93" spans="1:17" ht="15.75" thickTop="1">
      <c r="A93" s="1819"/>
      <c r="B93" s="1824">
        <f>B29</f>
        <v>111</v>
      </c>
      <c r="C93" s="468"/>
      <c r="D93" s="468"/>
      <c r="E93" s="468"/>
      <c r="F93" s="468"/>
      <c r="G93" s="468"/>
      <c r="H93" s="468"/>
      <c r="I93" s="468"/>
      <c r="J93" s="468"/>
      <c r="K93" s="468"/>
      <c r="L93" s="468"/>
      <c r="M93" s="1856"/>
      <c r="N93" s="2981"/>
      <c r="O93" s="2981"/>
      <c r="P93" s="2023"/>
      <c r="Q93" s="1787"/>
    </row>
    <row r="94" spans="1:17" ht="15.75" thickBot="1">
      <c r="A94" s="1819"/>
      <c r="B94" s="1827"/>
      <c r="C94" s="1840"/>
      <c r="D94" s="1821"/>
      <c r="E94" s="1821"/>
      <c r="F94" s="1821"/>
      <c r="G94" s="1821"/>
      <c r="H94" s="1821"/>
      <c r="I94" s="1821"/>
      <c r="J94" s="1821"/>
      <c r="K94" s="1821"/>
      <c r="L94" s="1821"/>
      <c r="M94" s="1822"/>
      <c r="N94" s="2982"/>
      <c r="O94" s="2982"/>
      <c r="P94" s="2023"/>
      <c r="Q94" s="1787"/>
    </row>
    <row r="95" spans="1:17" ht="15.75" thickTop="1">
      <c r="A95" s="1819"/>
      <c r="B95" s="1824">
        <f>B30</f>
        <v>111</v>
      </c>
      <c r="C95" s="468"/>
      <c r="D95" s="468"/>
      <c r="E95" s="468"/>
      <c r="F95" s="468"/>
      <c r="G95" s="1548"/>
      <c r="H95" s="1548"/>
      <c r="I95" s="1548"/>
      <c r="J95" s="1548"/>
      <c r="K95" s="473"/>
      <c r="L95" s="473"/>
      <c r="M95" s="1859"/>
      <c r="N95" s="2981"/>
      <c r="O95" s="2981"/>
      <c r="P95" s="2023"/>
      <c r="Q95" s="1787"/>
    </row>
    <row r="96" spans="1:17" ht="15.75" thickBot="1">
      <c r="A96" s="1819"/>
      <c r="B96" s="1827"/>
      <c r="C96" s="1840"/>
      <c r="D96" s="1840"/>
      <c r="E96" s="1840"/>
      <c r="F96" s="1840"/>
      <c r="G96" s="1821"/>
      <c r="H96" s="1821"/>
      <c r="I96" s="1821"/>
      <c r="J96" s="1821"/>
      <c r="K96" s="1821"/>
      <c r="L96" s="1821"/>
      <c r="M96" s="1822"/>
      <c r="N96" s="2982"/>
      <c r="O96" s="2982"/>
      <c r="P96" s="2023"/>
      <c r="Q96" s="1787"/>
    </row>
    <row r="97" spans="1:17" ht="15.75" thickTop="1">
      <c r="A97" s="1819"/>
      <c r="B97" s="1824">
        <f>B31</f>
        <v>111</v>
      </c>
      <c r="C97" s="468"/>
      <c r="D97" s="468"/>
      <c r="E97" s="468"/>
      <c r="F97" s="468"/>
      <c r="G97" s="1548"/>
      <c r="H97" s="1548"/>
      <c r="I97" s="1548"/>
      <c r="J97" s="1548"/>
      <c r="K97" s="473"/>
      <c r="L97" s="473"/>
      <c r="M97" s="1859"/>
      <c r="N97" s="2981"/>
      <c r="O97" s="2981"/>
      <c r="P97" s="2023"/>
      <c r="Q97" s="1787"/>
    </row>
    <row r="98" spans="1:17" ht="15.75" thickBot="1">
      <c r="A98" s="1819"/>
      <c r="B98" s="1827"/>
      <c r="C98" s="1840"/>
      <c r="D98" s="1821"/>
      <c r="E98" s="1821"/>
      <c r="F98" s="1821"/>
      <c r="G98" s="1821"/>
      <c r="H98" s="1821"/>
      <c r="I98" s="1821"/>
      <c r="J98" s="1821"/>
      <c r="K98" s="1821"/>
      <c r="L98" s="1821"/>
      <c r="M98" s="1822"/>
      <c r="N98" s="2982"/>
      <c r="O98" s="2982"/>
      <c r="P98" s="2023"/>
      <c r="Q98" s="1787"/>
    </row>
    <row r="99" spans="1:17" ht="15.75" thickTop="1">
      <c r="A99" s="1819"/>
      <c r="B99" s="1830">
        <f>B32</f>
        <v>111</v>
      </c>
      <c r="C99" s="409"/>
      <c r="D99" s="409"/>
      <c r="E99" s="409"/>
      <c r="F99" s="409"/>
      <c r="G99" s="1860"/>
      <c r="H99" s="1860"/>
      <c r="I99" s="1860"/>
      <c r="J99" s="1860"/>
      <c r="K99" s="477"/>
      <c r="L99" s="477"/>
      <c r="M99" s="1861"/>
      <c r="N99" s="2981"/>
      <c r="O99" s="2981"/>
      <c r="P99" s="2023"/>
      <c r="Q99" s="1787"/>
    </row>
    <row r="100" spans="1:17" ht="15.75" thickBot="1">
      <c r="A100" s="1862"/>
      <c r="B100" s="1847"/>
      <c r="C100" s="1848"/>
      <c r="D100" s="1848"/>
      <c r="E100" s="1848"/>
      <c r="F100" s="1848"/>
      <c r="G100" s="1863"/>
      <c r="H100" s="1863"/>
      <c r="I100" s="1863"/>
      <c r="J100" s="1863"/>
      <c r="K100" s="1863"/>
      <c r="L100" s="1863"/>
      <c r="M100" s="1864"/>
      <c r="N100" s="2982"/>
      <c r="O100" s="2982"/>
      <c r="P100" s="2023"/>
      <c r="Q100" s="1787"/>
    </row>
    <row r="101" spans="1:17">
      <c r="A101" s="1812" t="s">
        <v>2218</v>
      </c>
      <c r="B101" s="1813" t="s">
        <v>2267</v>
      </c>
      <c r="C101" s="1815"/>
      <c r="D101" s="1815"/>
      <c r="E101" s="1815"/>
      <c r="F101" s="1815"/>
      <c r="G101" s="1815"/>
      <c r="H101" s="1815"/>
      <c r="I101" s="1815"/>
      <c r="J101" s="1815"/>
      <c r="K101" s="417"/>
      <c r="L101" s="417"/>
      <c r="M101" s="1816"/>
      <c r="N101" s="2981"/>
      <c r="O101" s="2981"/>
      <c r="P101" s="2023"/>
      <c r="Q101" s="1787"/>
    </row>
    <row r="102" spans="1:17" ht="15.75" thickBot="1">
      <c r="A102" s="1819"/>
      <c r="B102" s="1827"/>
      <c r="C102" s="1828">
        <v>100</v>
      </c>
      <c r="D102" s="1828">
        <f t="shared" ref="D102:M102" si="22">C102-$K33</f>
        <v>100</v>
      </c>
      <c r="E102" s="1828">
        <f t="shared" si="22"/>
        <v>100</v>
      </c>
      <c r="F102" s="1828">
        <f t="shared" si="22"/>
        <v>100</v>
      </c>
      <c r="G102" s="1828">
        <f t="shared" si="22"/>
        <v>100</v>
      </c>
      <c r="H102" s="1828">
        <f t="shared" si="22"/>
        <v>100</v>
      </c>
      <c r="I102" s="1828">
        <f t="shared" si="22"/>
        <v>100</v>
      </c>
      <c r="J102" s="1828">
        <f t="shared" si="22"/>
        <v>100</v>
      </c>
      <c r="K102" s="1828">
        <f t="shared" si="22"/>
        <v>100</v>
      </c>
      <c r="L102" s="1828">
        <f t="shared" si="22"/>
        <v>100</v>
      </c>
      <c r="M102" s="1829">
        <f t="shared" si="22"/>
        <v>100</v>
      </c>
      <c r="N102" s="2982"/>
      <c r="O102" s="2982"/>
      <c r="P102" s="2023"/>
      <c r="Q102" s="1787"/>
    </row>
    <row r="103" spans="1:17" ht="15.75" thickTop="1">
      <c r="A103" s="1819"/>
      <c r="B103" s="1824"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6" t="str">
        <f>M104&amp;"(含)"&amp;"-"&amp;P104</f>
        <v>(含)-</v>
      </c>
      <c r="N103" s="2980"/>
      <c r="O103" s="2980"/>
      <c r="P103" s="2023"/>
      <c r="Q103" s="1787"/>
    </row>
    <row r="104" spans="1:17" s="1739" customFormat="1">
      <c r="A104" s="1865"/>
      <c r="B104" s="1866"/>
      <c r="C104" s="1867"/>
      <c r="D104" s="1867"/>
      <c r="E104" s="1867"/>
      <c r="F104" s="1867"/>
      <c r="G104" s="1867"/>
      <c r="H104" s="1867"/>
      <c r="I104" s="1867"/>
      <c r="J104" s="485"/>
      <c r="K104" s="485"/>
      <c r="L104" s="485"/>
      <c r="M104" s="1868"/>
      <c r="N104" s="2983"/>
      <c r="O104" s="2983"/>
      <c r="P104" s="2024"/>
      <c r="Q104" s="1839"/>
    </row>
    <row r="105" spans="1:17" s="1739" customFormat="1" ht="15.75" thickBot="1">
      <c r="A105" s="1835"/>
      <c r="B105" s="1827"/>
      <c r="C105" s="1840"/>
      <c r="D105" s="1821"/>
      <c r="E105" s="1821"/>
      <c r="F105" s="1821"/>
      <c r="G105" s="1821"/>
      <c r="H105" s="1821"/>
      <c r="I105" s="1821"/>
      <c r="J105" s="1821"/>
      <c r="K105" s="1821"/>
      <c r="L105" s="1821"/>
      <c r="M105" s="1822"/>
      <c r="N105" s="2982"/>
      <c r="O105" s="2982"/>
      <c r="P105" s="2024"/>
      <c r="Q105" s="1839"/>
    </row>
    <row r="106" spans="1:17" ht="15" thickTop="1">
      <c r="A106" s="1869"/>
      <c r="B106" s="1824" t="s">
        <v>2269</v>
      </c>
      <c r="C106" s="468"/>
      <c r="D106" s="468"/>
      <c r="E106" s="1548"/>
      <c r="F106" s="1548"/>
      <c r="G106" s="1548"/>
      <c r="H106" s="1548"/>
      <c r="I106" s="1548"/>
      <c r="J106" s="1548"/>
      <c r="K106" s="473"/>
      <c r="L106" s="473"/>
      <c r="M106" s="1859"/>
      <c r="N106" s="2981"/>
      <c r="O106" s="2981"/>
      <c r="P106" s="2023"/>
      <c r="Q106" s="1787"/>
    </row>
    <row r="107" spans="1:17" ht="15.75" thickBot="1">
      <c r="A107" s="1819"/>
      <c r="B107" s="1827"/>
      <c r="C107" s="1828">
        <v>100</v>
      </c>
      <c r="D107" s="1828">
        <f t="shared" ref="D107:M107" si="24">C107-$K35</f>
        <v>100</v>
      </c>
      <c r="E107" s="1828">
        <f t="shared" si="24"/>
        <v>100</v>
      </c>
      <c r="F107" s="1828">
        <f t="shared" si="24"/>
        <v>100</v>
      </c>
      <c r="G107" s="1828">
        <f t="shared" si="24"/>
        <v>100</v>
      </c>
      <c r="H107" s="1828">
        <f t="shared" si="24"/>
        <v>100</v>
      </c>
      <c r="I107" s="1828">
        <f t="shared" si="24"/>
        <v>100</v>
      </c>
      <c r="J107" s="1828">
        <f t="shared" si="24"/>
        <v>100</v>
      </c>
      <c r="K107" s="1828">
        <f t="shared" si="24"/>
        <v>100</v>
      </c>
      <c r="L107" s="1828">
        <f t="shared" si="24"/>
        <v>100</v>
      </c>
      <c r="M107" s="1829">
        <f t="shared" si="24"/>
        <v>100</v>
      </c>
      <c r="N107" s="2982"/>
      <c r="O107" s="2982"/>
      <c r="P107" s="2023"/>
      <c r="Q107" s="1787"/>
    </row>
    <row r="108" spans="1:17" ht="15" thickTop="1">
      <c r="A108" s="1869"/>
      <c r="B108" s="1824" t="s">
        <v>2271</v>
      </c>
      <c r="C108" s="468"/>
      <c r="D108" s="468"/>
      <c r="E108" s="468"/>
      <c r="F108" s="1548"/>
      <c r="G108" s="1548"/>
      <c r="H108" s="1548"/>
      <c r="I108" s="1548"/>
      <c r="J108" s="1548"/>
      <c r="K108" s="473"/>
      <c r="L108" s="473"/>
      <c r="M108" s="1859"/>
      <c r="N108" s="2981"/>
      <c r="O108" s="2981"/>
      <c r="P108" s="2023"/>
      <c r="Q108" s="1787"/>
    </row>
    <row r="109" spans="1:17" ht="15.75" thickBot="1">
      <c r="A109" s="1819"/>
      <c r="B109" s="1827"/>
      <c r="C109" s="1828">
        <v>100</v>
      </c>
      <c r="D109" s="1828">
        <f t="shared" ref="D109:M109" si="25">C109-$K36</f>
        <v>100</v>
      </c>
      <c r="E109" s="1828">
        <f t="shared" si="25"/>
        <v>100</v>
      </c>
      <c r="F109" s="1828">
        <f t="shared" si="25"/>
        <v>100</v>
      </c>
      <c r="G109" s="1828">
        <f t="shared" si="25"/>
        <v>100</v>
      </c>
      <c r="H109" s="1828">
        <f t="shared" si="25"/>
        <v>100</v>
      </c>
      <c r="I109" s="1828">
        <f t="shared" si="25"/>
        <v>100</v>
      </c>
      <c r="J109" s="1828">
        <f t="shared" si="25"/>
        <v>100</v>
      </c>
      <c r="K109" s="1828">
        <f t="shared" si="25"/>
        <v>100</v>
      </c>
      <c r="L109" s="1828">
        <f t="shared" si="25"/>
        <v>100</v>
      </c>
      <c r="M109" s="1829">
        <f t="shared" si="25"/>
        <v>100</v>
      </c>
      <c r="N109" s="2982"/>
      <c r="O109" s="2982"/>
      <c r="P109" s="2023"/>
      <c r="Q109" s="1787"/>
    </row>
    <row r="110" spans="1:17" ht="15" thickTop="1">
      <c r="A110" s="1869"/>
      <c r="B110" s="1824"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59"/>
      <c r="N110" s="2981"/>
      <c r="O110" s="2981"/>
      <c r="P110" s="2023"/>
      <c r="Q110" s="1787"/>
    </row>
    <row r="111" spans="1:17">
      <c r="A111" s="1869"/>
      <c r="B111" s="1830"/>
      <c r="C111" s="1871">
        <v>0.5</v>
      </c>
      <c r="D111" s="1871">
        <v>0.6</v>
      </c>
      <c r="E111" s="1871">
        <v>0.7</v>
      </c>
      <c r="F111" s="1871">
        <v>0.8</v>
      </c>
      <c r="G111" s="1871">
        <v>0.9</v>
      </c>
      <c r="H111" s="1871">
        <v>1</v>
      </c>
      <c r="I111" s="2449"/>
      <c r="J111" s="2449"/>
      <c r="K111" s="508"/>
      <c r="L111" s="508"/>
      <c r="M111" s="2450"/>
      <c r="N111" s="2981"/>
      <c r="O111" s="2981"/>
      <c r="P111" s="2023"/>
      <c r="Q111" s="1787"/>
    </row>
    <row r="112" spans="1:17" ht="15.75" thickBot="1">
      <c r="A112" s="1819"/>
      <c r="B112" s="1827"/>
      <c r="C112" s="1857">
        <v>100</v>
      </c>
      <c r="D112" s="1828">
        <f>C112+$K37</f>
        <v>100</v>
      </c>
      <c r="E112" s="1828">
        <f t="shared" ref="E112:M112" si="26">D112+$K37</f>
        <v>100</v>
      </c>
      <c r="F112" s="1828">
        <f t="shared" si="26"/>
        <v>100</v>
      </c>
      <c r="G112" s="1828">
        <f t="shared" si="26"/>
        <v>100</v>
      </c>
      <c r="H112" s="1828">
        <f t="shared" si="26"/>
        <v>100</v>
      </c>
      <c r="I112" s="1828">
        <f t="shared" si="26"/>
        <v>100</v>
      </c>
      <c r="J112" s="1828">
        <f t="shared" si="26"/>
        <v>100</v>
      </c>
      <c r="K112" s="1828">
        <f t="shared" si="26"/>
        <v>100</v>
      </c>
      <c r="L112" s="1828">
        <f t="shared" si="26"/>
        <v>100</v>
      </c>
      <c r="M112" s="1828">
        <f t="shared" si="26"/>
        <v>100</v>
      </c>
      <c r="N112" s="2982"/>
      <c r="O112" s="2982"/>
      <c r="P112" s="2023"/>
      <c r="Q112" s="1787"/>
    </row>
    <row r="113" spans="1:17" s="1739" customFormat="1" ht="15" thickTop="1">
      <c r="A113" s="1865"/>
      <c r="B113" s="1824" t="s">
        <v>2342</v>
      </c>
      <c r="C113" s="468"/>
      <c r="D113" s="468"/>
      <c r="E113" s="468"/>
      <c r="F113" s="468"/>
      <c r="G113" s="468"/>
      <c r="H113" s="1548"/>
      <c r="I113" s="1548"/>
      <c r="J113" s="1548"/>
      <c r="K113" s="473"/>
      <c r="L113" s="473"/>
      <c r="M113" s="1859"/>
      <c r="N113" s="2983"/>
      <c r="O113" s="2983"/>
      <c r="P113" s="2024"/>
      <c r="Q113" s="1839"/>
    </row>
    <row r="114" spans="1:17" s="1739" customFormat="1" ht="15.75" thickBot="1">
      <c r="A114" s="1835"/>
      <c r="B114" s="1827"/>
      <c r="C114" s="1828">
        <v>100</v>
      </c>
      <c r="D114" s="1828">
        <f>C114-$K38</f>
        <v>100</v>
      </c>
      <c r="E114" s="1828">
        <f t="shared" ref="E114:M114" si="27">D114-$K38</f>
        <v>100</v>
      </c>
      <c r="F114" s="1828">
        <f t="shared" si="27"/>
        <v>100</v>
      </c>
      <c r="G114" s="1828">
        <f t="shared" si="27"/>
        <v>100</v>
      </c>
      <c r="H114" s="1828">
        <f t="shared" si="27"/>
        <v>100</v>
      </c>
      <c r="I114" s="1828">
        <f t="shared" si="27"/>
        <v>100</v>
      </c>
      <c r="J114" s="1828">
        <f t="shared" si="27"/>
        <v>100</v>
      </c>
      <c r="K114" s="1828">
        <f t="shared" si="27"/>
        <v>100</v>
      </c>
      <c r="L114" s="1828">
        <f t="shared" si="27"/>
        <v>100</v>
      </c>
      <c r="M114" s="1828">
        <f t="shared" si="27"/>
        <v>100</v>
      </c>
      <c r="N114" s="2983"/>
      <c r="O114" s="2983"/>
      <c r="P114" s="2024"/>
      <c r="Q114" s="1839"/>
    </row>
    <row r="115" spans="1:17" ht="15" thickTop="1">
      <c r="A115" s="1869"/>
      <c r="B115" s="1824" t="s">
        <v>2273</v>
      </c>
      <c r="C115" s="468"/>
      <c r="D115" s="468"/>
      <c r="E115" s="1548"/>
      <c r="F115" s="1548"/>
      <c r="G115" s="1548"/>
      <c r="H115" s="1548"/>
      <c r="I115" s="1548"/>
      <c r="J115" s="1548"/>
      <c r="K115" s="473"/>
      <c r="L115" s="473"/>
      <c r="M115" s="1859"/>
      <c r="N115" s="2981"/>
      <c r="O115" s="2981"/>
      <c r="P115" s="2023"/>
      <c r="Q115" s="1787"/>
    </row>
    <row r="116" spans="1:17" ht="15.75" thickBot="1">
      <c r="A116" s="1819"/>
      <c r="B116" s="1827"/>
      <c r="C116" s="1828">
        <v>100</v>
      </c>
      <c r="D116" s="1828">
        <f t="shared" ref="D116:M116" si="28">C116-$K39</f>
        <v>100</v>
      </c>
      <c r="E116" s="1828">
        <f t="shared" si="28"/>
        <v>100</v>
      </c>
      <c r="F116" s="1828">
        <f t="shared" si="28"/>
        <v>100</v>
      </c>
      <c r="G116" s="1828">
        <f t="shared" si="28"/>
        <v>100</v>
      </c>
      <c r="H116" s="1828">
        <f t="shared" si="28"/>
        <v>100</v>
      </c>
      <c r="I116" s="1828">
        <f t="shared" si="28"/>
        <v>100</v>
      </c>
      <c r="J116" s="1828">
        <f t="shared" si="28"/>
        <v>100</v>
      </c>
      <c r="K116" s="1828">
        <f t="shared" si="28"/>
        <v>100</v>
      </c>
      <c r="L116" s="1828">
        <f t="shared" si="28"/>
        <v>100</v>
      </c>
      <c r="M116" s="1829">
        <f t="shared" si="28"/>
        <v>100</v>
      </c>
      <c r="N116" s="2982"/>
      <c r="O116" s="2982"/>
      <c r="P116" s="2023"/>
      <c r="Q116" s="1787"/>
    </row>
    <row r="117" spans="1:17" ht="15" thickTop="1">
      <c r="A117" s="1869"/>
      <c r="B117" s="1824" t="s">
        <v>2274</v>
      </c>
      <c r="C117" s="468"/>
      <c r="D117" s="468"/>
      <c r="E117" s="468"/>
      <c r="F117" s="468"/>
      <c r="G117" s="468"/>
      <c r="H117" s="1548"/>
      <c r="I117" s="1548"/>
      <c r="J117" s="1548"/>
      <c r="K117" s="473"/>
      <c r="L117" s="473"/>
      <c r="M117" s="1859"/>
      <c r="N117" s="2981"/>
      <c r="O117" s="2981"/>
      <c r="P117" s="2023"/>
      <c r="Q117" s="1787"/>
    </row>
    <row r="118" spans="1:17" ht="15.75" thickBot="1">
      <c r="A118" s="1819"/>
      <c r="B118" s="1827"/>
      <c r="C118" s="1828">
        <v>100</v>
      </c>
      <c r="D118" s="1828">
        <f>C118-$K40</f>
        <v>100</v>
      </c>
      <c r="E118" s="1828">
        <f>D118-$K40</f>
        <v>100</v>
      </c>
      <c r="F118" s="1828">
        <f>E118-$K40</f>
        <v>100</v>
      </c>
      <c r="G118" s="1828">
        <f>F118-$K40</f>
        <v>100</v>
      </c>
      <c r="H118" s="1828"/>
      <c r="I118" s="1828"/>
      <c r="J118" s="1828"/>
      <c r="K118" s="1828"/>
      <c r="L118" s="1828"/>
      <c r="M118" s="1829"/>
      <c r="N118" s="2982"/>
      <c r="O118" s="2982"/>
      <c r="P118" s="2023"/>
      <c r="Q118" s="1787"/>
    </row>
    <row r="119" spans="1:17" ht="15" thickTop="1">
      <c r="A119" s="1869"/>
      <c r="B119" s="2471" t="s">
        <v>2343</v>
      </c>
      <c r="C119" s="1548"/>
      <c r="D119" s="1548"/>
      <c r="E119" s="1548"/>
      <c r="F119" s="1548"/>
      <c r="G119" s="1548"/>
      <c r="H119" s="1548"/>
      <c r="I119" s="1548"/>
      <c r="J119" s="1548"/>
      <c r="K119" s="1548"/>
      <c r="L119" s="1548"/>
      <c r="M119" s="2472"/>
      <c r="N119" s="2982"/>
      <c r="O119" s="2982"/>
      <c r="P119" s="2473"/>
      <c r="Q119" s="2474"/>
    </row>
    <row r="120" spans="1:17" ht="15.75" thickBot="1">
      <c r="A120" s="1819"/>
      <c r="B120" s="1827"/>
      <c r="C120" s="1857">
        <v>100</v>
      </c>
      <c r="D120" s="1828">
        <f>C120-$K41</f>
        <v>100</v>
      </c>
      <c r="E120" s="1828">
        <f t="shared" ref="E120:M120" si="29">D120-$K41</f>
        <v>100</v>
      </c>
      <c r="F120" s="1828">
        <f t="shared" si="29"/>
        <v>100</v>
      </c>
      <c r="G120" s="1828">
        <f t="shared" si="29"/>
        <v>100</v>
      </c>
      <c r="H120" s="1828">
        <f t="shared" si="29"/>
        <v>100</v>
      </c>
      <c r="I120" s="1828">
        <f t="shared" si="29"/>
        <v>100</v>
      </c>
      <c r="J120" s="1828">
        <f t="shared" si="29"/>
        <v>100</v>
      </c>
      <c r="K120" s="1828">
        <f t="shared" si="29"/>
        <v>100</v>
      </c>
      <c r="L120" s="1828">
        <f t="shared" si="29"/>
        <v>100</v>
      </c>
      <c r="M120" s="1828">
        <f t="shared" si="29"/>
        <v>100</v>
      </c>
      <c r="N120" s="2982"/>
      <c r="O120" s="2982"/>
      <c r="P120" s="2023"/>
      <c r="Q120" s="1787"/>
    </row>
    <row r="121" spans="1:17" s="1739" customFormat="1" ht="15" thickTop="1">
      <c r="A121" s="1865"/>
      <c r="B121" s="1824" t="s">
        <v>2325</v>
      </c>
      <c r="C121" s="468"/>
      <c r="D121" s="468"/>
      <c r="E121" s="468"/>
      <c r="F121" s="1548"/>
      <c r="G121" s="443"/>
      <c r="H121" s="443"/>
      <c r="I121" s="443"/>
      <c r="J121" s="443"/>
      <c r="K121" s="443"/>
      <c r="L121" s="443"/>
      <c r="M121" s="1836"/>
      <c r="N121" s="2983"/>
      <c r="O121" s="2983"/>
      <c r="P121" s="2024"/>
      <c r="Q121" s="1839"/>
    </row>
    <row r="122" spans="1:17" s="1739" customFormat="1" ht="15.75" thickBot="1">
      <c r="A122" s="1835"/>
      <c r="B122" s="1820"/>
      <c r="C122" s="1840"/>
      <c r="D122" s="1840"/>
      <c r="E122" s="1840"/>
      <c r="F122" s="1840"/>
      <c r="G122" s="1840"/>
      <c r="H122" s="1840"/>
      <c r="I122" s="1840"/>
      <c r="J122" s="1840"/>
      <c r="K122" s="1840"/>
      <c r="L122" s="1840"/>
      <c r="M122" s="1840"/>
      <c r="N122" s="2983"/>
      <c r="O122" s="2983"/>
      <c r="P122" s="2024"/>
      <c r="Q122" s="1839"/>
    </row>
    <row r="123" spans="1:17" ht="15" thickTop="1">
      <c r="A123" s="1869"/>
      <c r="B123" s="1824" t="s">
        <v>2276</v>
      </c>
      <c r="C123" s="468"/>
      <c r="D123" s="468"/>
      <c r="E123" s="468"/>
      <c r="F123" s="1548"/>
      <c r="G123" s="1548"/>
      <c r="H123" s="1548"/>
      <c r="I123" s="1548"/>
      <c r="J123" s="1548"/>
      <c r="K123" s="473"/>
      <c r="L123" s="473"/>
      <c r="M123" s="1859"/>
      <c r="N123" s="2981"/>
      <c r="O123" s="2981"/>
      <c r="P123" s="2023"/>
      <c r="Q123" s="1787"/>
    </row>
    <row r="124" spans="1:17" ht="15.75" thickBot="1">
      <c r="A124" s="1819"/>
      <c r="B124" s="1827"/>
      <c r="C124" s="1828">
        <v>100</v>
      </c>
      <c r="D124" s="1828">
        <f t="shared" ref="D124:M124" si="30">C124-$K43</f>
        <v>100</v>
      </c>
      <c r="E124" s="1828">
        <f t="shared" si="30"/>
        <v>100</v>
      </c>
      <c r="F124" s="1828">
        <f t="shared" si="30"/>
        <v>100</v>
      </c>
      <c r="G124" s="1828">
        <f t="shared" si="30"/>
        <v>100</v>
      </c>
      <c r="H124" s="1828">
        <f t="shared" si="30"/>
        <v>100</v>
      </c>
      <c r="I124" s="1828">
        <f t="shared" si="30"/>
        <v>100</v>
      </c>
      <c r="J124" s="1828">
        <f t="shared" si="30"/>
        <v>100</v>
      </c>
      <c r="K124" s="1828">
        <f t="shared" si="30"/>
        <v>100</v>
      </c>
      <c r="L124" s="1828">
        <f t="shared" si="30"/>
        <v>100</v>
      </c>
      <c r="M124" s="1829">
        <f t="shared" si="30"/>
        <v>100</v>
      </c>
      <c r="N124" s="2982"/>
      <c r="O124" s="2982"/>
      <c r="P124" s="2023"/>
      <c r="Q124" s="1787"/>
    </row>
    <row r="125" spans="1:17" ht="15" thickTop="1">
      <c r="A125" s="1869"/>
      <c r="B125" s="1824" t="s">
        <v>2277</v>
      </c>
      <c r="C125" s="579" t="s">
        <v>2252</v>
      </c>
      <c r="D125" s="579" t="s">
        <v>2253</v>
      </c>
      <c r="E125" s="579" t="s">
        <v>2254</v>
      </c>
      <c r="F125" s="579" t="s">
        <v>2255</v>
      </c>
      <c r="G125" s="579" t="s">
        <v>2256</v>
      </c>
      <c r="H125" s="1825"/>
      <c r="I125" s="1825"/>
      <c r="J125" s="1825"/>
      <c r="K125" s="428"/>
      <c r="L125" s="428"/>
      <c r="M125" s="1826"/>
      <c r="N125" s="2981"/>
      <c r="O125" s="2981"/>
      <c r="P125" s="2024"/>
      <c r="Q125" s="1787"/>
    </row>
    <row r="126" spans="1:17" ht="15.75" thickBot="1">
      <c r="A126" s="1819"/>
      <c r="B126" s="1827"/>
      <c r="C126" s="1828">
        <v>100</v>
      </c>
      <c r="D126" s="1828">
        <f>C126-$K44</f>
        <v>100</v>
      </c>
      <c r="E126" s="1828">
        <f>D126-$K44</f>
        <v>100</v>
      </c>
      <c r="F126" s="1828">
        <f>E126-$K44</f>
        <v>100</v>
      </c>
      <c r="G126" s="1828">
        <f>F126-$K44</f>
        <v>100</v>
      </c>
      <c r="H126" s="1828"/>
      <c r="I126" s="1828"/>
      <c r="J126" s="1828"/>
      <c r="K126" s="1828"/>
      <c r="L126" s="1828"/>
      <c r="M126" s="1829"/>
      <c r="N126" s="2982"/>
      <c r="O126" s="2982"/>
      <c r="P126" s="2023"/>
      <c r="Q126" s="1787"/>
    </row>
    <row r="127" spans="1:17" s="1739" customFormat="1" ht="15" thickTop="1">
      <c r="A127" s="1865"/>
      <c r="B127" s="1824">
        <f>B45</f>
        <v>111</v>
      </c>
      <c r="C127" s="468"/>
      <c r="D127" s="468"/>
      <c r="E127" s="468"/>
      <c r="F127" s="468"/>
      <c r="G127" s="468"/>
      <c r="H127" s="443"/>
      <c r="I127" s="443"/>
      <c r="J127" s="443"/>
      <c r="K127" s="443"/>
      <c r="L127" s="443"/>
      <c r="M127" s="1836"/>
      <c r="N127" s="2983"/>
      <c r="O127" s="2983"/>
      <c r="P127" s="2024"/>
      <c r="Q127" s="1839"/>
    </row>
    <row r="128" spans="1:17" s="1739" customFormat="1" ht="15.75" thickBot="1">
      <c r="A128" s="1835"/>
      <c r="B128" s="1827"/>
      <c r="C128" s="1840"/>
      <c r="D128" s="1821"/>
      <c r="E128" s="1821"/>
      <c r="F128" s="1821"/>
      <c r="G128" s="1840"/>
      <c r="H128" s="1843"/>
      <c r="I128" s="1843"/>
      <c r="J128" s="1843"/>
      <c r="K128" s="1843"/>
      <c r="L128" s="1843"/>
      <c r="M128" s="1844"/>
      <c r="N128" s="2983"/>
      <c r="O128" s="2983"/>
      <c r="P128" s="2024"/>
      <c r="Q128" s="1839"/>
    </row>
    <row r="129" spans="1:17" ht="15" thickTop="1">
      <c r="A129" s="1869"/>
      <c r="B129" s="1824">
        <f>B46</f>
        <v>111</v>
      </c>
      <c r="C129" s="468"/>
      <c r="D129" s="468"/>
      <c r="E129" s="468"/>
      <c r="F129" s="468"/>
      <c r="G129" s="1548"/>
      <c r="H129" s="1548"/>
      <c r="I129" s="1548"/>
      <c r="J129" s="1548"/>
      <c r="K129" s="473"/>
      <c r="L129" s="473"/>
      <c r="M129" s="1859"/>
      <c r="N129" s="2981"/>
      <c r="O129" s="2981"/>
      <c r="P129" s="2023"/>
      <c r="Q129" s="1787"/>
    </row>
    <row r="130" spans="1:17" ht="15.75" thickBot="1">
      <c r="A130" s="1819"/>
      <c r="B130" s="1827"/>
      <c r="C130" s="1840"/>
      <c r="D130" s="1840"/>
      <c r="E130" s="1840"/>
      <c r="F130" s="1840"/>
      <c r="G130" s="1821"/>
      <c r="H130" s="1821"/>
      <c r="I130" s="1821"/>
      <c r="J130" s="1821"/>
      <c r="K130" s="1821"/>
      <c r="L130" s="1821"/>
      <c r="M130" s="1822"/>
      <c r="N130" s="2982"/>
      <c r="O130" s="2982"/>
      <c r="P130" s="2023"/>
      <c r="Q130" s="1787"/>
    </row>
    <row r="131" spans="1:17" ht="15" thickTop="1">
      <c r="A131" s="1869"/>
      <c r="B131" s="1830">
        <f>B47</f>
        <v>111</v>
      </c>
      <c r="C131" s="409"/>
      <c r="D131" s="409"/>
      <c r="E131" s="409"/>
      <c r="F131" s="409"/>
      <c r="G131" s="1860"/>
      <c r="H131" s="1860"/>
      <c r="I131" s="1860"/>
      <c r="J131" s="1860"/>
      <c r="K131" s="409"/>
      <c r="L131" s="409"/>
      <c r="M131" s="1861"/>
      <c r="N131" s="2981"/>
      <c r="O131" s="2981"/>
      <c r="P131" s="2023"/>
      <c r="Q131" s="1787"/>
    </row>
    <row r="132" spans="1:17" ht="15.75" thickBot="1">
      <c r="A132" s="2475"/>
      <c r="B132" s="1847"/>
      <c r="C132" s="1848"/>
      <c r="D132" s="1848"/>
      <c r="E132" s="1848"/>
      <c r="F132" s="1848"/>
      <c r="G132" s="1863"/>
      <c r="H132" s="1863"/>
      <c r="I132" s="1863"/>
      <c r="J132" s="1863"/>
      <c r="K132" s="1863"/>
      <c r="L132" s="1863"/>
      <c r="M132" s="1864"/>
      <c r="N132" s="2982"/>
      <c r="O132" s="2982"/>
      <c r="P132" s="2023"/>
      <c r="Q132"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362.84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78" t="s">
        <v>2190</v>
      </c>
      <c r="D4" s="3679"/>
      <c r="E4" s="3680" t="s">
        <v>2191</v>
      </c>
      <c r="F4" s="3681"/>
      <c r="G4" s="3678" t="s">
        <v>2192</v>
      </c>
      <c r="H4" s="3679"/>
      <c r="I4" s="3678" t="s">
        <v>2193</v>
      </c>
      <c r="J4" s="3679"/>
      <c r="K4" s="496" t="s">
        <v>2194</v>
      </c>
      <c r="L4" s="2990"/>
      <c r="M4" s="2991"/>
      <c r="N4" s="2991"/>
      <c r="O4" s="2991"/>
      <c r="P4" s="3682" t="s">
        <v>2195</v>
      </c>
      <c r="Q4" s="3683"/>
      <c r="R4" s="3665" t="s">
        <v>2191</v>
      </c>
      <c r="S4" s="3666"/>
      <c r="T4" s="3665" t="s">
        <v>2192</v>
      </c>
      <c r="U4" s="3666"/>
      <c r="V4" s="3688" t="s">
        <v>2193</v>
      </c>
      <c r="W4" s="3688"/>
      <c r="X4" s="1305"/>
      <c r="Y4" s="3665" t="s">
        <v>2195</v>
      </c>
      <c r="Z4" s="3666"/>
      <c r="AA4" s="3675" t="s">
        <v>2191</v>
      </c>
      <c r="AB4" s="3676" t="s">
        <v>2192</v>
      </c>
      <c r="AC4" s="3675" t="s">
        <v>2193</v>
      </c>
    </row>
    <row r="5" spans="1:29" ht="15">
      <c r="A5" s="297"/>
      <c r="B5" s="298"/>
      <c r="C5" s="3691" t="s">
        <v>2196</v>
      </c>
      <c r="D5" s="3692"/>
      <c r="E5" s="3689" t="s">
        <v>2197</v>
      </c>
      <c r="F5" s="3690"/>
      <c r="G5" s="3691" t="s">
        <v>2198</v>
      </c>
      <c r="H5" s="3692"/>
      <c r="I5" s="3691" t="s">
        <v>2199</v>
      </c>
      <c r="J5" s="3692"/>
      <c r="K5" s="496"/>
      <c r="L5" s="2990"/>
      <c r="M5" s="2991"/>
      <c r="N5" s="2991"/>
      <c r="O5" s="2991"/>
      <c r="P5" s="3684"/>
      <c r="Q5" s="3685"/>
      <c r="R5" s="3667"/>
      <c r="S5" s="3668"/>
      <c r="T5" s="3667"/>
      <c r="U5" s="3668"/>
      <c r="V5" s="3688"/>
      <c r="W5" s="3688"/>
      <c r="X5" s="1305"/>
      <c r="Y5" s="3667"/>
      <c r="Z5" s="3668"/>
      <c r="AA5" s="3676"/>
      <c r="AB5" s="3676"/>
      <c r="AC5" s="3676"/>
    </row>
    <row r="6" spans="1:29" ht="15.75" thickBot="1">
      <c r="A6" s="299"/>
      <c r="B6" s="300"/>
      <c r="C6" s="3693" t="s">
        <v>2200</v>
      </c>
      <c r="D6" s="3694"/>
      <c r="E6" s="3695" t="s">
        <v>2200</v>
      </c>
      <c r="F6" s="3696"/>
      <c r="G6" s="3693" t="s">
        <v>2200</v>
      </c>
      <c r="H6" s="3694"/>
      <c r="I6" s="3693" t="s">
        <v>2200</v>
      </c>
      <c r="J6" s="3694"/>
      <c r="K6" s="496" t="s">
        <v>2201</v>
      </c>
      <c r="L6" s="2990"/>
      <c r="M6" s="2991"/>
      <c r="N6" s="2991"/>
      <c r="O6" s="2991"/>
      <c r="P6" s="3686"/>
      <c r="Q6" s="3687"/>
      <c r="R6" s="3667"/>
      <c r="S6" s="3668"/>
      <c r="T6" s="3669"/>
      <c r="U6" s="3670"/>
      <c r="V6" s="3688"/>
      <c r="W6" s="3688"/>
      <c r="X6" s="1305"/>
      <c r="Y6" s="3669"/>
      <c r="Z6" s="3670"/>
      <c r="AA6" s="3677"/>
      <c r="AB6" s="3677"/>
      <c r="AC6" s="3677"/>
    </row>
    <row r="7" spans="1:29" s="25" customFormat="1" ht="15.75" thickBot="1">
      <c r="A7" s="301" t="s">
        <v>2202</v>
      </c>
      <c r="B7" s="302"/>
      <c r="C7" s="303">
        <f>'数据-取费表'!B2</f>
        <v>44616</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63" t="s">
        <v>2203</v>
      </c>
      <c r="Q7" s="3671"/>
      <c r="R7" s="627" t="s">
        <v>25</v>
      </c>
      <c r="S7" s="628">
        <f t="shared" ref="S7:S15" si="0">F7</f>
        <v>0</v>
      </c>
      <c r="T7" s="627" t="s">
        <v>25</v>
      </c>
      <c r="U7" s="628">
        <f t="shared" ref="U7:U15" si="1">H7</f>
        <v>0</v>
      </c>
      <c r="V7" s="627" t="s">
        <v>25</v>
      </c>
      <c r="W7" s="628">
        <f t="shared" ref="W7:W15" si="2">J7</f>
        <v>0</v>
      </c>
      <c r="X7" s="629"/>
      <c r="Y7" s="3663" t="s">
        <v>2203</v>
      </c>
      <c r="Z7" s="3664"/>
      <c r="AA7" s="630" t="e">
        <f>D7/F7</f>
        <v>#DIV/0!</v>
      </c>
      <c r="AB7" s="630" t="e">
        <f>D7/H7</f>
        <v>#DIV/0!</v>
      </c>
      <c r="AC7" s="630" t="e">
        <f>D7/J7</f>
        <v>#DIV/0!</v>
      </c>
    </row>
    <row r="8" spans="1:29" s="25" customFormat="1" ht="15.75" thickBot="1">
      <c r="A8" s="301" t="s">
        <v>2204</v>
      </c>
      <c r="B8" s="302"/>
      <c r="C8" s="307" t="s">
        <v>2823</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63" t="s">
        <v>2206</v>
      </c>
      <c r="Q8" s="3664"/>
      <c r="R8" s="627" t="s">
        <v>25</v>
      </c>
      <c r="S8" s="628">
        <f t="shared" si="0"/>
        <v>0</v>
      </c>
      <c r="T8" s="627" t="s">
        <v>25</v>
      </c>
      <c r="U8" s="628">
        <f t="shared" si="1"/>
        <v>0</v>
      </c>
      <c r="V8" s="627" t="s">
        <v>25</v>
      </c>
      <c r="W8" s="628">
        <f t="shared" si="2"/>
        <v>0</v>
      </c>
      <c r="X8" s="629"/>
      <c r="Y8" s="3663" t="s">
        <v>2206</v>
      </c>
      <c r="Z8" s="3664"/>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55" t="s">
        <v>2209</v>
      </c>
      <c r="Q9" s="1297" t="str">
        <f t="shared" ref="Q9:Q15" si="6">B9</f>
        <v>用途</v>
      </c>
      <c r="R9" s="627" t="s">
        <v>25</v>
      </c>
      <c r="S9" s="628">
        <f t="shared" si="0"/>
        <v>100</v>
      </c>
      <c r="T9" s="627" t="s">
        <v>25</v>
      </c>
      <c r="U9" s="628">
        <f t="shared" si="1"/>
        <v>100</v>
      </c>
      <c r="V9" s="627" t="s">
        <v>25</v>
      </c>
      <c r="W9" s="628">
        <f t="shared" si="2"/>
        <v>100</v>
      </c>
      <c r="X9" s="629"/>
      <c r="Y9" s="3674"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2"/>
      <c r="M12" s="2993"/>
      <c r="N12" s="2993"/>
      <c r="O12" s="2994"/>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0"/>
      <c r="M13" s="2991"/>
      <c r="N13" s="2991"/>
      <c r="O13" s="2999"/>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0"/>
      <c r="M14" s="2991"/>
      <c r="N14" s="2991"/>
      <c r="O14" s="2999"/>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72" t="s">
        <v>2214</v>
      </c>
      <c r="Q15" s="1304" t="str">
        <f t="shared" si="6"/>
        <v>产业集聚程度</v>
      </c>
      <c r="R15" s="631" t="s">
        <v>25</v>
      </c>
      <c r="S15" s="632">
        <f t="shared" si="0"/>
        <v>100</v>
      </c>
      <c r="T15" s="631" t="s">
        <v>25</v>
      </c>
      <c r="U15" s="632">
        <f t="shared" si="1"/>
        <v>100</v>
      </c>
      <c r="V15" s="631" t="s">
        <v>25</v>
      </c>
      <c r="W15" s="632">
        <f t="shared" si="2"/>
        <v>100</v>
      </c>
      <c r="X15" s="1305"/>
      <c r="Y15" s="3672"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73"/>
      <c r="Q16" s="1304"/>
      <c r="R16" s="631"/>
      <c r="S16" s="632"/>
      <c r="T16" s="631"/>
      <c r="U16" s="632"/>
      <c r="V16" s="631"/>
      <c r="W16" s="632"/>
      <c r="X16" s="1305"/>
      <c r="Y16" s="3673"/>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0"/>
      <c r="M18" s="2991"/>
      <c r="N18" s="2991"/>
      <c r="O18" s="2999"/>
      <c r="P18" s="3673"/>
      <c r="Q18" s="1304"/>
      <c r="R18" s="631"/>
      <c r="S18" s="632"/>
      <c r="T18" s="631"/>
      <c r="U18" s="632"/>
      <c r="V18" s="631"/>
      <c r="W18" s="632"/>
      <c r="X18" s="1305"/>
      <c r="Y18" s="3673"/>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73"/>
      <c r="Q19" s="1304" t="str">
        <f>B19</f>
        <v>公共配套设施</v>
      </c>
      <c r="R19" s="631" t="s">
        <v>25</v>
      </c>
      <c r="S19" s="632">
        <f>F19</f>
        <v>100</v>
      </c>
      <c r="T19" s="631" t="s">
        <v>25</v>
      </c>
      <c r="U19" s="632">
        <f>H19</f>
        <v>100</v>
      </c>
      <c r="V19" s="631" t="s">
        <v>25</v>
      </c>
      <c r="W19" s="632">
        <f>J19</f>
        <v>100</v>
      </c>
      <c r="X19" s="1305"/>
      <c r="Y19" s="367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0"/>
      <c r="M20" s="2991"/>
      <c r="N20" s="2991"/>
      <c r="O20" s="2999"/>
      <c r="P20" s="3673"/>
      <c r="Q20" s="1304"/>
      <c r="R20" s="631"/>
      <c r="S20" s="632"/>
      <c r="T20" s="631"/>
      <c r="U20" s="632"/>
      <c r="V20" s="631"/>
      <c r="W20" s="632"/>
      <c r="X20" s="1305"/>
      <c r="Y20" s="3673"/>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73"/>
      <c r="Q21" s="1304" t="str">
        <f>B21</f>
        <v>基础设施水平</v>
      </c>
      <c r="R21" s="631" t="s">
        <v>25</v>
      </c>
      <c r="S21" s="632">
        <f>F21</f>
        <v>100</v>
      </c>
      <c r="T21" s="631" t="s">
        <v>25</v>
      </c>
      <c r="U21" s="632">
        <f>H21</f>
        <v>100</v>
      </c>
      <c r="V21" s="631" t="s">
        <v>25</v>
      </c>
      <c r="W21" s="632">
        <f>J21</f>
        <v>100</v>
      </c>
      <c r="X21" s="1305"/>
      <c r="Y21" s="367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0"/>
      <c r="M22" s="2991"/>
      <c r="N22" s="2991"/>
      <c r="O22" s="2999"/>
      <c r="P22" s="3673"/>
      <c r="Q22" s="1304"/>
      <c r="R22" s="631"/>
      <c r="S22" s="632"/>
      <c r="T22" s="631"/>
      <c r="U22" s="632"/>
      <c r="V22" s="631"/>
      <c r="W22" s="632"/>
      <c r="X22" s="1305"/>
      <c r="Y22" s="3673"/>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73"/>
      <c r="Q23" s="1304" t="str">
        <f>B23</f>
        <v>环境质量</v>
      </c>
      <c r="R23" s="631" t="s">
        <v>25</v>
      </c>
      <c r="S23" s="632">
        <f>F23</f>
        <v>100</v>
      </c>
      <c r="T23" s="631" t="s">
        <v>25</v>
      </c>
      <c r="U23" s="632">
        <f>H23</f>
        <v>100</v>
      </c>
      <c r="V23" s="631" t="s">
        <v>25</v>
      </c>
      <c r="W23" s="632">
        <f>J23</f>
        <v>100</v>
      </c>
      <c r="X23" s="1305"/>
      <c r="Y23" s="367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0"/>
      <c r="M24" s="2991"/>
      <c r="N24" s="2991"/>
      <c r="O24" s="2999"/>
      <c r="P24" s="3673"/>
      <c r="Q24" s="1304"/>
      <c r="R24" s="631"/>
      <c r="S24" s="632"/>
      <c r="T24" s="631"/>
      <c r="U24" s="632"/>
      <c r="V24" s="631"/>
      <c r="W24" s="632"/>
      <c r="X24" s="1305"/>
      <c r="Y24" s="367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73"/>
      <c r="Q25" s="1304">
        <f>B25</f>
        <v>111</v>
      </c>
      <c r="R25" s="631" t="s">
        <v>25</v>
      </c>
      <c r="S25" s="632">
        <f>F25</f>
        <v>100</v>
      </c>
      <c r="T25" s="631" t="s">
        <v>25</v>
      </c>
      <c r="U25" s="632">
        <f>H25</f>
        <v>100</v>
      </c>
      <c r="V25" s="631" t="s">
        <v>25</v>
      </c>
      <c r="W25" s="632">
        <f>J25</f>
        <v>100</v>
      </c>
      <c r="X25" s="1305"/>
      <c r="Y25" s="367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73"/>
      <c r="Q26" s="1304">
        <f t="shared" ref="Q26:Q40" si="11">B26</f>
        <v>111</v>
      </c>
      <c r="R26" s="631" t="s">
        <v>25</v>
      </c>
      <c r="S26" s="632">
        <f>F26</f>
        <v>100</v>
      </c>
      <c r="T26" s="631" t="s">
        <v>25</v>
      </c>
      <c r="U26" s="632">
        <f>H26</f>
        <v>100</v>
      </c>
      <c r="V26" s="631" t="s">
        <v>25</v>
      </c>
      <c r="W26" s="632">
        <f>J26</f>
        <v>100</v>
      </c>
      <c r="X26" s="1305"/>
      <c r="Y26" s="367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73"/>
      <c r="Q27" s="1297">
        <f t="shared" si="11"/>
        <v>111</v>
      </c>
      <c r="R27" s="627" t="s">
        <v>25</v>
      </c>
      <c r="S27" s="628">
        <f>F27</f>
        <v>100</v>
      </c>
      <c r="T27" s="627" t="s">
        <v>25</v>
      </c>
      <c r="U27" s="628">
        <f>H27</f>
        <v>100</v>
      </c>
      <c r="V27" s="627" t="s">
        <v>25</v>
      </c>
      <c r="W27" s="628">
        <f>J27</f>
        <v>100</v>
      </c>
      <c r="X27" s="629"/>
      <c r="Y27" s="367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73"/>
      <c r="Q28" s="1304">
        <f t="shared" si="11"/>
        <v>111</v>
      </c>
      <c r="R28" s="631" t="s">
        <v>25</v>
      </c>
      <c r="S28" s="632">
        <f t="shared" ref="S28:S40" si="12">F28</f>
        <v>100</v>
      </c>
      <c r="T28" s="631" t="s">
        <v>25</v>
      </c>
      <c r="U28" s="632">
        <f t="shared" ref="U28:U40" si="13">H28</f>
        <v>100</v>
      </c>
      <c r="V28" s="631" t="s">
        <v>25</v>
      </c>
      <c r="W28" s="632">
        <f t="shared" ref="W28:W40" si="14">J28</f>
        <v>100</v>
      </c>
      <c r="X28" s="1305"/>
      <c r="Y28" s="3673"/>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0"/>
      <c r="M29" s="2991"/>
      <c r="N29" s="2991"/>
      <c r="O29" s="2999"/>
      <c r="P29" s="3660" t="s">
        <v>2220</v>
      </c>
      <c r="Q29" s="1304" t="str">
        <f t="shared" si="11"/>
        <v>建筑类型</v>
      </c>
      <c r="R29" s="631" t="s">
        <v>25</v>
      </c>
      <c r="S29" s="632">
        <f t="shared" si="12"/>
        <v>100</v>
      </c>
      <c r="T29" s="631" t="s">
        <v>25</v>
      </c>
      <c r="U29" s="632">
        <f t="shared" si="13"/>
        <v>100</v>
      </c>
      <c r="V29" s="631" t="s">
        <v>25</v>
      </c>
      <c r="W29" s="632">
        <f t="shared" si="14"/>
        <v>100</v>
      </c>
      <c r="X29" s="1305"/>
      <c r="Y29" s="3661"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61" t="s">
        <v>2220</v>
      </c>
      <c r="Q35" s="1304" t="str">
        <f t="shared" si="11"/>
        <v>市政基础设施</v>
      </c>
      <c r="R35" s="631" t="s">
        <v>25</v>
      </c>
      <c r="S35" s="632">
        <f t="shared" si="12"/>
        <v>100</v>
      </c>
      <c r="T35" s="631" t="s">
        <v>25</v>
      </c>
      <c r="U35" s="632">
        <f t="shared" si="13"/>
        <v>100</v>
      </c>
      <c r="V35" s="631" t="s">
        <v>25</v>
      </c>
      <c r="W35" s="632">
        <f t="shared" si="14"/>
        <v>100</v>
      </c>
      <c r="X35" s="1305"/>
      <c r="Y35" s="3661"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2"/>
      <c r="N41" s="2991"/>
      <c r="P41" s="3655" t="str">
        <f>A41</f>
        <v>成交单价（元/平方米）</v>
      </c>
      <c r="Q41" s="3655"/>
      <c r="R41" s="3656">
        <f>E41</f>
        <v>0</v>
      </c>
      <c r="S41" s="3656"/>
      <c r="T41" s="3656">
        <f>G41</f>
        <v>0</v>
      </c>
      <c r="U41" s="3656"/>
      <c r="V41" s="3656">
        <f>I41</f>
        <v>0</v>
      </c>
      <c r="W41" s="3656"/>
      <c r="X41" s="618"/>
      <c r="Y41" s="638"/>
      <c r="Z41" s="618"/>
      <c r="AA41" s="618"/>
      <c r="AB41" s="618"/>
      <c r="AC41" s="618"/>
    </row>
    <row r="42" spans="1:29" ht="15.75" thickBot="1">
      <c r="A42" s="374" t="s">
        <v>2315</v>
      </c>
      <c r="B42" s="375"/>
      <c r="C42" s="1130" t="e">
        <f>R43</f>
        <v>#DIV/0!</v>
      </c>
      <c r="D42" s="1762" t="s">
        <v>2685</v>
      </c>
      <c r="E42" s="1131" t="e">
        <f>R42</f>
        <v>#DIV/0!</v>
      </c>
      <c r="F42" s="1764"/>
      <c r="G42" s="1130" t="e">
        <f>T42</f>
        <v>#DIV/0!</v>
      </c>
      <c r="H42" s="1764"/>
      <c r="I42" s="1131" t="e">
        <f>V42</f>
        <v>#DIV/0!</v>
      </c>
      <c r="J42" s="1764"/>
      <c r="K42" s="2476">
        <f>F42+H42+J42</f>
        <v>0</v>
      </c>
      <c r="L42" s="3002"/>
      <c r="N42" s="2991"/>
      <c r="P42" s="3655" t="str">
        <f>A42</f>
        <v>比较价值（元/平方米）</v>
      </c>
      <c r="Q42" s="3655"/>
      <c r="R42" s="3656" t="e">
        <f>IF(E1="售价",ROUND(PRODUCT(R41,AA7:AA40),0),ROUND(PRODUCT(R41,AA7:AA40),1))</f>
        <v>#DIV/0!</v>
      </c>
      <c r="S42" s="3656"/>
      <c r="T42" s="3656" t="e">
        <f>IF(E1="售价",ROUND(PRODUCT(T41,AB7:AB40),0),ROUND(PRODUCT(T41,AB7:AB40),1))</f>
        <v>#DIV/0!</v>
      </c>
      <c r="U42" s="3656"/>
      <c r="V42" s="3656" t="e">
        <f>IF(E1="售价",ROUND(PRODUCT(V41,AC7:AC40),0),ROUND(PRODUCT(V41,AC7:AC40),1))</f>
        <v>#DIV/0!</v>
      </c>
      <c r="W42" s="3656"/>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2"/>
      <c r="P43" s="3657" t="str">
        <f>A43</f>
        <v>估价对象XX用房的比较价值（楼面单价，元/平方米）</v>
      </c>
      <c r="Q43" s="3658"/>
      <c r="R43" s="3659" t="e">
        <f>IF(E1="售价",ROUND(IF(D42="简单平均",AVERAGE(R42:V42),R42*F42+T42*H42+V42*J42),0),ROUND(IF(D42="简单平均",AVERAGE(R42:V42),R42*F42+T42*H42+V42*J42),1))</f>
        <v>#DIV/0!</v>
      </c>
      <c r="S43" s="3659"/>
      <c r="T43" s="3659"/>
      <c r="U43" s="3659"/>
      <c r="V43" s="3659"/>
      <c r="W43" s="3659"/>
      <c r="X43" s="618"/>
      <c r="Y43" s="618"/>
      <c r="Z43" s="618"/>
      <c r="AA43" s="618"/>
      <c r="AB43" s="618"/>
      <c r="AC43" s="618"/>
    </row>
    <row r="44" spans="1:29">
      <c r="G44" s="300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20" t="s">
        <v>2320</v>
      </c>
      <c r="B51" s="618"/>
      <c r="C51" s="621"/>
      <c r="D51" s="621"/>
      <c r="E51" s="621"/>
      <c r="F51" s="622"/>
      <c r="G51" s="622"/>
      <c r="H51" s="621"/>
      <c r="I51" s="621"/>
      <c r="J51" s="621"/>
      <c r="K51" s="623"/>
      <c r="L51" s="624"/>
      <c r="M51" s="621"/>
      <c r="N51" s="3008"/>
      <c r="O51" s="3008"/>
      <c r="P51" s="389"/>
      <c r="Q51" s="390"/>
    </row>
    <row r="52" spans="1:17" s="394" customFormat="1" ht="15">
      <c r="A52" s="391" t="s">
        <v>2202</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362.84</v>
      </c>
      <c r="E3" s="839" t="s">
        <v>2350</v>
      </c>
      <c r="F3" s="293">
        <f>'数据-取费表'!B42</f>
        <v>0</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78" t="s">
        <v>2190</v>
      </c>
      <c r="D4" s="3679"/>
      <c r="E4" s="3680" t="s">
        <v>2191</v>
      </c>
      <c r="F4" s="3681"/>
      <c r="G4" s="3678" t="s">
        <v>2192</v>
      </c>
      <c r="H4" s="3679"/>
      <c r="I4" s="3678" t="s">
        <v>2193</v>
      </c>
      <c r="J4" s="3679"/>
      <c r="K4" s="496" t="s">
        <v>2194</v>
      </c>
      <c r="L4" s="2990"/>
      <c r="M4" s="2991"/>
      <c r="N4" s="2991"/>
      <c r="O4" s="2991"/>
      <c r="P4" s="3682" t="s">
        <v>2195</v>
      </c>
      <c r="Q4" s="3683"/>
      <c r="R4" s="3665" t="s">
        <v>2191</v>
      </c>
      <c r="S4" s="3666"/>
      <c r="T4" s="3665" t="s">
        <v>2192</v>
      </c>
      <c r="U4" s="3666"/>
      <c r="V4" s="3688" t="s">
        <v>2193</v>
      </c>
      <c r="W4" s="3688"/>
      <c r="X4" s="1305"/>
      <c r="Y4" s="3665" t="s">
        <v>2195</v>
      </c>
      <c r="Z4" s="3666"/>
      <c r="AA4" s="3675" t="s">
        <v>2191</v>
      </c>
      <c r="AB4" s="3676" t="s">
        <v>2192</v>
      </c>
      <c r="AC4" s="3675" t="s">
        <v>2193</v>
      </c>
    </row>
    <row r="5" spans="1:29" ht="15">
      <c r="A5" s="297"/>
      <c r="B5" s="298"/>
      <c r="C5" s="3691" t="s">
        <v>2196</v>
      </c>
      <c r="D5" s="3692"/>
      <c r="E5" s="3689" t="s">
        <v>2197</v>
      </c>
      <c r="F5" s="3690"/>
      <c r="G5" s="3691" t="s">
        <v>2198</v>
      </c>
      <c r="H5" s="3692"/>
      <c r="I5" s="3691" t="s">
        <v>2199</v>
      </c>
      <c r="J5" s="3692"/>
      <c r="K5" s="496"/>
      <c r="L5" s="2990"/>
      <c r="M5" s="2991"/>
      <c r="N5" s="2991"/>
      <c r="O5" s="2991"/>
      <c r="P5" s="3684"/>
      <c r="Q5" s="3685"/>
      <c r="R5" s="3667"/>
      <c r="S5" s="3668"/>
      <c r="T5" s="3667"/>
      <c r="U5" s="3668"/>
      <c r="V5" s="3688"/>
      <c r="W5" s="3688"/>
      <c r="X5" s="1305"/>
      <c r="Y5" s="3667"/>
      <c r="Z5" s="3668"/>
      <c r="AA5" s="3676"/>
      <c r="AB5" s="3676"/>
      <c r="AC5" s="3676"/>
    </row>
    <row r="6" spans="1:29" ht="15.75" thickBot="1">
      <c r="A6" s="299"/>
      <c r="B6" s="300"/>
      <c r="C6" s="3693" t="s">
        <v>2200</v>
      </c>
      <c r="D6" s="3694"/>
      <c r="E6" s="3695" t="s">
        <v>2200</v>
      </c>
      <c r="F6" s="3696"/>
      <c r="G6" s="3693" t="s">
        <v>2200</v>
      </c>
      <c r="H6" s="3694"/>
      <c r="I6" s="3693" t="s">
        <v>2200</v>
      </c>
      <c r="J6" s="3694"/>
      <c r="K6" s="496" t="s">
        <v>2201</v>
      </c>
      <c r="L6" s="2990"/>
      <c r="M6" s="2991"/>
      <c r="N6" s="2991"/>
      <c r="O6" s="2991"/>
      <c r="P6" s="3686"/>
      <c r="Q6" s="3687"/>
      <c r="R6" s="3667"/>
      <c r="S6" s="3668"/>
      <c r="T6" s="3669"/>
      <c r="U6" s="3670"/>
      <c r="V6" s="3688"/>
      <c r="W6" s="3688"/>
      <c r="X6" s="1305"/>
      <c r="Y6" s="3669"/>
      <c r="Z6" s="3670"/>
      <c r="AA6" s="3677"/>
      <c r="AB6" s="3677"/>
      <c r="AC6" s="3677"/>
    </row>
    <row r="7" spans="1:29" s="25" customFormat="1" ht="15.75" thickBot="1">
      <c r="A7" s="301" t="s">
        <v>2202</v>
      </c>
      <c r="B7" s="302"/>
      <c r="C7" s="303">
        <f>'数据-取费表'!B2</f>
        <v>44616</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63" t="s">
        <v>2203</v>
      </c>
      <c r="Q7" s="3671"/>
      <c r="R7" s="627" t="s">
        <v>25</v>
      </c>
      <c r="S7" s="628">
        <f t="shared" ref="S7:S14" si="0">F7</f>
        <v>0</v>
      </c>
      <c r="T7" s="627" t="s">
        <v>25</v>
      </c>
      <c r="U7" s="628">
        <f t="shared" ref="U7:U14" si="1">H7</f>
        <v>0</v>
      </c>
      <c r="V7" s="627" t="s">
        <v>25</v>
      </c>
      <c r="W7" s="628">
        <f t="shared" ref="W7:W14" si="2">J7</f>
        <v>0</v>
      </c>
      <c r="X7" s="629"/>
      <c r="Y7" s="3663" t="s">
        <v>2203</v>
      </c>
      <c r="Z7" s="3664"/>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63" t="s">
        <v>2206</v>
      </c>
      <c r="Q8" s="3664"/>
      <c r="R8" s="627" t="s">
        <v>25</v>
      </c>
      <c r="S8" s="628">
        <f t="shared" si="0"/>
        <v>0</v>
      </c>
      <c r="T8" s="627" t="s">
        <v>25</v>
      </c>
      <c r="U8" s="628">
        <f t="shared" si="1"/>
        <v>0</v>
      </c>
      <c r="V8" s="627" t="s">
        <v>25</v>
      </c>
      <c r="W8" s="628">
        <f t="shared" si="2"/>
        <v>0</v>
      </c>
      <c r="X8" s="629"/>
      <c r="Y8" s="3663" t="s">
        <v>2206</v>
      </c>
      <c r="Z8" s="3664"/>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55" t="s">
        <v>2209</v>
      </c>
      <c r="Q9" s="1297" t="str">
        <f t="shared" ref="Q9:Q14" si="6">B9</f>
        <v>用途</v>
      </c>
      <c r="R9" s="627" t="s">
        <v>25</v>
      </c>
      <c r="S9" s="628">
        <f t="shared" si="0"/>
        <v>100</v>
      </c>
      <c r="T9" s="627" t="s">
        <v>25</v>
      </c>
      <c r="U9" s="628">
        <f t="shared" si="1"/>
        <v>100</v>
      </c>
      <c r="V9" s="627" t="s">
        <v>25</v>
      </c>
      <c r="W9" s="628">
        <f t="shared" si="2"/>
        <v>100</v>
      </c>
      <c r="X9" s="629"/>
      <c r="Y9" s="3674"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72" t="s">
        <v>2214</v>
      </c>
      <c r="Q14" s="1304" t="str">
        <f t="shared" si="6"/>
        <v>交通便捷度</v>
      </c>
      <c r="R14" s="631" t="s">
        <v>25</v>
      </c>
      <c r="S14" s="632">
        <f t="shared" si="0"/>
        <v>100</v>
      </c>
      <c r="T14" s="631" t="s">
        <v>25</v>
      </c>
      <c r="U14" s="632">
        <f t="shared" si="1"/>
        <v>100</v>
      </c>
      <c r="V14" s="631" t="s">
        <v>25</v>
      </c>
      <c r="W14" s="632">
        <f t="shared" si="2"/>
        <v>100</v>
      </c>
      <c r="X14" s="1305"/>
      <c r="Y14" s="3672"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73"/>
      <c r="Q15" s="1304"/>
      <c r="R15" s="631"/>
      <c r="S15" s="632"/>
      <c r="T15" s="631"/>
      <c r="U15" s="632"/>
      <c r="V15" s="631"/>
      <c r="W15" s="632"/>
      <c r="X15" s="1305"/>
      <c r="Y15" s="3673"/>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73"/>
      <c r="Q17" s="1304"/>
      <c r="R17" s="631"/>
      <c r="S17" s="632"/>
      <c r="T17" s="631"/>
      <c r="U17" s="632"/>
      <c r="V17" s="631"/>
      <c r="W17" s="632"/>
      <c r="X17" s="1305"/>
      <c r="Y17" s="3673"/>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73"/>
      <c r="Q19" s="1304"/>
      <c r="R19" s="631"/>
      <c r="S19" s="632"/>
      <c r="T19" s="631"/>
      <c r="U19" s="632"/>
      <c r="V19" s="631"/>
      <c r="W19" s="632"/>
      <c r="X19" s="1305"/>
      <c r="Y19" s="3673"/>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73"/>
      <c r="Q21" s="1304"/>
      <c r="R21" s="631"/>
      <c r="S21" s="632"/>
      <c r="T21" s="631"/>
      <c r="U21" s="632"/>
      <c r="V21" s="631"/>
      <c r="W21" s="632"/>
      <c r="X21" s="1305"/>
      <c r="Y21" s="3673"/>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73"/>
      <c r="Q24" s="1304">
        <f t="shared" ref="Q24:Q36"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60"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61" t="s">
        <v>2220</v>
      </c>
      <c r="Q32" s="1304" t="str">
        <f t="shared" si="11"/>
        <v>车位类型</v>
      </c>
      <c r="R32" s="631" t="s">
        <v>25</v>
      </c>
      <c r="S32" s="632">
        <f t="shared" si="12"/>
        <v>100</v>
      </c>
      <c r="T32" s="631" t="s">
        <v>25</v>
      </c>
      <c r="U32" s="632">
        <f t="shared" si="13"/>
        <v>100</v>
      </c>
      <c r="V32" s="631" t="s">
        <v>25</v>
      </c>
      <c r="W32" s="632">
        <f t="shared" si="14"/>
        <v>100</v>
      </c>
      <c r="X32" s="1305"/>
      <c r="Y32" s="3661"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2"/>
      <c r="N37" s="2991"/>
      <c r="P37" s="3655" t="str">
        <f>A37</f>
        <v>成交单价</v>
      </c>
      <c r="Q37" s="3655"/>
      <c r="R37" s="3656">
        <f>E37</f>
        <v>0</v>
      </c>
      <c r="S37" s="3656"/>
      <c r="T37" s="3656">
        <f>G37</f>
        <v>0</v>
      </c>
      <c r="U37" s="3656"/>
      <c r="V37" s="3656">
        <f>I37</f>
        <v>0</v>
      </c>
      <c r="W37" s="3656"/>
      <c r="X37" s="618"/>
      <c r="Y37" s="638"/>
      <c r="Z37" s="618"/>
      <c r="AA37" s="618"/>
      <c r="AB37" s="618"/>
      <c r="AC37" s="618"/>
    </row>
    <row r="38" spans="1:29" ht="15.75" thickBot="1">
      <c r="A38" s="374" t="s">
        <v>2364</v>
      </c>
      <c r="B38" s="375" t="str">
        <f>B37</f>
        <v>元/平方米</v>
      </c>
      <c r="C38" s="1130" t="e">
        <f>R39</f>
        <v>#DIV/0!</v>
      </c>
      <c r="D38" s="1762" t="s">
        <v>2685</v>
      </c>
      <c r="E38" s="1131" t="e">
        <f>R38</f>
        <v>#DIV/0!</v>
      </c>
      <c r="F38" s="1764"/>
      <c r="G38" s="1130" t="e">
        <f>T38</f>
        <v>#DIV/0!</v>
      </c>
      <c r="H38" s="1764"/>
      <c r="I38" s="1131" t="e">
        <f>V38</f>
        <v>#DIV/0!</v>
      </c>
      <c r="J38" s="1764"/>
      <c r="K38" s="2476">
        <f>F38+H38+J38</f>
        <v>0</v>
      </c>
      <c r="L38" s="3002"/>
      <c r="P38" s="3655" t="str">
        <f>A38</f>
        <v>比较价值</v>
      </c>
      <c r="Q38" s="3655"/>
      <c r="R38" s="3656" t="e">
        <f>IF(E1="售价",ROUND(PRODUCT(R37,AA7:AA36),0),ROUND(PRODUCT(R37,AA7:AA36),1))</f>
        <v>#DIV/0!</v>
      </c>
      <c r="S38" s="3656"/>
      <c r="T38" s="3656" t="e">
        <f>IF(E1="售价",ROUND(PRODUCT(T37,AB7:AB36),0),ROUND(PRODUCT(T37,AB7:AB36),1))</f>
        <v>#DIV/0!</v>
      </c>
      <c r="U38" s="3656"/>
      <c r="V38" s="3656" t="e">
        <f>IF(E1="售价",ROUND(PRODUCT(V37,AC7:AC36),0),ROUND(PRODUCT(V37,AC7:AC36),1))</f>
        <v>#DIV/0!</v>
      </c>
      <c r="W38" s="3656"/>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2"/>
      <c r="P39" s="3657" t="str">
        <f>A39</f>
        <v>估价对象XX用房的比较价值（楼面单价，元/平方米）</v>
      </c>
      <c r="Q39" s="3658"/>
      <c r="R39" s="3659" t="e">
        <f>IF(E1="售价",ROUND(IF(D38="简单平均",AVERAGE(R38:W38),R38*F38+T38*H38+V38*J38),0),ROUND(IF(D38="简单平均",AVERAGE(R38:V38),R38*F38+T38*H38+V38*J38),1))</f>
        <v>#DIV/0!</v>
      </c>
      <c r="S39" s="3659"/>
      <c r="T39" s="3659"/>
      <c r="U39" s="3659"/>
      <c r="V39" s="3659"/>
      <c r="W39" s="3659"/>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2686</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362.84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78" t="s">
        <v>2190</v>
      </c>
      <c r="D4" s="3679"/>
      <c r="E4" s="3680" t="s">
        <v>2191</v>
      </c>
      <c r="F4" s="3681"/>
      <c r="G4" s="3678" t="s">
        <v>2192</v>
      </c>
      <c r="H4" s="3679"/>
      <c r="I4" s="3678" t="s">
        <v>2193</v>
      </c>
      <c r="J4" s="3679"/>
      <c r="K4" s="496" t="s">
        <v>2194</v>
      </c>
      <c r="L4" s="2990"/>
      <c r="M4" s="2991"/>
      <c r="N4" s="2991"/>
      <c r="O4" s="2991"/>
      <c r="P4" s="3682" t="s">
        <v>2195</v>
      </c>
      <c r="Q4" s="3683"/>
      <c r="R4" s="3665" t="s">
        <v>2191</v>
      </c>
      <c r="S4" s="3666"/>
      <c r="T4" s="3665" t="s">
        <v>2192</v>
      </c>
      <c r="U4" s="3666"/>
      <c r="V4" s="3688" t="s">
        <v>2193</v>
      </c>
      <c r="W4" s="3688"/>
      <c r="X4" s="1305"/>
      <c r="Y4" s="3665" t="s">
        <v>2195</v>
      </c>
      <c r="Z4" s="3666"/>
      <c r="AA4" s="3675" t="s">
        <v>2191</v>
      </c>
      <c r="AB4" s="3676" t="s">
        <v>2192</v>
      </c>
      <c r="AC4" s="3675" t="s">
        <v>2193</v>
      </c>
    </row>
    <row r="5" spans="1:29" ht="15">
      <c r="A5" s="297"/>
      <c r="B5" s="298"/>
      <c r="C5" s="3691" t="s">
        <v>2196</v>
      </c>
      <c r="D5" s="3692"/>
      <c r="E5" s="3689" t="s">
        <v>2197</v>
      </c>
      <c r="F5" s="3690"/>
      <c r="G5" s="3691" t="s">
        <v>2198</v>
      </c>
      <c r="H5" s="3692"/>
      <c r="I5" s="3691" t="s">
        <v>2199</v>
      </c>
      <c r="J5" s="3692"/>
      <c r="K5" s="496"/>
      <c r="L5" s="2990"/>
      <c r="M5" s="2991"/>
      <c r="N5" s="2991"/>
      <c r="O5" s="2991"/>
      <c r="P5" s="3684"/>
      <c r="Q5" s="3685"/>
      <c r="R5" s="3667"/>
      <c r="S5" s="3668"/>
      <c r="T5" s="3667"/>
      <c r="U5" s="3668"/>
      <c r="V5" s="3688"/>
      <c r="W5" s="3688"/>
      <c r="X5" s="1305"/>
      <c r="Y5" s="3667"/>
      <c r="Z5" s="3668"/>
      <c r="AA5" s="3676"/>
      <c r="AB5" s="3676"/>
      <c r="AC5" s="3676"/>
    </row>
    <row r="6" spans="1:29" ht="15.75" thickBot="1">
      <c r="A6" s="299"/>
      <c r="B6" s="300"/>
      <c r="C6" s="3693" t="s">
        <v>2200</v>
      </c>
      <c r="D6" s="3694"/>
      <c r="E6" s="3695" t="s">
        <v>2200</v>
      </c>
      <c r="F6" s="3696"/>
      <c r="G6" s="3693" t="s">
        <v>2200</v>
      </c>
      <c r="H6" s="3694"/>
      <c r="I6" s="3693" t="s">
        <v>2200</v>
      </c>
      <c r="J6" s="3694"/>
      <c r="K6" s="496" t="s">
        <v>2201</v>
      </c>
      <c r="L6" s="2990"/>
      <c r="M6" s="2991"/>
      <c r="N6" s="2991"/>
      <c r="O6" s="2991"/>
      <c r="P6" s="3686"/>
      <c r="Q6" s="3687"/>
      <c r="R6" s="3667"/>
      <c r="S6" s="3668"/>
      <c r="T6" s="3669"/>
      <c r="U6" s="3670"/>
      <c r="V6" s="3688"/>
      <c r="W6" s="3688"/>
      <c r="X6" s="1305"/>
      <c r="Y6" s="3669"/>
      <c r="Z6" s="3670"/>
      <c r="AA6" s="3677"/>
      <c r="AB6" s="3677"/>
      <c r="AC6" s="3677"/>
    </row>
    <row r="7" spans="1:29" s="25" customFormat="1" ht="15.75" thickBot="1">
      <c r="A7" s="301" t="s">
        <v>2202</v>
      </c>
      <c r="B7" s="302"/>
      <c r="C7" s="303">
        <f>'数据-取费表'!B2</f>
        <v>44616</v>
      </c>
      <c r="D7" s="304">
        <v>100</v>
      </c>
      <c r="E7" s="1545"/>
      <c r="F7" s="304">
        <f>SUMIF(46:46,YEAR(E7)&amp;"-"&amp;MONTH(E7),47:47)</f>
        <v>0</v>
      </c>
      <c r="G7" s="305"/>
      <c r="H7" s="304">
        <f>SUMIF(46:46,YEAR(G7)&amp;"-"&amp;MONTH(G7),47:47)</f>
        <v>0</v>
      </c>
      <c r="I7" s="305"/>
      <c r="J7" s="304">
        <f>SUMIF(46:46,YEAR(I7)&amp;"-"&amp;MONTH(I7),47:47)</f>
        <v>0</v>
      </c>
      <c r="K7" s="497"/>
      <c r="L7" s="2992"/>
      <c r="M7" s="2993"/>
      <c r="N7" s="2993"/>
      <c r="O7" s="2993"/>
      <c r="P7" s="3663" t="s">
        <v>2203</v>
      </c>
      <c r="Q7" s="3671"/>
      <c r="R7" s="627" t="s">
        <v>25</v>
      </c>
      <c r="S7" s="628">
        <f t="shared" ref="S7:S14" si="0">F7</f>
        <v>0</v>
      </c>
      <c r="T7" s="627" t="s">
        <v>25</v>
      </c>
      <c r="U7" s="628">
        <f t="shared" ref="U7:U14" si="1">H7</f>
        <v>0</v>
      </c>
      <c r="V7" s="627" t="s">
        <v>25</v>
      </c>
      <c r="W7" s="628">
        <f t="shared" ref="W7:W14" si="2">J7</f>
        <v>0</v>
      </c>
      <c r="X7" s="629"/>
      <c r="Y7" s="3663" t="s">
        <v>2203</v>
      </c>
      <c r="Z7" s="3664"/>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63" t="s">
        <v>2206</v>
      </c>
      <c r="Q8" s="3664"/>
      <c r="R8" s="627" t="s">
        <v>25</v>
      </c>
      <c r="S8" s="628">
        <f t="shared" si="0"/>
        <v>0</v>
      </c>
      <c r="T8" s="627" t="s">
        <v>25</v>
      </c>
      <c r="U8" s="628">
        <f t="shared" si="1"/>
        <v>0</v>
      </c>
      <c r="V8" s="627" t="s">
        <v>25</v>
      </c>
      <c r="W8" s="628">
        <f t="shared" si="2"/>
        <v>0</v>
      </c>
      <c r="X8" s="629"/>
      <c r="Y8" s="3663" t="s">
        <v>2206</v>
      </c>
      <c r="Z8" s="3664"/>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55" t="s">
        <v>2209</v>
      </c>
      <c r="Q9" s="1297" t="str">
        <f t="shared" ref="Q9:Q14" si="6">B9</f>
        <v>用途</v>
      </c>
      <c r="R9" s="627" t="s">
        <v>25</v>
      </c>
      <c r="S9" s="628">
        <f t="shared" si="0"/>
        <v>100</v>
      </c>
      <c r="T9" s="627" t="s">
        <v>25</v>
      </c>
      <c r="U9" s="628">
        <f t="shared" si="1"/>
        <v>100</v>
      </c>
      <c r="V9" s="627" t="s">
        <v>25</v>
      </c>
      <c r="W9" s="628">
        <f t="shared" si="2"/>
        <v>100</v>
      </c>
      <c r="X9" s="629"/>
      <c r="Y9" s="3674"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72" t="s">
        <v>2214</v>
      </c>
      <c r="Q14" s="1304" t="str">
        <f t="shared" si="6"/>
        <v>交通便捷度</v>
      </c>
      <c r="R14" s="631" t="s">
        <v>25</v>
      </c>
      <c r="S14" s="632">
        <f t="shared" si="0"/>
        <v>100</v>
      </c>
      <c r="T14" s="631" t="s">
        <v>25</v>
      </c>
      <c r="U14" s="632">
        <f t="shared" si="1"/>
        <v>100</v>
      </c>
      <c r="V14" s="631" t="s">
        <v>25</v>
      </c>
      <c r="W14" s="632">
        <f t="shared" si="2"/>
        <v>100</v>
      </c>
      <c r="X14" s="1305"/>
      <c r="Y14" s="3672"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73"/>
      <c r="Q15" s="1304"/>
      <c r="R15" s="631"/>
      <c r="S15" s="632"/>
      <c r="T15" s="631"/>
      <c r="U15" s="632"/>
      <c r="V15" s="631"/>
      <c r="W15" s="632"/>
      <c r="X15" s="1305"/>
      <c r="Y15" s="3673"/>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73"/>
      <c r="Q17" s="1304"/>
      <c r="R17" s="631"/>
      <c r="S17" s="632"/>
      <c r="T17" s="631"/>
      <c r="U17" s="632"/>
      <c r="V17" s="631"/>
      <c r="W17" s="632"/>
      <c r="X17" s="1305"/>
      <c r="Y17" s="3673"/>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73"/>
      <c r="Q19" s="1304"/>
      <c r="R19" s="631"/>
      <c r="S19" s="632"/>
      <c r="T19" s="631"/>
      <c r="U19" s="632"/>
      <c r="V19" s="631"/>
      <c r="W19" s="632"/>
      <c r="X19" s="1305"/>
      <c r="Y19" s="3673"/>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73"/>
      <c r="Q21" s="1304"/>
      <c r="R21" s="631"/>
      <c r="S21" s="632"/>
      <c r="T21" s="631"/>
      <c r="U21" s="632"/>
      <c r="V21" s="631"/>
      <c r="W21" s="632"/>
      <c r="X21" s="1305"/>
      <c r="Y21" s="3673"/>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73"/>
      <c r="Q24" s="1304">
        <f t="shared" ref="Q24:Q34"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2"/>
      <c r="M25" s="2993"/>
      <c r="N25" s="2993"/>
      <c r="O25" s="2994"/>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0"/>
      <c r="M26" s="2991"/>
      <c r="N26" s="2991"/>
      <c r="O26" s="2999"/>
      <c r="P26" s="3660"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61" t="s">
        <v>2220</v>
      </c>
      <c r="Q32" s="1304">
        <f t="shared" si="11"/>
        <v>111</v>
      </c>
      <c r="R32" s="631" t="s">
        <v>25</v>
      </c>
      <c r="S32" s="632">
        <f t="shared" si="12"/>
        <v>100</v>
      </c>
      <c r="T32" s="631" t="s">
        <v>25</v>
      </c>
      <c r="U32" s="632">
        <f t="shared" si="13"/>
        <v>100</v>
      </c>
      <c r="V32" s="631" t="s">
        <v>25</v>
      </c>
      <c r="W32" s="632">
        <f t="shared" si="14"/>
        <v>100</v>
      </c>
      <c r="X32" s="1305"/>
      <c r="Y32" s="3661"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0"/>
      <c r="M34" s="2991"/>
      <c r="N34" s="2991"/>
      <c r="O34" s="2999"/>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2"/>
      <c r="N35" s="2991"/>
      <c r="P35" s="3655" t="str">
        <f>A35</f>
        <v>成交单价（元/平方米）</v>
      </c>
      <c r="Q35" s="3655"/>
      <c r="R35" s="3656">
        <f>E35</f>
        <v>0</v>
      </c>
      <c r="S35" s="3656"/>
      <c r="T35" s="3656">
        <f>G35</f>
        <v>0</v>
      </c>
      <c r="U35" s="3656"/>
      <c r="V35" s="3656">
        <f>I35</f>
        <v>0</v>
      </c>
      <c r="W35" s="3656"/>
      <c r="X35" s="618"/>
      <c r="Y35" s="638"/>
      <c r="Z35" s="618"/>
      <c r="AA35" s="618"/>
      <c r="AB35" s="618"/>
      <c r="AC35" s="618"/>
    </row>
    <row r="36" spans="1:29" ht="15.75" thickBot="1">
      <c r="A36" s="374" t="s">
        <v>2315</v>
      </c>
      <c r="B36" s="375"/>
      <c r="C36" s="1130" t="e">
        <f>R37</f>
        <v>#DIV/0!</v>
      </c>
      <c r="D36" s="1762" t="s">
        <v>2685</v>
      </c>
      <c r="E36" s="1131" t="e">
        <f>R36</f>
        <v>#DIV/0!</v>
      </c>
      <c r="F36" s="1764"/>
      <c r="G36" s="1130" t="e">
        <f>T36</f>
        <v>#DIV/0!</v>
      </c>
      <c r="H36" s="1764"/>
      <c r="I36" s="1131" t="e">
        <f>V36</f>
        <v>#DIV/0!</v>
      </c>
      <c r="J36" s="1764"/>
      <c r="K36" s="2476">
        <f>F36+H36+J36</f>
        <v>0</v>
      </c>
      <c r="L36" s="3002"/>
      <c r="N36" s="2991"/>
      <c r="P36" s="3655" t="str">
        <f>A36</f>
        <v>比较价值（元/平方米）</v>
      </c>
      <c r="Q36" s="3655"/>
      <c r="R36" s="3656" t="e">
        <f>IF(E1="售价",ROUND(PRODUCT(R35,AA7:AA34),0),ROUND(PRODUCT(R35,AA7:AA34),1))</f>
        <v>#DIV/0!</v>
      </c>
      <c r="S36" s="3656"/>
      <c r="T36" s="3656" t="e">
        <f>IF(E1="售价",ROUND(PRODUCT(T35,AB7:AB34),0),ROUND(PRODUCT(T35,AB7:AB34),1))</f>
        <v>#DIV/0!</v>
      </c>
      <c r="U36" s="3656"/>
      <c r="V36" s="3656" t="e">
        <f>IF(E1="售价",ROUND(PRODUCT(V35,AC7:AC34),0),ROUND(PRODUCT(V35,AC7:AC34),1))</f>
        <v>#DIV/0!</v>
      </c>
      <c r="W36" s="3656"/>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2"/>
      <c r="P37" s="3657" t="str">
        <f>A37</f>
        <v>估价对象XX用房的比较价值（楼面单价，元/平方米）</v>
      </c>
      <c r="Q37" s="3658"/>
      <c r="R37" s="3659" t="e">
        <f>IF(E1="售价",ROUND(IF(D36="简单平均",AVERAGE(R36:W36),R36*F36+T36*H36+V36*J36),0),ROUND(IF(D36="简单平均",AVERAGE(R36:V36),R36*F36+T36*H36+V36*J36),1))</f>
        <v>#DIV/0!</v>
      </c>
      <c r="S37" s="3659"/>
      <c r="T37" s="3659"/>
      <c r="U37" s="3659"/>
      <c r="V37" s="3659"/>
      <c r="W37" s="3659"/>
      <c r="X37" s="618"/>
      <c r="Y37" s="618"/>
      <c r="Z37" s="618"/>
      <c r="AA37" s="618"/>
      <c r="AB37" s="618"/>
      <c r="AC37" s="618"/>
    </row>
    <row r="38" spans="1:29">
      <c r="G38" s="3005"/>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20" t="s">
        <v>2320</v>
      </c>
      <c r="B45" s="618"/>
      <c r="C45" s="621"/>
      <c r="D45" s="621"/>
      <c r="E45" s="621"/>
      <c r="F45" s="622"/>
      <c r="G45" s="622"/>
      <c r="H45" s="621"/>
      <c r="I45" s="621"/>
      <c r="J45" s="621"/>
      <c r="K45" s="623"/>
      <c r="L45" s="624"/>
      <c r="M45" s="621"/>
      <c r="N45" s="3008"/>
      <c r="O45" s="3008"/>
      <c r="P45" s="389"/>
      <c r="Q45" s="390"/>
    </row>
    <row r="46" spans="1:29" s="394" customFormat="1" ht="15">
      <c r="A46" s="391" t="s">
        <v>2202</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5" customWidth="1"/>
    <col min="12" max="12" width="12.25" style="1876"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5" customFormat="1" ht="28.5" customHeight="1">
      <c r="A1" s="1916" t="s">
        <v>2385</v>
      </c>
      <c r="B1" s="1917"/>
      <c r="C1" s="1918" t="s">
        <v>2386</v>
      </c>
      <c r="D1" s="1917"/>
      <c r="E1" s="1917"/>
      <c r="F1" s="1919" t="s">
        <v>2187</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1857</v>
      </c>
      <c r="B2" s="1927" t="e">
        <f>F66</f>
        <v>#DIV/0!</v>
      </c>
      <c r="C2" s="1627" t="s">
        <v>2387</v>
      </c>
      <c r="D2" s="2977"/>
      <c r="E2" s="2977"/>
      <c r="F2" s="2976"/>
      <c r="G2" s="2977"/>
      <c r="H2" s="2977"/>
      <c r="I2" s="2977"/>
      <c r="J2" s="2977"/>
      <c r="K2" s="2978"/>
      <c r="L2" s="2979"/>
      <c r="M2" s="2977"/>
      <c r="N2" s="2977"/>
      <c r="O2" s="2977"/>
      <c r="P2" s="1922"/>
      <c r="Q2" s="1922"/>
      <c r="R2" s="1922"/>
      <c r="S2" s="1922"/>
      <c r="T2" s="1922"/>
      <c r="U2" s="1922"/>
      <c r="V2" s="1922"/>
      <c r="W2" s="1922"/>
      <c r="X2" s="1922"/>
      <c r="Y2" s="1922"/>
      <c r="Z2" s="1922"/>
      <c r="AA2" s="1922"/>
      <c r="AB2" s="1922"/>
      <c r="AC2" s="1923"/>
      <c r="AD2" s="1924"/>
    </row>
    <row r="3" spans="1:30" s="1925" customFormat="1" ht="28.5" customHeight="1" thickBot="1">
      <c r="A3" s="1629" t="s">
        <v>1858</v>
      </c>
      <c r="B3" s="1928" t="e">
        <f>ROUND(B2/'数据-取费表'!B5,0)</f>
        <v>#DIV/0!</v>
      </c>
      <c r="C3" s="1627" t="s">
        <v>2388</v>
      </c>
      <c r="D3" s="2977"/>
      <c r="E3" s="2977"/>
      <c r="F3" s="2976"/>
      <c r="G3" s="2977"/>
      <c r="H3" s="2977"/>
      <c r="I3" s="2977"/>
      <c r="J3" s="2977"/>
      <c r="K3" s="2978"/>
      <c r="L3" s="2979"/>
      <c r="M3" s="2977"/>
      <c r="N3" s="2977"/>
      <c r="O3" s="2977"/>
      <c r="P3" s="1922"/>
      <c r="Q3" s="1922"/>
      <c r="R3" s="1922"/>
      <c r="S3" s="1922"/>
      <c r="T3" s="1922"/>
      <c r="U3" s="1922"/>
      <c r="V3" s="1922"/>
      <c r="W3" s="1922"/>
      <c r="X3" s="1922"/>
      <c r="Y3" s="1922"/>
      <c r="Z3" s="1922"/>
      <c r="AA3" s="1922"/>
      <c r="AB3" s="1929"/>
      <c r="AC3" s="1930"/>
    </row>
    <row r="4" spans="1:30" ht="15">
      <c r="A4" s="1633" t="s">
        <v>2189</v>
      </c>
      <c r="B4" s="1634"/>
      <c r="C4" s="3606" t="s">
        <v>2190</v>
      </c>
      <c r="D4" s="3607"/>
      <c r="E4" s="3608" t="s">
        <v>2191</v>
      </c>
      <c r="F4" s="3609"/>
      <c r="G4" s="3606" t="s">
        <v>2192</v>
      </c>
      <c r="H4" s="3607"/>
      <c r="I4" s="3606" t="s">
        <v>2193</v>
      </c>
      <c r="J4" s="3607"/>
      <c r="K4" s="1931" t="s">
        <v>2194</v>
      </c>
      <c r="L4" s="2962"/>
      <c r="M4" s="2963"/>
      <c r="N4" s="2963"/>
      <c r="O4" s="2963"/>
      <c r="P4" s="3610" t="s">
        <v>2195</v>
      </c>
      <c r="Q4" s="3611"/>
      <c r="R4" s="3591" t="s">
        <v>2191</v>
      </c>
      <c r="S4" s="3592"/>
      <c r="T4" s="3591" t="s">
        <v>2192</v>
      </c>
      <c r="U4" s="3592"/>
      <c r="V4" s="3616" t="s">
        <v>2193</v>
      </c>
      <c r="W4" s="3616"/>
      <c r="X4" s="1636"/>
      <c r="Y4" s="3591" t="s">
        <v>2195</v>
      </c>
      <c r="Z4" s="3592"/>
      <c r="AA4" s="3603" t="s">
        <v>2191</v>
      </c>
      <c r="AB4" s="3604" t="s">
        <v>2192</v>
      </c>
      <c r="AC4" s="3603" t="s">
        <v>2193</v>
      </c>
    </row>
    <row r="5" spans="1:30" ht="15">
      <c r="A5" s="1638"/>
      <c r="B5" s="1639"/>
      <c r="C5" s="3617" t="s">
        <v>2196</v>
      </c>
      <c r="D5" s="3618"/>
      <c r="E5" s="3654" t="s">
        <v>2197</v>
      </c>
      <c r="F5" s="3624"/>
      <c r="G5" s="3617" t="s">
        <v>2198</v>
      </c>
      <c r="H5" s="3618"/>
      <c r="I5" s="3617" t="s">
        <v>2199</v>
      </c>
      <c r="J5" s="3618"/>
      <c r="K5" s="1931"/>
      <c r="L5" s="2962"/>
      <c r="M5" s="2963"/>
      <c r="N5" s="2963"/>
      <c r="O5" s="2963"/>
      <c r="P5" s="3612"/>
      <c r="Q5" s="3613"/>
      <c r="R5" s="3593"/>
      <c r="S5" s="3594"/>
      <c r="T5" s="3593"/>
      <c r="U5" s="3594"/>
      <c r="V5" s="3616"/>
      <c r="W5" s="3616"/>
      <c r="X5" s="1636"/>
      <c r="Y5" s="3593"/>
      <c r="Z5" s="3594"/>
      <c r="AA5" s="3604"/>
      <c r="AB5" s="3604"/>
      <c r="AC5" s="3604"/>
    </row>
    <row r="6" spans="1:30" ht="15.75" thickBot="1">
      <c r="A6" s="1641"/>
      <c r="B6" s="1642"/>
      <c r="C6" s="3573" t="s">
        <v>2200</v>
      </c>
      <c r="D6" s="3574"/>
      <c r="E6" s="3619" t="s">
        <v>2200</v>
      </c>
      <c r="F6" s="3620"/>
      <c r="G6" s="3573" t="s">
        <v>2200</v>
      </c>
      <c r="H6" s="3574"/>
      <c r="I6" s="3573" t="s">
        <v>2200</v>
      </c>
      <c r="J6" s="3574"/>
      <c r="K6" s="1931" t="s">
        <v>2201</v>
      </c>
      <c r="L6" s="2962"/>
      <c r="M6" s="2963"/>
      <c r="N6" s="2963"/>
      <c r="O6" s="2963"/>
      <c r="P6" s="3614"/>
      <c r="Q6" s="3615"/>
      <c r="R6" s="3593"/>
      <c r="S6" s="3594"/>
      <c r="T6" s="3595"/>
      <c r="U6" s="3596"/>
      <c r="V6" s="3616"/>
      <c r="W6" s="3616"/>
      <c r="X6" s="1636"/>
      <c r="Y6" s="3595"/>
      <c r="Z6" s="3596"/>
      <c r="AA6" s="3605"/>
      <c r="AB6" s="3605"/>
      <c r="AC6" s="3605"/>
    </row>
    <row r="7" spans="1:30" s="1655" customFormat="1" ht="15.75" thickBot="1">
      <c r="A7" s="1643" t="s">
        <v>2202</v>
      </c>
      <c r="B7" s="1644"/>
      <c r="C7" s="1645">
        <f>'数据-取费表'!B2</f>
        <v>44616</v>
      </c>
      <c r="D7" s="1646">
        <v>100</v>
      </c>
      <c r="E7" s="1647"/>
      <c r="F7" s="1648">
        <f>SUMIF(70:70,YEAR(E7)&amp;"-"&amp;INT((MONTH(E7)+2)/3),71:71)</f>
        <v>0</v>
      </c>
      <c r="G7" s="1932"/>
      <c r="H7" s="1646">
        <f>SUMIF(70:70,YEAR(G7)&amp;"-"&amp;INT((MONTH(G7)+2)/3),71:71)</f>
        <v>0</v>
      </c>
      <c r="I7" s="1932"/>
      <c r="J7" s="1646">
        <f>SUMIF(70:70,YEAR(I7)&amp;"-"&amp;INT((MONTH(I7)+2)/3),71:71)</f>
        <v>0</v>
      </c>
      <c r="K7" s="1933"/>
      <c r="L7" s="2962"/>
      <c r="M7" s="2935"/>
      <c r="N7" s="2935"/>
      <c r="O7" s="2935"/>
      <c r="P7" s="3589" t="s">
        <v>2203</v>
      </c>
      <c r="Q7" s="3597"/>
      <c r="R7" s="1651" t="s">
        <v>25</v>
      </c>
      <c r="S7" s="1652">
        <f t="shared" ref="S7:S15" si="0">F7</f>
        <v>0</v>
      </c>
      <c r="T7" s="1651" t="s">
        <v>25</v>
      </c>
      <c r="U7" s="1652">
        <f t="shared" ref="U7:U15" si="1">H7</f>
        <v>0</v>
      </c>
      <c r="V7" s="1651" t="s">
        <v>25</v>
      </c>
      <c r="W7" s="1652">
        <f t="shared" ref="W7:W15" si="2">J7</f>
        <v>0</v>
      </c>
      <c r="X7" s="1653"/>
      <c r="Y7" s="3589" t="s">
        <v>2203</v>
      </c>
      <c r="Z7" s="3590"/>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3"/>
      <c r="L8" s="2962"/>
      <c r="M8" s="2935"/>
      <c r="N8" s="2935"/>
      <c r="O8" s="2935"/>
      <c r="P8" s="3589" t="s">
        <v>2206</v>
      </c>
      <c r="Q8" s="3590"/>
      <c r="R8" s="1651" t="s">
        <v>25</v>
      </c>
      <c r="S8" s="1652">
        <f t="shared" si="0"/>
        <v>0</v>
      </c>
      <c r="T8" s="1651" t="s">
        <v>25</v>
      </c>
      <c r="U8" s="1652">
        <f t="shared" si="1"/>
        <v>0</v>
      </c>
      <c r="V8" s="1651" t="s">
        <v>25</v>
      </c>
      <c r="W8" s="1652">
        <f t="shared" si="2"/>
        <v>0</v>
      </c>
      <c r="X8" s="1653"/>
      <c r="Y8" s="3589" t="s">
        <v>2206</v>
      </c>
      <c r="Z8" s="3590"/>
      <c r="AA8" s="1654" t="e">
        <f t="shared" ref="AA8:AA45" si="3">D8/F8</f>
        <v>#DIV/0!</v>
      </c>
      <c r="AB8" s="1654" t="e">
        <f t="shared" ref="AB8:AB45" si="4">D8/H8</f>
        <v>#DIV/0!</v>
      </c>
      <c r="AC8" s="1654" t="e">
        <f t="shared" ref="AC8:AC45" si="5">D8/J8</f>
        <v>#DIV/0!</v>
      </c>
    </row>
    <row r="9" spans="1:30" s="1655" customFormat="1">
      <c r="A9" s="1606" t="s">
        <v>2207</v>
      </c>
      <c r="B9" s="1657" t="s">
        <v>2208</v>
      </c>
      <c r="C9" s="1934"/>
      <c r="D9" s="1659">
        <v>100</v>
      </c>
      <c r="E9" s="1934"/>
      <c r="F9" s="1659">
        <f>SUMIF(75:75,E9,76:76)-SUMIF(75:75,C9,76:76)+100</f>
        <v>100</v>
      </c>
      <c r="G9" s="1934"/>
      <c r="H9" s="1659">
        <f>SUMIF(75:75,G9,76:76)-SUMIF(75:75,C9,76:76)+100</f>
        <v>100</v>
      </c>
      <c r="I9" s="1934"/>
      <c r="J9" s="1659">
        <f>SUMIF(75:75,I9,76:76)-SUMIF(75:75,C9,76:76)+100</f>
        <v>100</v>
      </c>
      <c r="K9" s="1933"/>
      <c r="L9" s="2962"/>
      <c r="M9" s="2935"/>
      <c r="N9" s="2935"/>
      <c r="O9" s="3009"/>
      <c r="P9" s="3578" t="s">
        <v>2209</v>
      </c>
      <c r="Q9" s="1605" t="str">
        <f t="shared" ref="Q9:Q15" si="6">B9</f>
        <v>用途</v>
      </c>
      <c r="R9" s="1651" t="s">
        <v>25</v>
      </c>
      <c r="S9" s="1652">
        <f t="shared" si="0"/>
        <v>100</v>
      </c>
      <c r="T9" s="1651" t="s">
        <v>25</v>
      </c>
      <c r="U9" s="1652">
        <f t="shared" si="1"/>
        <v>100</v>
      </c>
      <c r="V9" s="1651" t="s">
        <v>25</v>
      </c>
      <c r="W9" s="1652">
        <f t="shared" si="2"/>
        <v>100</v>
      </c>
      <c r="X9" s="1653"/>
      <c r="Y9" s="3469" t="s">
        <v>2210</v>
      </c>
      <c r="Z9" s="1663" t="str">
        <f t="shared" ref="Z9:Z15" si="7">Q9</f>
        <v>用途</v>
      </c>
      <c r="AA9" s="1654">
        <f t="shared" si="3"/>
        <v>1</v>
      </c>
      <c r="AB9" s="1654">
        <f t="shared" si="4"/>
        <v>1</v>
      </c>
      <c r="AC9" s="1654">
        <f t="shared" si="5"/>
        <v>1</v>
      </c>
    </row>
    <row r="10" spans="1:30" s="1671" customFormat="1" ht="27">
      <c r="A10" s="1664"/>
      <c r="B10" s="1665" t="s">
        <v>2211</v>
      </c>
      <c r="C10" s="1677"/>
      <c r="D10" s="1667">
        <v>100</v>
      </c>
      <c r="E10" s="1728"/>
      <c r="F10" s="1667">
        <f>ROUND(100/'数据-取费表'!B14,0)</f>
        <v>113</v>
      </c>
      <c r="G10" s="1726"/>
      <c r="H10" s="1667">
        <f>ROUND(100/'数据-取费表'!B14,0)</f>
        <v>113</v>
      </c>
      <c r="I10" s="1726"/>
      <c r="J10" s="1667">
        <f>ROUND(100/'数据-取费表'!B14,0)</f>
        <v>113</v>
      </c>
      <c r="K10" s="1935"/>
      <c r="L10" s="2964"/>
      <c r="M10" s="2965"/>
      <c r="N10" s="2965"/>
      <c r="O10" s="3010"/>
      <c r="P10" s="3578"/>
      <c r="Q10" s="1605" t="str">
        <f t="shared" si="6"/>
        <v>土地使用年限（年）</v>
      </c>
      <c r="R10" s="1651" t="s">
        <v>25</v>
      </c>
      <c r="S10" s="1652">
        <f t="shared" si="0"/>
        <v>113</v>
      </c>
      <c r="T10" s="1651" t="s">
        <v>25</v>
      </c>
      <c r="U10" s="1652">
        <f t="shared" si="1"/>
        <v>113</v>
      </c>
      <c r="V10" s="1651" t="s">
        <v>25</v>
      </c>
      <c r="W10" s="1652">
        <f t="shared" si="2"/>
        <v>113</v>
      </c>
      <c r="X10" s="1653"/>
      <c r="Y10" s="3469"/>
      <c r="Z10" s="1663" t="str">
        <f t="shared" si="7"/>
        <v>土地使用年限（年）</v>
      </c>
      <c r="AA10" s="1654">
        <f t="shared" si="3"/>
        <v>0.88495575221238942</v>
      </c>
      <c r="AB10" s="1654">
        <f t="shared" si="4"/>
        <v>0.88495575221238942</v>
      </c>
      <c r="AC10" s="1654">
        <f t="shared" si="5"/>
        <v>0.88495575221238942</v>
      </c>
    </row>
    <row r="11" spans="1:30" ht="15">
      <c r="A11" s="1672"/>
      <c r="B11" s="1665" t="s">
        <v>2212</v>
      </c>
      <c r="C11" s="1673"/>
      <c r="D11" s="1667">
        <v>100</v>
      </c>
      <c r="E11" s="1673"/>
      <c r="F11" s="1667" t="e">
        <f>LOOKUP(E11,80:80,81:81)-LOOKUP(C11,80:80,81:81)+100</f>
        <v>#N/A</v>
      </c>
      <c r="G11" s="1674"/>
      <c r="H11" s="1667" t="e">
        <f>LOOKUP(G11,80:80,81:81)-LOOKUP(C11,80:80,81:81)+100</f>
        <v>#N/A</v>
      </c>
      <c r="I11" s="1673"/>
      <c r="J11" s="1667" t="e">
        <f>LOOKUP(I11,80:80,81:81)-LOOKUP(C11,80:80,81:81)+100</f>
        <v>#N/A</v>
      </c>
      <c r="K11" s="1936"/>
      <c r="L11" s="2966"/>
      <c r="M11" s="2963"/>
      <c r="N11" s="2963"/>
      <c r="O11" s="3011"/>
      <c r="P11" s="3578"/>
      <c r="Q11" s="1605" t="str">
        <f t="shared" si="6"/>
        <v>容积率</v>
      </c>
      <c r="R11" s="1651" t="s">
        <v>25</v>
      </c>
      <c r="S11" s="1652" t="e">
        <f t="shared" si="0"/>
        <v>#N/A</v>
      </c>
      <c r="T11" s="1651" t="s">
        <v>25</v>
      </c>
      <c r="U11" s="1652" t="e">
        <f t="shared" si="1"/>
        <v>#N/A</v>
      </c>
      <c r="V11" s="1651" t="s">
        <v>25</v>
      </c>
      <c r="W11" s="1652" t="e">
        <f t="shared" si="2"/>
        <v>#N/A</v>
      </c>
      <c r="X11" s="1653"/>
      <c r="Y11" s="3469"/>
      <c r="Z11" s="1663" t="str">
        <f t="shared" si="7"/>
        <v>容积率</v>
      </c>
      <c r="AA11" s="1654" t="e">
        <f t="shared" si="3"/>
        <v>#N/A</v>
      </c>
      <c r="AB11" s="1654" t="e">
        <f t="shared" si="4"/>
        <v>#N/A</v>
      </c>
      <c r="AC11" s="1654" t="e">
        <f t="shared" si="5"/>
        <v>#N/A</v>
      </c>
    </row>
    <row r="12" spans="1:30" s="1655" customFormat="1" ht="15">
      <c r="A12" s="1675"/>
      <c r="B12" s="1676" t="s">
        <v>2390</v>
      </c>
      <c r="C12" s="1677"/>
      <c r="D12" s="1678">
        <v>100</v>
      </c>
      <c r="E12" s="1728"/>
      <c r="F12" s="1667">
        <f>SUMIF(82:82,E12,83:83)-SUMIF(82:82,C12,83:83)+100</f>
        <v>100</v>
      </c>
      <c r="G12" s="1726"/>
      <c r="H12" s="1667">
        <f>SUMIF(82:82,G12,83:83)-SUMIF(82:82,C12,83:83)+100</f>
        <v>100</v>
      </c>
      <c r="I12" s="1728"/>
      <c r="J12" s="1667">
        <f>SUMIF(82:82,I12,83:83)-SUMIF(82:82,C12,83:83)+100</f>
        <v>100</v>
      </c>
      <c r="K12" s="1935"/>
      <c r="L12" s="2962"/>
      <c r="M12" s="2935"/>
      <c r="N12" s="2935"/>
      <c r="O12" s="3009"/>
      <c r="P12" s="3578"/>
      <c r="Q12" s="1605" t="str">
        <f t="shared" si="6"/>
        <v>配建</v>
      </c>
      <c r="R12" s="1651" t="s">
        <v>25</v>
      </c>
      <c r="S12" s="1652">
        <f t="shared" si="0"/>
        <v>100</v>
      </c>
      <c r="T12" s="1651" t="s">
        <v>25</v>
      </c>
      <c r="U12" s="1652">
        <f t="shared" si="1"/>
        <v>100</v>
      </c>
      <c r="V12" s="1651" t="s">
        <v>25</v>
      </c>
      <c r="W12" s="1652">
        <f t="shared" si="2"/>
        <v>100</v>
      </c>
      <c r="X12" s="1653"/>
      <c r="Y12" s="3469"/>
      <c r="Z12" s="1663" t="str">
        <f t="shared" si="7"/>
        <v>配建</v>
      </c>
      <c r="AA12" s="1654">
        <f>D12/F12</f>
        <v>1</v>
      </c>
      <c r="AB12" s="1654">
        <f>D12/H12</f>
        <v>1</v>
      </c>
      <c r="AC12" s="1654">
        <f>D12/J12</f>
        <v>1</v>
      </c>
    </row>
    <row r="13" spans="1:30" ht="15">
      <c r="A13" s="1672"/>
      <c r="B13" s="1676">
        <v>111</v>
      </c>
      <c r="C13" s="1680"/>
      <c r="D13" s="1681">
        <v>100</v>
      </c>
      <c r="E13" s="1833"/>
      <c r="F13" s="1667">
        <f>SUMIF(84:84,E13,85:85)-SUMIF(84:84,C13,85:85)+100</f>
        <v>100</v>
      </c>
      <c r="G13" s="1937"/>
      <c r="H13" s="1681">
        <f>SUMIF(84:84,G13,85:85)-SUMIF(84:84,C13,85:85)+100</f>
        <v>100</v>
      </c>
      <c r="I13" s="1937"/>
      <c r="J13" s="1681">
        <f>SUMIF(84:84,I13,85:85)-SUMIF(84:84,C13,85:85)+100</f>
        <v>100</v>
      </c>
      <c r="K13" s="1935"/>
      <c r="L13" s="2967"/>
      <c r="M13" s="2963"/>
      <c r="N13" s="2963"/>
      <c r="O13" s="3011"/>
      <c r="P13" s="3578"/>
      <c r="Q13" s="1605">
        <f t="shared" si="6"/>
        <v>111</v>
      </c>
      <c r="R13" s="1651" t="s">
        <v>25</v>
      </c>
      <c r="S13" s="1652">
        <f t="shared" si="0"/>
        <v>100</v>
      </c>
      <c r="T13" s="1651" t="s">
        <v>25</v>
      </c>
      <c r="U13" s="1652">
        <f t="shared" si="1"/>
        <v>100</v>
      </c>
      <c r="V13" s="1651" t="s">
        <v>25</v>
      </c>
      <c r="W13" s="1652">
        <f t="shared" si="2"/>
        <v>100</v>
      </c>
      <c r="X13" s="1653"/>
      <c r="Y13" s="3469"/>
      <c r="Z13" s="1663">
        <f t="shared" si="7"/>
        <v>111</v>
      </c>
      <c r="AA13" s="1654">
        <f>D13/F13</f>
        <v>1</v>
      </c>
      <c r="AB13" s="1654">
        <f>D13/H13</f>
        <v>1</v>
      </c>
      <c r="AC13" s="1654">
        <f>D13/J13</f>
        <v>1</v>
      </c>
    </row>
    <row r="14" spans="1:30" ht="15.75" thickBot="1">
      <c r="A14" s="1682"/>
      <c r="B14" s="1683">
        <v>111</v>
      </c>
      <c r="C14" s="1684"/>
      <c r="D14" s="1685">
        <v>100</v>
      </c>
      <c r="E14" s="1833"/>
      <c r="F14" s="1685">
        <f>SUMIF(86:86,E14,87:87)-SUMIF(86:86,C14,87:87)+100</f>
        <v>100</v>
      </c>
      <c r="G14" s="1937"/>
      <c r="H14" s="1685">
        <f>SUMIF(86:86,G14,87:87)-SUMIF(86:86,C14,87:87)+100</f>
        <v>100</v>
      </c>
      <c r="I14" s="1937"/>
      <c r="J14" s="1685">
        <f>SUMIF(86:86,I14,87:87)-SUMIF(86:86,C14,87:87)+100</f>
        <v>100</v>
      </c>
      <c r="K14" s="1935"/>
      <c r="L14" s="2967"/>
      <c r="M14" s="2963"/>
      <c r="N14" s="2963"/>
      <c r="O14" s="3011"/>
      <c r="P14" s="3578"/>
      <c r="Q14" s="1605">
        <f t="shared" si="6"/>
        <v>111</v>
      </c>
      <c r="R14" s="1651" t="s">
        <v>25</v>
      </c>
      <c r="S14" s="1652">
        <f t="shared" si="0"/>
        <v>100</v>
      </c>
      <c r="T14" s="1651" t="s">
        <v>25</v>
      </c>
      <c r="U14" s="1652">
        <f t="shared" si="1"/>
        <v>100</v>
      </c>
      <c r="V14" s="1651" t="s">
        <v>25</v>
      </c>
      <c r="W14" s="1652">
        <f t="shared" si="2"/>
        <v>100</v>
      </c>
      <c r="X14" s="1653"/>
      <c r="Y14" s="3469"/>
      <c r="Z14" s="1663">
        <f t="shared" si="7"/>
        <v>111</v>
      </c>
      <c r="AA14" s="1654">
        <f>D14/F14</f>
        <v>1</v>
      </c>
      <c r="AB14" s="1654">
        <f>D14/H14</f>
        <v>1</v>
      </c>
      <c r="AC14" s="1654">
        <f>D14/J14</f>
        <v>1</v>
      </c>
    </row>
    <row r="15" spans="1:30" ht="99.75">
      <c r="A15" s="1633" t="s">
        <v>2213</v>
      </c>
      <c r="B15" s="1938" t="s">
        <v>1647</v>
      </c>
      <c r="C15" s="1939"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36"/>
      <c r="L15" s="2967"/>
      <c r="M15" s="2963"/>
      <c r="N15" s="2963"/>
      <c r="O15" s="3011"/>
      <c r="P15" s="3582" t="s">
        <v>2214</v>
      </c>
      <c r="Q15" s="1586" t="str">
        <f t="shared" si="6"/>
        <v>居住社区成熟度</v>
      </c>
      <c r="R15" s="1695" t="s">
        <v>25</v>
      </c>
      <c r="S15" s="1696">
        <f t="shared" si="0"/>
        <v>100</v>
      </c>
      <c r="T15" s="1695" t="s">
        <v>25</v>
      </c>
      <c r="U15" s="1696">
        <f t="shared" si="1"/>
        <v>100</v>
      </c>
      <c r="V15" s="1695" t="s">
        <v>25</v>
      </c>
      <c r="W15" s="1696">
        <f t="shared" si="2"/>
        <v>100</v>
      </c>
      <c r="X15" s="1636"/>
      <c r="Y15" s="3582" t="s">
        <v>2214</v>
      </c>
      <c r="Z15" s="1697" t="str">
        <f t="shared" si="7"/>
        <v>居住社区成熟度</v>
      </c>
      <c r="AA15" s="1698">
        <f t="shared" si="3"/>
        <v>1</v>
      </c>
      <c r="AB15" s="1698">
        <f t="shared" si="4"/>
        <v>1</v>
      </c>
      <c r="AC15" s="1698">
        <f t="shared" si="5"/>
        <v>1</v>
      </c>
    </row>
    <row r="16" spans="1:30" ht="15">
      <c r="A16" s="1638"/>
      <c r="B16" s="1940"/>
      <c r="C16" s="1941"/>
      <c r="D16" s="1701"/>
      <c r="E16" s="1702"/>
      <c r="F16" s="1701"/>
      <c r="G16" s="1702"/>
      <c r="H16" s="1705"/>
      <c r="I16" s="1704"/>
      <c r="J16" s="1701"/>
      <c r="K16" s="1935"/>
      <c r="L16" s="2967"/>
      <c r="M16" s="2963"/>
      <c r="N16" s="2963"/>
      <c r="O16" s="3011"/>
      <c r="P16" s="3583"/>
      <c r="Q16" s="1586"/>
      <c r="R16" s="1695"/>
      <c r="S16" s="1696"/>
      <c r="T16" s="1695"/>
      <c r="U16" s="1696"/>
      <c r="V16" s="1695"/>
      <c r="W16" s="1696"/>
      <c r="X16" s="1636"/>
      <c r="Y16" s="3583"/>
      <c r="Z16" s="1697"/>
      <c r="AA16" s="1698">
        <v>1</v>
      </c>
      <c r="AB16" s="1698">
        <v>1</v>
      </c>
      <c r="AC16" s="1698">
        <v>1</v>
      </c>
    </row>
    <row r="17" spans="1:29" ht="71.25">
      <c r="A17" s="1638"/>
      <c r="B17" s="1942" t="s">
        <v>2299</v>
      </c>
      <c r="C17" s="1943"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6"/>
      <c r="L17" s="2967"/>
      <c r="M17" s="2963"/>
      <c r="N17" s="2963"/>
      <c r="O17" s="3011"/>
      <c r="P17" s="3583"/>
      <c r="Q17" s="1586" t="str">
        <f>B17</f>
        <v>商业繁华度</v>
      </c>
      <c r="R17" s="1695" t="s">
        <v>25</v>
      </c>
      <c r="S17" s="1696">
        <f>F17</f>
        <v>100</v>
      </c>
      <c r="T17" s="1695" t="s">
        <v>25</v>
      </c>
      <c r="U17" s="1696">
        <f>H17</f>
        <v>100</v>
      </c>
      <c r="V17" s="1695" t="s">
        <v>25</v>
      </c>
      <c r="W17" s="1696">
        <f>J17</f>
        <v>100</v>
      </c>
      <c r="X17" s="1636"/>
      <c r="Y17" s="3583"/>
      <c r="Z17" s="1697" t="str">
        <f>Q17</f>
        <v>商业繁华度</v>
      </c>
      <c r="AA17" s="1698">
        <f t="shared" si="3"/>
        <v>1</v>
      </c>
      <c r="AB17" s="1698">
        <f t="shared" si="4"/>
        <v>1</v>
      </c>
      <c r="AC17" s="1698">
        <f t="shared" si="5"/>
        <v>1</v>
      </c>
    </row>
    <row r="18" spans="1:29" ht="15">
      <c r="A18" s="1638"/>
      <c r="B18" s="1944"/>
      <c r="C18" s="1945"/>
      <c r="D18" s="1705"/>
      <c r="E18" s="1715"/>
      <c r="F18" s="1705"/>
      <c r="G18" s="1715"/>
      <c r="H18" s="1701"/>
      <c r="I18" s="1716"/>
      <c r="J18" s="1701"/>
      <c r="K18" s="1935"/>
      <c r="L18" s="2967"/>
      <c r="M18" s="2963"/>
      <c r="N18" s="2963"/>
      <c r="O18" s="3011"/>
      <c r="P18" s="3583"/>
      <c r="Q18" s="1586"/>
      <c r="R18" s="1695"/>
      <c r="S18" s="1696"/>
      <c r="T18" s="1695"/>
      <c r="U18" s="1696"/>
      <c r="V18" s="1695"/>
      <c r="W18" s="1696"/>
      <c r="X18" s="1636"/>
      <c r="Y18" s="3583"/>
      <c r="Z18" s="1697"/>
      <c r="AA18" s="1698">
        <v>1</v>
      </c>
      <c r="AB18" s="1698">
        <v>1</v>
      </c>
      <c r="AC18" s="1698">
        <v>1</v>
      </c>
    </row>
    <row r="19" spans="1:29" ht="71.25">
      <c r="A19" s="1638"/>
      <c r="B19" s="1942" t="s">
        <v>2328</v>
      </c>
      <c r="C19" s="1943"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6"/>
      <c r="L19" s="2967"/>
      <c r="M19" s="2963"/>
      <c r="N19" s="2963"/>
      <c r="O19" s="3011"/>
      <c r="P19" s="3583"/>
      <c r="Q19" s="1586" t="str">
        <f>B19</f>
        <v>办公集聚程度</v>
      </c>
      <c r="R19" s="1695" t="s">
        <v>25</v>
      </c>
      <c r="S19" s="1696">
        <f>F19</f>
        <v>100</v>
      </c>
      <c r="T19" s="1695" t="s">
        <v>25</v>
      </c>
      <c r="U19" s="1696">
        <f>H19</f>
        <v>100</v>
      </c>
      <c r="V19" s="1695" t="s">
        <v>25</v>
      </c>
      <c r="W19" s="1696">
        <f>J19</f>
        <v>100</v>
      </c>
      <c r="X19" s="1636"/>
      <c r="Y19" s="3583"/>
      <c r="Z19" s="1697" t="str">
        <f>Q19</f>
        <v>办公集聚程度</v>
      </c>
      <c r="AA19" s="1698">
        <f t="shared" si="3"/>
        <v>1</v>
      </c>
      <c r="AB19" s="1698">
        <f t="shared" si="4"/>
        <v>1</v>
      </c>
      <c r="AC19" s="1698">
        <f t="shared" si="5"/>
        <v>1</v>
      </c>
    </row>
    <row r="20" spans="1:29" ht="15">
      <c r="A20" s="1638"/>
      <c r="B20" s="1944"/>
      <c r="C20" s="1941"/>
      <c r="D20" s="1701"/>
      <c r="E20" s="1702"/>
      <c r="F20" s="1701"/>
      <c r="G20" s="1702"/>
      <c r="H20" s="1701"/>
      <c r="I20" s="1704"/>
      <c r="J20" s="1701"/>
      <c r="K20" s="1935"/>
      <c r="L20" s="2967"/>
      <c r="M20" s="2963"/>
      <c r="N20" s="2963"/>
      <c r="O20" s="3011"/>
      <c r="P20" s="3583"/>
      <c r="Q20" s="1586"/>
      <c r="R20" s="1695"/>
      <c r="S20" s="1696"/>
      <c r="T20" s="1695"/>
      <c r="U20" s="1696"/>
      <c r="V20" s="1695"/>
      <c r="W20" s="1696"/>
      <c r="X20" s="1636"/>
      <c r="Y20" s="3583"/>
      <c r="Z20" s="1697"/>
      <c r="AA20" s="1698">
        <v>1</v>
      </c>
      <c r="AB20" s="1698">
        <v>1</v>
      </c>
      <c r="AC20" s="1698">
        <v>1</v>
      </c>
    </row>
    <row r="21" spans="1:29" ht="85.5">
      <c r="A21" s="1638"/>
      <c r="B21" s="1942" t="s">
        <v>2351</v>
      </c>
      <c r="C21" s="1946"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36"/>
      <c r="L21" s="2967"/>
      <c r="M21" s="2963"/>
      <c r="N21" s="2963"/>
      <c r="O21" s="3011"/>
      <c r="P21" s="3583"/>
      <c r="Q21" s="1586" t="str">
        <f>B21</f>
        <v>交通便捷度</v>
      </c>
      <c r="R21" s="1695" t="s">
        <v>25</v>
      </c>
      <c r="S21" s="1696">
        <f>F21</f>
        <v>100</v>
      </c>
      <c r="T21" s="1695" t="s">
        <v>25</v>
      </c>
      <c r="U21" s="1696">
        <f>H21</f>
        <v>100</v>
      </c>
      <c r="V21" s="1695" t="s">
        <v>25</v>
      </c>
      <c r="W21" s="1696">
        <f>J21</f>
        <v>100</v>
      </c>
      <c r="X21" s="1636"/>
      <c r="Y21" s="3583"/>
      <c r="Z21" s="1697" t="str">
        <f>Q21</f>
        <v>交通便捷度</v>
      </c>
      <c r="AA21" s="1698">
        <f t="shared" si="3"/>
        <v>1</v>
      </c>
      <c r="AB21" s="1698">
        <f t="shared" si="4"/>
        <v>1</v>
      </c>
      <c r="AC21" s="1698">
        <f t="shared" si="5"/>
        <v>1</v>
      </c>
    </row>
    <row r="22" spans="1:29" ht="15">
      <c r="A22" s="1638"/>
      <c r="B22" s="1947"/>
      <c r="C22" s="1941"/>
      <c r="D22" s="1705"/>
      <c r="E22" s="1702"/>
      <c r="F22" s="1701"/>
      <c r="G22" s="1702"/>
      <c r="H22" s="1701"/>
      <c r="I22" s="1704"/>
      <c r="J22" s="1701"/>
      <c r="K22" s="1935"/>
      <c r="L22" s="2967"/>
      <c r="M22" s="2963"/>
      <c r="N22" s="2963"/>
      <c r="O22" s="3011"/>
      <c r="P22" s="3583"/>
      <c r="Q22" s="1586"/>
      <c r="R22" s="1695"/>
      <c r="S22" s="1696"/>
      <c r="T22" s="1695"/>
      <c r="U22" s="1696"/>
      <c r="V22" s="1695"/>
      <c r="W22" s="1696"/>
      <c r="X22" s="1636"/>
      <c r="Y22" s="3583"/>
      <c r="Z22" s="1697"/>
      <c r="AA22" s="1698">
        <v>1</v>
      </c>
      <c r="AB22" s="1698">
        <v>1</v>
      </c>
      <c r="AC22" s="1698">
        <v>1</v>
      </c>
    </row>
    <row r="23" spans="1:29" ht="15">
      <c r="A23" s="1638"/>
      <c r="B23" s="1428" t="s">
        <v>2391</v>
      </c>
      <c r="C23" s="1948">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6"/>
      <c r="L23" s="2967"/>
      <c r="M23" s="2963"/>
      <c r="N23" s="2963"/>
      <c r="O23" s="3011"/>
      <c r="P23" s="3583"/>
      <c r="Q23" s="1586" t="str">
        <f t="shared" ref="Q23:Q37" si="8">B23</f>
        <v>区域土地利用方向</v>
      </c>
      <c r="R23" s="1695" t="s">
        <v>25</v>
      </c>
      <c r="S23" s="1696">
        <f>F23</f>
        <v>100</v>
      </c>
      <c r="T23" s="1695" t="s">
        <v>25</v>
      </c>
      <c r="U23" s="1696">
        <f>H23</f>
        <v>100</v>
      </c>
      <c r="V23" s="1695" t="s">
        <v>25</v>
      </c>
      <c r="W23" s="1696">
        <f>J23</f>
        <v>100</v>
      </c>
      <c r="X23" s="1636"/>
      <c r="Y23" s="3583"/>
      <c r="Z23" s="1697" t="str">
        <f>Q23</f>
        <v>区域土地利用方向</v>
      </c>
      <c r="AA23" s="1698">
        <f t="shared" si="3"/>
        <v>1</v>
      </c>
      <c r="AB23" s="1698">
        <f t="shared" si="4"/>
        <v>1</v>
      </c>
      <c r="AC23" s="1698">
        <f t="shared" si="5"/>
        <v>1</v>
      </c>
    </row>
    <row r="24" spans="1:29" ht="15">
      <c r="A24" s="1638"/>
      <c r="B24" s="1429"/>
      <c r="C24" s="1949"/>
      <c r="D24" s="1701"/>
      <c r="E24" s="1702"/>
      <c r="F24" s="1701"/>
      <c r="G24" s="1704"/>
      <c r="H24" s="1701"/>
      <c r="I24" s="1704"/>
      <c r="J24" s="1701"/>
      <c r="K24" s="1950"/>
      <c r="L24" s="2967"/>
      <c r="M24" s="2963"/>
      <c r="N24" s="2963"/>
      <c r="O24" s="3011"/>
      <c r="P24" s="3583"/>
      <c r="Q24" s="1586"/>
      <c r="R24" s="1695"/>
      <c r="S24" s="1696"/>
      <c r="T24" s="1695"/>
      <c r="U24" s="1696"/>
      <c r="V24" s="1695"/>
      <c r="W24" s="1696"/>
      <c r="X24" s="1636"/>
      <c r="Y24" s="3583"/>
      <c r="Z24" s="1697"/>
      <c r="AA24" s="1698"/>
      <c r="AB24" s="1698"/>
      <c r="AC24" s="1698"/>
    </row>
    <row r="25" spans="1:29" ht="57">
      <c r="A25" s="1638"/>
      <c r="B25" s="1947" t="s">
        <v>2392</v>
      </c>
      <c r="C25" s="1943"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36"/>
      <c r="L25" s="2967"/>
      <c r="M25" s="2963"/>
      <c r="N25" s="2963"/>
      <c r="O25" s="3011"/>
      <c r="P25" s="3583"/>
      <c r="Q25" s="1586" t="str">
        <f t="shared" si="8"/>
        <v>自然及人文环境状况</v>
      </c>
      <c r="R25" s="1695" t="s">
        <v>25</v>
      </c>
      <c r="S25" s="1696">
        <f>F25</f>
        <v>100</v>
      </c>
      <c r="T25" s="1695" t="s">
        <v>25</v>
      </c>
      <c r="U25" s="1696">
        <f>H25</f>
        <v>100</v>
      </c>
      <c r="V25" s="1695" t="s">
        <v>25</v>
      </c>
      <c r="W25" s="1696">
        <f>J25</f>
        <v>100</v>
      </c>
      <c r="X25" s="1636"/>
      <c r="Y25" s="3583"/>
      <c r="Z25" s="1697" t="str">
        <f>Q25</f>
        <v>自然及人文环境状况</v>
      </c>
      <c r="AA25" s="1698">
        <f t="shared" si="3"/>
        <v>1</v>
      </c>
      <c r="AB25" s="1698">
        <f t="shared" si="4"/>
        <v>1</v>
      </c>
      <c r="AC25" s="1698">
        <f t="shared" si="5"/>
        <v>1</v>
      </c>
    </row>
    <row r="26" spans="1:29" ht="15">
      <c r="A26" s="1638"/>
      <c r="B26" s="1944"/>
      <c r="C26" s="1941"/>
      <c r="D26" s="1701"/>
      <c r="E26" s="1941"/>
      <c r="F26" s="1701"/>
      <c r="G26" s="1941"/>
      <c r="H26" s="1701"/>
      <c r="I26" s="1700"/>
      <c r="J26" s="1701"/>
      <c r="K26" s="1935"/>
      <c r="L26" s="2967"/>
      <c r="M26" s="2963"/>
      <c r="N26" s="2963"/>
      <c r="O26" s="3011"/>
      <c r="P26" s="3583"/>
      <c r="Q26" s="1586"/>
      <c r="R26" s="1695"/>
      <c r="S26" s="1696"/>
      <c r="T26" s="1695"/>
      <c r="U26" s="1696"/>
      <c r="V26" s="1695"/>
      <c r="W26" s="1696"/>
      <c r="X26" s="1636"/>
      <c r="Y26" s="3583"/>
      <c r="Z26" s="1697"/>
      <c r="AA26" s="1698">
        <v>1</v>
      </c>
      <c r="AB26" s="1698">
        <v>1</v>
      </c>
      <c r="AC26" s="1698">
        <v>1</v>
      </c>
    </row>
    <row r="27" spans="1:29" ht="42.75">
      <c r="A27" s="1638"/>
      <c r="B27" s="1947" t="s">
        <v>2300</v>
      </c>
      <c r="C27" s="1946"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1"/>
      <c r="L27" s="2967"/>
      <c r="M27" s="2963"/>
      <c r="N27" s="2963"/>
      <c r="O27" s="3011"/>
      <c r="P27" s="3583"/>
      <c r="Q27" s="1605" t="str">
        <f t="shared" ref="Q27" si="9">B27</f>
        <v>公共配套设施</v>
      </c>
      <c r="R27" s="1651" t="s">
        <v>25</v>
      </c>
      <c r="S27" s="1652">
        <f>F27</f>
        <v>100</v>
      </c>
      <c r="T27" s="1651" t="s">
        <v>25</v>
      </c>
      <c r="U27" s="1652">
        <f>H27</f>
        <v>100</v>
      </c>
      <c r="V27" s="1651" t="s">
        <v>25</v>
      </c>
      <c r="W27" s="1652">
        <f>J27</f>
        <v>100</v>
      </c>
      <c r="X27" s="1636"/>
      <c r="Y27" s="3583"/>
      <c r="Z27" s="1663" t="str">
        <f>Q27</f>
        <v>公共配套设施</v>
      </c>
      <c r="AA27" s="1698">
        <f>D27/F27</f>
        <v>1</v>
      </c>
      <c r="AB27" s="1698">
        <f>D27/H27</f>
        <v>1</v>
      </c>
      <c r="AC27" s="1698">
        <f>D27/J27</f>
        <v>1</v>
      </c>
    </row>
    <row r="28" spans="1:29" ht="15">
      <c r="A28" s="1638"/>
      <c r="B28" s="1944"/>
      <c r="C28" s="1952"/>
      <c r="D28" s="1701"/>
      <c r="E28" s="1952"/>
      <c r="F28" s="1701"/>
      <c r="G28" s="1952"/>
      <c r="H28" s="1701"/>
      <c r="I28" s="1952"/>
      <c r="J28" s="1701"/>
      <c r="K28" s="1935"/>
      <c r="L28" s="2967"/>
      <c r="M28" s="2963"/>
      <c r="N28" s="2963"/>
      <c r="O28" s="3011"/>
      <c r="P28" s="3583"/>
      <c r="Q28" s="1586"/>
      <c r="R28" s="1695"/>
      <c r="S28" s="1696"/>
      <c r="T28" s="1695"/>
      <c r="U28" s="1696"/>
      <c r="V28" s="1695"/>
      <c r="W28" s="1696"/>
      <c r="X28" s="1636"/>
      <c r="Y28" s="3583"/>
      <c r="Z28" s="1663"/>
      <c r="AA28" s="1698">
        <v>1</v>
      </c>
      <c r="AB28" s="1698">
        <v>1</v>
      </c>
      <c r="AC28" s="1698">
        <v>1</v>
      </c>
    </row>
    <row r="29" spans="1:29" s="1655" customFormat="1" ht="28.5">
      <c r="A29" s="1953"/>
      <c r="B29" s="1947" t="s">
        <v>2301</v>
      </c>
      <c r="C29" s="1954"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1"/>
      <c r="L29" s="2962"/>
      <c r="M29" s="2935"/>
      <c r="N29" s="2935"/>
      <c r="O29" s="3009"/>
      <c r="P29" s="3583"/>
      <c r="Q29" s="1605" t="str">
        <f t="shared" si="8"/>
        <v>基础设施水平</v>
      </c>
      <c r="R29" s="1651" t="s">
        <v>25</v>
      </c>
      <c r="S29" s="1652">
        <f>F29</f>
        <v>100</v>
      </c>
      <c r="T29" s="1651" t="s">
        <v>25</v>
      </c>
      <c r="U29" s="1652">
        <f>H29</f>
        <v>100</v>
      </c>
      <c r="V29" s="1651" t="s">
        <v>25</v>
      </c>
      <c r="W29" s="1652">
        <f>J29</f>
        <v>100</v>
      </c>
      <c r="X29" s="1653"/>
      <c r="Y29" s="3583"/>
      <c r="Z29" s="1663" t="str">
        <f>Q29</f>
        <v>基础设施水平</v>
      </c>
      <c r="AA29" s="1698">
        <f>D29/F29</f>
        <v>1</v>
      </c>
      <c r="AB29" s="1698">
        <f>D29/H29</f>
        <v>1</v>
      </c>
      <c r="AC29" s="1698">
        <f>D29/J29</f>
        <v>1</v>
      </c>
    </row>
    <row r="30" spans="1:29" s="1655" customFormat="1" ht="15">
      <c r="A30" s="1953"/>
      <c r="B30" s="1944"/>
      <c r="C30" s="1952"/>
      <c r="D30" s="1701"/>
      <c r="E30" s="1952"/>
      <c r="F30" s="1701"/>
      <c r="G30" s="1952"/>
      <c r="H30" s="1701"/>
      <c r="I30" s="1952"/>
      <c r="J30" s="1701"/>
      <c r="K30" s="1935"/>
      <c r="L30" s="2962"/>
      <c r="M30" s="2935"/>
      <c r="N30" s="2935"/>
      <c r="O30" s="3009"/>
      <c r="P30" s="3583"/>
      <c r="Q30" s="1605"/>
      <c r="R30" s="1651"/>
      <c r="S30" s="1652"/>
      <c r="T30" s="1651"/>
      <c r="U30" s="1652"/>
      <c r="V30" s="1651"/>
      <c r="W30" s="1652"/>
      <c r="X30" s="1653"/>
      <c r="Y30" s="3583"/>
      <c r="Z30" s="1663"/>
      <c r="AA30" s="1698">
        <v>1</v>
      </c>
      <c r="AB30" s="1698">
        <v>1</v>
      </c>
      <c r="AC30" s="1698">
        <v>1</v>
      </c>
    </row>
    <row r="31" spans="1:29" ht="15">
      <c r="A31" s="1638"/>
      <c r="B31" s="1944" t="s">
        <v>2302</v>
      </c>
      <c r="C31" s="1949"/>
      <c r="D31" s="1681">
        <v>100</v>
      </c>
      <c r="E31" s="1949"/>
      <c r="F31" s="1681">
        <f>SUMIF(104:104,E31,105:105)-SUMIF(104:104,C31,105:105)+100</f>
        <v>100</v>
      </c>
      <c r="G31" s="1949"/>
      <c r="H31" s="1681">
        <f>SUMIF(104:104,G31,105:105)-SUMIF(104:104,C31,105:105)+100</f>
        <v>100</v>
      </c>
      <c r="I31" s="1949"/>
      <c r="J31" s="1681">
        <f>SUMIF(104:104,I31,105:105)-SUMIF(104:104,C31,105:105)+100</f>
        <v>100</v>
      </c>
      <c r="K31" s="1936"/>
      <c r="L31" s="2967"/>
      <c r="M31" s="2963"/>
      <c r="N31" s="2963"/>
      <c r="O31" s="3011"/>
      <c r="P31" s="3583"/>
      <c r="Q31" s="1586" t="str">
        <f t="shared" si="8"/>
        <v>临街状况</v>
      </c>
      <c r="R31" s="1695" t="s">
        <v>25</v>
      </c>
      <c r="S31" s="1696">
        <f t="shared" ref="S31:S45" si="10">F31</f>
        <v>100</v>
      </c>
      <c r="T31" s="1695" t="s">
        <v>25</v>
      </c>
      <c r="U31" s="1696">
        <f t="shared" ref="U31:U45" si="11">H31</f>
        <v>100</v>
      </c>
      <c r="V31" s="1695" t="s">
        <v>25</v>
      </c>
      <c r="W31" s="1696">
        <f t="shared" ref="W31:W45" si="12">J31</f>
        <v>100</v>
      </c>
      <c r="X31" s="1636"/>
      <c r="Y31" s="3583"/>
      <c r="Z31" s="1697" t="str">
        <f t="shared" ref="Z31:Z45" si="13">Q31</f>
        <v>临街状况</v>
      </c>
      <c r="AA31" s="1698">
        <f t="shared" si="3"/>
        <v>1</v>
      </c>
      <c r="AB31" s="1698">
        <f t="shared" si="4"/>
        <v>1</v>
      </c>
      <c r="AC31" s="1698">
        <f t="shared" si="5"/>
        <v>1</v>
      </c>
    </row>
    <row r="32" spans="1:29" ht="27">
      <c r="A32" s="1638"/>
      <c r="B32" s="1947" t="s">
        <v>2332</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6"/>
      <c r="L32" s="2967"/>
      <c r="M32" s="2963"/>
      <c r="N32" s="2963"/>
      <c r="O32" s="3011"/>
      <c r="P32" s="3583"/>
      <c r="Q32" s="1586" t="str">
        <f t="shared" si="8"/>
        <v>毗邻道路的类型与等级</v>
      </c>
      <c r="R32" s="1695" t="s">
        <v>25</v>
      </c>
      <c r="S32" s="1696">
        <f t="shared" si="10"/>
        <v>100</v>
      </c>
      <c r="T32" s="1695" t="s">
        <v>25</v>
      </c>
      <c r="U32" s="1696">
        <f t="shared" si="11"/>
        <v>100</v>
      </c>
      <c r="V32" s="1695" t="s">
        <v>25</v>
      </c>
      <c r="W32" s="1696">
        <f t="shared" si="12"/>
        <v>100</v>
      </c>
      <c r="X32" s="1636"/>
      <c r="Y32" s="3583"/>
      <c r="Z32" s="1697" t="str">
        <f t="shared" si="13"/>
        <v>毗邻道路的类型与等级</v>
      </c>
      <c r="AA32" s="1698">
        <f t="shared" si="3"/>
        <v>1</v>
      </c>
      <c r="AB32" s="1698">
        <f t="shared" si="4"/>
        <v>1</v>
      </c>
      <c r="AC32" s="1698">
        <f t="shared" si="5"/>
        <v>1</v>
      </c>
    </row>
    <row r="33" spans="1:29" ht="15">
      <c r="A33" s="1638"/>
      <c r="B33" s="1944"/>
      <c r="C33" s="1941"/>
      <c r="D33" s="1701"/>
      <c r="E33" s="1941"/>
      <c r="F33" s="1701"/>
      <c r="G33" s="1941"/>
      <c r="H33" s="1701"/>
      <c r="I33" s="1700"/>
      <c r="J33" s="1701"/>
      <c r="K33" s="1955"/>
      <c r="L33" s="2967"/>
      <c r="M33" s="2963"/>
      <c r="N33" s="2963"/>
      <c r="O33" s="3011"/>
      <c r="P33" s="3583"/>
      <c r="Q33" s="1586"/>
      <c r="R33" s="1695"/>
      <c r="S33" s="1696"/>
      <c r="T33" s="1695"/>
      <c r="U33" s="1696"/>
      <c r="V33" s="1695"/>
      <c r="W33" s="1696"/>
      <c r="X33" s="1636"/>
      <c r="Y33" s="3583"/>
      <c r="Z33" s="1697"/>
      <c r="AA33" s="1698">
        <v>1</v>
      </c>
      <c r="AB33" s="1698">
        <v>1</v>
      </c>
      <c r="AC33" s="1698">
        <v>1</v>
      </c>
    </row>
    <row r="34" spans="1:29" ht="15">
      <c r="A34" s="1638"/>
      <c r="B34" s="1956" t="s">
        <v>2393</v>
      </c>
      <c r="C34" s="1949"/>
      <c r="D34" s="1681">
        <v>100</v>
      </c>
      <c r="E34" s="1949"/>
      <c r="F34" s="1681">
        <f>SUMIF(108:108,E34,109:109)-SUMIF(108:108,C34,109:109)+100</f>
        <v>100</v>
      </c>
      <c r="G34" s="1949"/>
      <c r="H34" s="1681">
        <f>SUMIF(108:108,G34,109:109)-SUMIF(108:108,C34,109:109)+100</f>
        <v>100</v>
      </c>
      <c r="I34" s="1957"/>
      <c r="J34" s="1681">
        <f>SUMIF(108:108,I34,109:109)-SUMIF(108:108,C34,109:109)+100</f>
        <v>100</v>
      </c>
      <c r="K34" s="1958"/>
      <c r="L34" s="2967"/>
      <c r="M34" s="2963"/>
      <c r="N34" s="2963"/>
      <c r="O34" s="3011"/>
      <c r="P34" s="3583"/>
      <c r="Q34" s="1586" t="str">
        <f t="shared" si="8"/>
        <v>土地级别</v>
      </c>
      <c r="R34" s="1695" t="s">
        <v>25</v>
      </c>
      <c r="S34" s="1696">
        <f t="shared" si="10"/>
        <v>100</v>
      </c>
      <c r="T34" s="1695" t="s">
        <v>25</v>
      </c>
      <c r="U34" s="1696">
        <f t="shared" si="11"/>
        <v>100</v>
      </c>
      <c r="V34" s="1695" t="s">
        <v>25</v>
      </c>
      <c r="W34" s="1696">
        <f t="shared" si="12"/>
        <v>100</v>
      </c>
      <c r="X34" s="1636"/>
      <c r="Y34" s="3583"/>
      <c r="Z34" s="1697" t="str">
        <f t="shared" si="13"/>
        <v>土地级别</v>
      </c>
      <c r="AA34" s="1698">
        <f t="shared" si="3"/>
        <v>1</v>
      </c>
      <c r="AB34" s="1698">
        <f t="shared" si="4"/>
        <v>1</v>
      </c>
      <c r="AC34" s="1698">
        <f t="shared" si="5"/>
        <v>1</v>
      </c>
    </row>
    <row r="35" spans="1:29" ht="15">
      <c r="A35" s="1638"/>
      <c r="B35" s="1959">
        <v>111</v>
      </c>
      <c r="C35" s="1745"/>
      <c r="D35" s="1681">
        <v>100</v>
      </c>
      <c r="E35" s="1745"/>
      <c r="F35" s="1681">
        <f>SUMIF(110:110,E35,111:111)-SUMIF(110:110,C35,111:111)+100</f>
        <v>100</v>
      </c>
      <c r="G35" s="1745"/>
      <c r="H35" s="1681">
        <f>SUMIF(110:110,G35,111:111)-SUMIF(110:110,C35,111:111)+100</f>
        <v>100</v>
      </c>
      <c r="I35" s="1937"/>
      <c r="J35" s="1681">
        <f>SUMIF(110:110,I35,111:111)-SUMIF(110:110,C35,111:111)+100</f>
        <v>100</v>
      </c>
      <c r="K35" s="1955"/>
      <c r="L35" s="2967"/>
      <c r="M35" s="2963"/>
      <c r="N35" s="2963"/>
      <c r="O35" s="3011"/>
      <c r="P35" s="3583"/>
      <c r="Q35" s="1586">
        <f t="shared" si="8"/>
        <v>111</v>
      </c>
      <c r="R35" s="1695" t="s">
        <v>25</v>
      </c>
      <c r="S35" s="1696">
        <f t="shared" si="10"/>
        <v>100</v>
      </c>
      <c r="T35" s="1695" t="s">
        <v>25</v>
      </c>
      <c r="U35" s="1696">
        <f t="shared" si="11"/>
        <v>100</v>
      </c>
      <c r="V35" s="1695" t="s">
        <v>25</v>
      </c>
      <c r="W35" s="1696">
        <f t="shared" si="12"/>
        <v>100</v>
      </c>
      <c r="X35" s="1636"/>
      <c r="Y35" s="3583"/>
      <c r="Z35" s="1697">
        <f t="shared" si="13"/>
        <v>111</v>
      </c>
      <c r="AA35" s="1698">
        <f t="shared" si="3"/>
        <v>1</v>
      </c>
      <c r="AB35" s="1698">
        <f t="shared" si="4"/>
        <v>1</v>
      </c>
      <c r="AC35" s="1698">
        <f t="shared" si="5"/>
        <v>1</v>
      </c>
    </row>
    <row r="36" spans="1:29" ht="15">
      <c r="A36" s="1960"/>
      <c r="B36" s="1961">
        <v>111</v>
      </c>
      <c r="C36" s="1745"/>
      <c r="D36" s="1681">
        <v>100</v>
      </c>
      <c r="E36" s="1745"/>
      <c r="F36" s="1681">
        <f>SUMIF(112:112,E37,113:113)-SUMIF(112:112,C37,113:113)+100</f>
        <v>100</v>
      </c>
      <c r="G36" s="1745"/>
      <c r="H36" s="1681">
        <f>SUMIF(112:112,G36,113:113)-SUMIF(112:112,C36,113:113)+100</f>
        <v>100</v>
      </c>
      <c r="I36" s="1937"/>
      <c r="J36" s="1681">
        <f>SUMIF(112:112,I36,113:113)-SUMIF(112:112,C36,113:113)+100</f>
        <v>100</v>
      </c>
      <c r="K36" s="1955"/>
      <c r="L36" s="2967"/>
      <c r="M36" s="2963"/>
      <c r="N36" s="2963"/>
      <c r="O36" s="3011"/>
      <c r="P36" s="3653" t="s">
        <v>2220</v>
      </c>
      <c r="Q36" s="1586">
        <f t="shared" si="8"/>
        <v>111</v>
      </c>
      <c r="R36" s="1695" t="s">
        <v>25</v>
      </c>
      <c r="S36" s="1696">
        <f t="shared" si="10"/>
        <v>100</v>
      </c>
      <c r="T36" s="1695" t="s">
        <v>25</v>
      </c>
      <c r="U36" s="1696">
        <f t="shared" si="11"/>
        <v>100</v>
      </c>
      <c r="V36" s="1695" t="s">
        <v>25</v>
      </c>
      <c r="W36" s="1696">
        <f t="shared" si="12"/>
        <v>100</v>
      </c>
      <c r="X36" s="1636"/>
      <c r="Y36" s="3587" t="s">
        <v>2220</v>
      </c>
      <c r="Z36" s="1697">
        <f t="shared" si="13"/>
        <v>111</v>
      </c>
      <c r="AA36" s="1698">
        <f t="shared" si="3"/>
        <v>1</v>
      </c>
      <c r="AB36" s="1698">
        <f t="shared" si="4"/>
        <v>1</v>
      </c>
      <c r="AC36" s="1698">
        <f t="shared" si="5"/>
        <v>1</v>
      </c>
    </row>
    <row r="37" spans="1:29" s="1739" customFormat="1" ht="15.75" thickBot="1">
      <c r="A37" s="1962"/>
      <c r="B37" s="1963">
        <v>111</v>
      </c>
      <c r="C37" s="1964"/>
      <c r="D37" s="1965">
        <v>100</v>
      </c>
      <c r="E37" s="1964"/>
      <c r="F37" s="1685">
        <f>SUMIF(114:114,E37,115:115)-SUMIF(114:114,C37,115:115)+100</f>
        <v>100</v>
      </c>
      <c r="G37" s="1964"/>
      <c r="H37" s="1685">
        <f>SUMIF(114:114,G37,115:115)-SUMIF(114:114,C37,115:115)+100</f>
        <v>100</v>
      </c>
      <c r="I37" s="1966"/>
      <c r="J37" s="1685">
        <f>SUMIF(114:114,I37,115:115)-SUMIF(114:114,C37,115:115)+100</f>
        <v>100</v>
      </c>
      <c r="K37" s="1955"/>
      <c r="L37" s="2966"/>
      <c r="M37" s="2025"/>
      <c r="N37" s="2025"/>
      <c r="O37" s="3012"/>
      <c r="P37" s="3587"/>
      <c r="Q37" s="1586">
        <f t="shared" si="8"/>
        <v>111</v>
      </c>
      <c r="R37" s="1735" t="s">
        <v>25</v>
      </c>
      <c r="S37" s="1736">
        <f t="shared" si="10"/>
        <v>100</v>
      </c>
      <c r="T37" s="1735" t="s">
        <v>25</v>
      </c>
      <c r="U37" s="1736">
        <f t="shared" si="11"/>
        <v>100</v>
      </c>
      <c r="V37" s="1735" t="s">
        <v>25</v>
      </c>
      <c r="W37" s="1736">
        <f t="shared" si="12"/>
        <v>100</v>
      </c>
      <c r="X37" s="1737"/>
      <c r="Y37" s="3587"/>
      <c r="Z37" s="1738">
        <f t="shared" si="13"/>
        <v>111</v>
      </c>
      <c r="AA37" s="1698">
        <f t="shared" si="3"/>
        <v>1</v>
      </c>
      <c r="AB37" s="1698">
        <f t="shared" si="4"/>
        <v>1</v>
      </c>
      <c r="AC37" s="1698">
        <f t="shared" si="5"/>
        <v>1</v>
      </c>
    </row>
    <row r="38" spans="1:29" ht="15">
      <c r="A38" s="1633" t="s">
        <v>2218</v>
      </c>
      <c r="B38" s="1713" t="s">
        <v>2394</v>
      </c>
      <c r="C38" s="1967"/>
      <c r="D38" s="1731">
        <v>100</v>
      </c>
      <c r="E38" s="1967"/>
      <c r="F38" s="1731" t="e">
        <f>LOOKUP(E38,117:117,118:118)-LOOKUP(C38,117:117,118:118)+100</f>
        <v>#N/A</v>
      </c>
      <c r="G38" s="1967"/>
      <c r="H38" s="1731" t="e">
        <f>LOOKUP(G38,117:117,118:118)-LOOKUP(C38,117:117,118:118)+100</f>
        <v>#N/A</v>
      </c>
      <c r="I38" s="1815"/>
      <c r="J38" s="1731" t="e">
        <f>LOOKUP(I38,117:117,118:118)-LOOKUP(C38,117:117,118:118)+100</f>
        <v>#N/A</v>
      </c>
      <c r="K38" s="1955"/>
      <c r="L38" s="2967"/>
      <c r="M38" s="2963"/>
      <c r="N38" s="2963"/>
      <c r="O38" s="3011"/>
      <c r="P38" s="3587"/>
      <c r="Q38" s="1586" t="str">
        <f>B38</f>
        <v>宗地面积</v>
      </c>
      <c r="R38" s="1695" t="s">
        <v>25</v>
      </c>
      <c r="S38" s="1696" t="e">
        <f t="shared" si="10"/>
        <v>#N/A</v>
      </c>
      <c r="T38" s="1695" t="s">
        <v>25</v>
      </c>
      <c r="U38" s="1696" t="e">
        <f t="shared" si="11"/>
        <v>#N/A</v>
      </c>
      <c r="V38" s="1695" t="s">
        <v>25</v>
      </c>
      <c r="W38" s="1696" t="e">
        <f t="shared" si="12"/>
        <v>#N/A</v>
      </c>
      <c r="X38" s="1636"/>
      <c r="Y38" s="3587"/>
      <c r="Z38" s="1697" t="str">
        <f t="shared" si="13"/>
        <v>宗地面积</v>
      </c>
      <c r="AA38" s="1698" t="e">
        <f t="shared" si="3"/>
        <v>#N/A</v>
      </c>
      <c r="AB38" s="1698" t="e">
        <f t="shared" si="4"/>
        <v>#N/A</v>
      </c>
      <c r="AC38" s="1698" t="e">
        <f t="shared" si="5"/>
        <v>#N/A</v>
      </c>
    </row>
    <row r="39" spans="1:29" ht="15">
      <c r="A39" s="1740"/>
      <c r="B39" s="1665" t="s">
        <v>2395</v>
      </c>
      <c r="C39" s="1724"/>
      <c r="D39" s="1681">
        <v>100</v>
      </c>
      <c r="E39" s="1724"/>
      <c r="F39" s="1681">
        <f>SUMIF(119:119,E39,120:120)-SUMIF(119:119,C39,120:120)+100</f>
        <v>100</v>
      </c>
      <c r="G39" s="1724"/>
      <c r="H39" s="1681">
        <f>SUMIF(119:119,G39,120:120)-SUMIF(119:119,C39,120:120)+100</f>
        <v>100</v>
      </c>
      <c r="I39" s="1724"/>
      <c r="J39" s="1681">
        <f>SUMIF(119:119,I39,120:120)-SUMIF(119:119,C39,120:120)+100</f>
        <v>100</v>
      </c>
      <c r="K39" s="1958"/>
      <c r="L39" s="2967"/>
      <c r="M39" s="2963"/>
      <c r="N39" s="2963"/>
      <c r="O39" s="3011"/>
      <c r="P39" s="3587"/>
      <c r="Q39" s="1586" t="str">
        <f t="shared" ref="Q39:Q45" si="14">B39</f>
        <v>宗地形状</v>
      </c>
      <c r="R39" s="1695" t="s">
        <v>25</v>
      </c>
      <c r="S39" s="1696">
        <f t="shared" si="10"/>
        <v>100</v>
      </c>
      <c r="T39" s="1695" t="s">
        <v>25</v>
      </c>
      <c r="U39" s="1696">
        <f t="shared" si="11"/>
        <v>100</v>
      </c>
      <c r="V39" s="1695" t="s">
        <v>25</v>
      </c>
      <c r="W39" s="1696">
        <f t="shared" si="12"/>
        <v>100</v>
      </c>
      <c r="X39" s="1636"/>
      <c r="Y39" s="3587"/>
      <c r="Z39" s="1697" t="str">
        <f t="shared" si="13"/>
        <v>宗地形状</v>
      </c>
      <c r="AA39" s="1698">
        <f t="shared" si="3"/>
        <v>1</v>
      </c>
      <c r="AB39" s="1698">
        <f t="shared" si="4"/>
        <v>1</v>
      </c>
      <c r="AC39" s="1698">
        <f t="shared" si="5"/>
        <v>1</v>
      </c>
    </row>
    <row r="40" spans="1:29" ht="15">
      <c r="A40" s="1740"/>
      <c r="B40" s="1665" t="s">
        <v>2396</v>
      </c>
      <c r="C40" s="1724"/>
      <c r="D40" s="1681">
        <v>100</v>
      </c>
      <c r="E40" s="1724"/>
      <c r="F40" s="1681">
        <f>SUMIF(121:121,E40,122:122)-SUMIF(121:121,C40,122:122)+100</f>
        <v>100</v>
      </c>
      <c r="G40" s="1724"/>
      <c r="H40" s="1681">
        <f>SUMIF(121:121,G40,122:122)-SUMIF(121:121,C40,122:122)+100</f>
        <v>100</v>
      </c>
      <c r="I40" s="1724"/>
      <c r="J40" s="1681">
        <f>SUMIF(121:121,I40,122:122)-SUMIF(121:121,C40,122:122)+100</f>
        <v>100</v>
      </c>
      <c r="K40" s="1958"/>
      <c r="L40" s="2967"/>
      <c r="M40" s="2963"/>
      <c r="N40" s="2963"/>
      <c r="O40" s="3011"/>
      <c r="P40" s="3587"/>
      <c r="Q40" s="1586" t="str">
        <f t="shared" si="14"/>
        <v>临街宽度及深度</v>
      </c>
      <c r="R40" s="1695" t="s">
        <v>25</v>
      </c>
      <c r="S40" s="1696">
        <f t="shared" si="10"/>
        <v>100</v>
      </c>
      <c r="T40" s="1695" t="s">
        <v>25</v>
      </c>
      <c r="U40" s="1696">
        <f t="shared" si="11"/>
        <v>100</v>
      </c>
      <c r="V40" s="1695" t="s">
        <v>25</v>
      </c>
      <c r="W40" s="1696">
        <f t="shared" si="12"/>
        <v>100</v>
      </c>
      <c r="X40" s="1636"/>
      <c r="Y40" s="3587"/>
      <c r="Z40" s="1697" t="str">
        <f t="shared" si="13"/>
        <v>临街宽度及深度</v>
      </c>
      <c r="AA40" s="1698">
        <f t="shared" si="3"/>
        <v>1</v>
      </c>
      <c r="AB40" s="1698">
        <f t="shared" si="4"/>
        <v>1</v>
      </c>
      <c r="AC40" s="1698">
        <f t="shared" si="5"/>
        <v>1</v>
      </c>
    </row>
    <row r="41" spans="1:29" s="1655" customFormat="1" ht="15">
      <c r="A41" s="1743"/>
      <c r="B41" s="1665" t="s">
        <v>2397</v>
      </c>
      <c r="C41" s="1968"/>
      <c r="D41" s="1667">
        <v>100</v>
      </c>
      <c r="E41" s="1968"/>
      <c r="F41" s="1681">
        <f>SUMIF(123:123,E41,124:124)-SUMIF(123:123,C41,124:124)+100</f>
        <v>100</v>
      </c>
      <c r="G41" s="1968"/>
      <c r="H41" s="1681">
        <f>SUMIF(123:123,G41,124:124)-SUMIF(123:123,C41,124:124)+100</f>
        <v>100</v>
      </c>
      <c r="I41" s="1968"/>
      <c r="J41" s="1681">
        <f>SUMIF(123:123,I41,124:124)-SUMIF(123:123,C41,124:124)+100</f>
        <v>100</v>
      </c>
      <c r="K41" s="1958"/>
      <c r="L41" s="2962"/>
      <c r="M41" s="2935"/>
      <c r="N41" s="2935"/>
      <c r="O41" s="3009"/>
      <c r="P41" s="3587"/>
      <c r="Q41" s="1586" t="str">
        <f t="shared" si="14"/>
        <v>宗地开发程度</v>
      </c>
      <c r="R41" s="1651" t="s">
        <v>25</v>
      </c>
      <c r="S41" s="1652">
        <f t="shared" si="10"/>
        <v>100</v>
      </c>
      <c r="T41" s="1651" t="s">
        <v>25</v>
      </c>
      <c r="U41" s="1652">
        <f t="shared" si="11"/>
        <v>100</v>
      </c>
      <c r="V41" s="1651" t="s">
        <v>25</v>
      </c>
      <c r="W41" s="1652">
        <f t="shared" si="12"/>
        <v>100</v>
      </c>
      <c r="X41" s="1653"/>
      <c r="Y41" s="3587"/>
      <c r="Z41" s="1663" t="str">
        <f t="shared" si="13"/>
        <v>宗地开发程度</v>
      </c>
      <c r="AA41" s="1654">
        <f t="shared" si="3"/>
        <v>1</v>
      </c>
      <c r="AB41" s="1654">
        <f t="shared" si="4"/>
        <v>1</v>
      </c>
      <c r="AC41" s="1654">
        <f t="shared" si="5"/>
        <v>1</v>
      </c>
    </row>
    <row r="42" spans="1:29" ht="15">
      <c r="A42" s="1740"/>
      <c r="B42" s="1665" t="s">
        <v>2398</v>
      </c>
      <c r="C42" s="1724"/>
      <c r="D42" s="1681">
        <v>100</v>
      </c>
      <c r="E42" s="1724"/>
      <c r="F42" s="1681">
        <f>SUMIF(125:125,E42,126:126)-SUMIF(125:125,C42,126:126)+100</f>
        <v>100</v>
      </c>
      <c r="G42" s="1724"/>
      <c r="H42" s="1681">
        <f>SUMIF(125:125,G42,126:126)-SUMIF(125:125,C42,126:126)+100</f>
        <v>100</v>
      </c>
      <c r="I42" s="1724"/>
      <c r="J42" s="1681">
        <f>SUMIF(125:125,I42,126:126)-SUMIF(125:125,C42,126:126)+100</f>
        <v>100</v>
      </c>
      <c r="K42" s="1958"/>
      <c r="L42" s="2967"/>
      <c r="M42" s="2963"/>
      <c r="N42" s="2963"/>
      <c r="O42" s="3011"/>
      <c r="P42" s="3587" t="s">
        <v>2220</v>
      </c>
      <c r="Q42" s="1586" t="str">
        <f t="shared" si="14"/>
        <v>工程地质条件</v>
      </c>
      <c r="R42" s="1695" t="s">
        <v>25</v>
      </c>
      <c r="S42" s="1696">
        <f t="shared" si="10"/>
        <v>100</v>
      </c>
      <c r="T42" s="1695" t="s">
        <v>25</v>
      </c>
      <c r="U42" s="1696">
        <f t="shared" si="11"/>
        <v>100</v>
      </c>
      <c r="V42" s="1695" t="s">
        <v>25</v>
      </c>
      <c r="W42" s="1696">
        <f t="shared" si="12"/>
        <v>100</v>
      </c>
      <c r="X42" s="1636"/>
      <c r="Y42" s="3587" t="s">
        <v>2220</v>
      </c>
      <c r="Z42" s="1697" t="str">
        <f t="shared" si="13"/>
        <v>工程地质条件</v>
      </c>
      <c r="AA42" s="1698">
        <f t="shared" si="3"/>
        <v>1</v>
      </c>
      <c r="AB42" s="1698">
        <f t="shared" si="4"/>
        <v>1</v>
      </c>
      <c r="AC42" s="1698">
        <f t="shared" si="5"/>
        <v>1</v>
      </c>
    </row>
    <row r="43" spans="1:29" ht="15">
      <c r="A43" s="1740"/>
      <c r="B43" s="1969">
        <v>111</v>
      </c>
      <c r="C43" s="1937"/>
      <c r="D43" s="1681">
        <v>100</v>
      </c>
      <c r="E43" s="1937"/>
      <c r="F43" s="1681">
        <f>SUMIF(127:127,E43,128:128)-SUMIF(127:127,C43,128:128)+100</f>
        <v>100</v>
      </c>
      <c r="G43" s="1937"/>
      <c r="H43" s="1681">
        <f>SUMIF(127:127,G43,128:128)-SUMIF(127:127,C43,128:128)+100</f>
        <v>100</v>
      </c>
      <c r="I43" s="1833"/>
      <c r="J43" s="1681">
        <f>SUMIF(127:127,I43,128:128)-SUMIF(127:127,C43,128:128)+100</f>
        <v>100</v>
      </c>
      <c r="K43" s="1955"/>
      <c r="L43" s="2967"/>
      <c r="M43" s="2963"/>
      <c r="N43" s="2963"/>
      <c r="O43" s="3011"/>
      <c r="P43" s="3587"/>
      <c r="Q43" s="1586">
        <f t="shared" si="14"/>
        <v>111</v>
      </c>
      <c r="R43" s="1695" t="s">
        <v>25</v>
      </c>
      <c r="S43" s="1696">
        <f t="shared" si="10"/>
        <v>100</v>
      </c>
      <c r="T43" s="1695" t="s">
        <v>25</v>
      </c>
      <c r="U43" s="1696">
        <f t="shared" si="11"/>
        <v>100</v>
      </c>
      <c r="V43" s="1695" t="s">
        <v>25</v>
      </c>
      <c r="W43" s="1696">
        <f t="shared" si="12"/>
        <v>100</v>
      </c>
      <c r="X43" s="1636"/>
      <c r="Y43" s="3587"/>
      <c r="Z43" s="1697">
        <f t="shared" si="13"/>
        <v>111</v>
      </c>
      <c r="AA43" s="1698">
        <f t="shared" si="3"/>
        <v>1</v>
      </c>
      <c r="AB43" s="1698">
        <f t="shared" si="4"/>
        <v>1</v>
      </c>
      <c r="AC43" s="1698">
        <f t="shared" si="5"/>
        <v>1</v>
      </c>
    </row>
    <row r="44" spans="1:29" ht="15">
      <c r="A44" s="1740"/>
      <c r="B44" s="1969">
        <v>111</v>
      </c>
      <c r="C44" s="1937"/>
      <c r="D44" s="1681">
        <v>100</v>
      </c>
      <c r="E44" s="1937"/>
      <c r="F44" s="1681">
        <f>SUMIF(129:129,E44,130:130)-SUMIF(129:129,C44,130:130)+100</f>
        <v>100</v>
      </c>
      <c r="G44" s="1937"/>
      <c r="H44" s="1681">
        <f>SUMIF(129:129,G44,130:130)-SUMIF(129:129,C44,130:130)+100</f>
        <v>100</v>
      </c>
      <c r="I44" s="1833"/>
      <c r="J44" s="1681">
        <f>SUMIF(129:129,I44,130:130)-SUMIF(129:129,C44,130:130)+100</f>
        <v>100</v>
      </c>
      <c r="K44" s="1955"/>
      <c r="L44" s="2967"/>
      <c r="M44" s="2963"/>
      <c r="N44" s="2963"/>
      <c r="O44" s="3011"/>
      <c r="P44" s="3587"/>
      <c r="Q44" s="1586">
        <f t="shared" si="14"/>
        <v>111</v>
      </c>
      <c r="R44" s="1695" t="s">
        <v>25</v>
      </c>
      <c r="S44" s="1696">
        <f t="shared" si="10"/>
        <v>100</v>
      </c>
      <c r="T44" s="1695" t="s">
        <v>25</v>
      </c>
      <c r="U44" s="1696">
        <f t="shared" si="11"/>
        <v>100</v>
      </c>
      <c r="V44" s="1695" t="s">
        <v>25</v>
      </c>
      <c r="W44" s="1696">
        <f t="shared" si="12"/>
        <v>100</v>
      </c>
      <c r="X44" s="1636"/>
      <c r="Y44" s="3587"/>
      <c r="Z44" s="1697">
        <f t="shared" si="13"/>
        <v>111</v>
      </c>
      <c r="AA44" s="1698">
        <f t="shared" si="3"/>
        <v>1</v>
      </c>
      <c r="AB44" s="1698">
        <f t="shared" si="4"/>
        <v>1</v>
      </c>
      <c r="AC44" s="1698">
        <f t="shared" si="5"/>
        <v>1</v>
      </c>
    </row>
    <row r="45" spans="1:29" s="1739" customFormat="1" ht="15.75" thickBot="1">
      <c r="A45" s="1732"/>
      <c r="B45" s="1969">
        <v>111</v>
      </c>
      <c r="C45" s="1970"/>
      <c r="D45" s="3113">
        <v>100</v>
      </c>
      <c r="E45" s="1937"/>
      <c r="F45" s="1685">
        <f>SUMIF(131:131,E45,132:132)-SUMIF(131:131,C45,132:132)+100</f>
        <v>100</v>
      </c>
      <c r="G45" s="1937"/>
      <c r="H45" s="1685">
        <f>SUMIF(131:131,G45,132:132)-SUMIF(131:131,C45,132:132)+100</f>
        <v>100</v>
      </c>
      <c r="I45" s="1937"/>
      <c r="J45" s="1685">
        <f>SUMIF(131:131,I45,132:132)-SUMIF(131:131,C45,132:132)+100</f>
        <v>100</v>
      </c>
      <c r="K45" s="1971"/>
      <c r="L45" s="2966"/>
      <c r="M45" s="2025"/>
      <c r="N45" s="2025"/>
      <c r="O45" s="3012"/>
      <c r="P45" s="3587"/>
      <c r="Q45" s="1586">
        <f t="shared" si="14"/>
        <v>111</v>
      </c>
      <c r="R45" s="1735" t="s">
        <v>25</v>
      </c>
      <c r="S45" s="1736">
        <f t="shared" si="10"/>
        <v>100</v>
      </c>
      <c r="T45" s="1735" t="s">
        <v>25</v>
      </c>
      <c r="U45" s="1736">
        <f t="shared" si="11"/>
        <v>100</v>
      </c>
      <c r="V45" s="1735" t="s">
        <v>25</v>
      </c>
      <c r="W45" s="1736">
        <f t="shared" si="12"/>
        <v>100</v>
      </c>
      <c r="X45" s="1737"/>
      <c r="Y45" s="3587"/>
      <c r="Z45" s="1738">
        <f t="shared" si="13"/>
        <v>111</v>
      </c>
      <c r="AA45" s="1698">
        <f t="shared" si="3"/>
        <v>1</v>
      </c>
      <c r="AB45" s="1698">
        <f t="shared" si="4"/>
        <v>1</v>
      </c>
      <c r="AC45" s="1698">
        <f t="shared" si="5"/>
        <v>1</v>
      </c>
    </row>
    <row r="46" spans="1:29" ht="15">
      <c r="A46" s="1747" t="s">
        <v>2362</v>
      </c>
      <c r="B46" s="1972" t="s">
        <v>2399</v>
      </c>
      <c r="C46" s="1973" t="s">
        <v>1</v>
      </c>
      <c r="D46" s="1974"/>
      <c r="E46" s="1975"/>
      <c r="F46" s="1976"/>
      <c r="G46" s="1977"/>
      <c r="H46" s="1978"/>
      <c r="I46" s="1975"/>
      <c r="J46" s="1978"/>
      <c r="K46" s="1979"/>
      <c r="L46" s="2968"/>
      <c r="N46" s="2963"/>
      <c r="P46" s="3578" t="str">
        <f>A46</f>
        <v>成交单价</v>
      </c>
      <c r="Q46" s="3578"/>
      <c r="R46" s="3616">
        <f>E46</f>
        <v>0</v>
      </c>
      <c r="S46" s="3616"/>
      <c r="T46" s="3616">
        <f>G46</f>
        <v>0</v>
      </c>
      <c r="U46" s="3616"/>
      <c r="V46" s="3616">
        <f>I46</f>
        <v>0</v>
      </c>
      <c r="W46" s="3616"/>
      <c r="X46" s="1757"/>
      <c r="Y46" s="1758"/>
      <c r="Z46" s="1757"/>
      <c r="AA46" s="1757"/>
      <c r="AB46" s="1757"/>
      <c r="AC46" s="1757"/>
    </row>
    <row r="47" spans="1:29" ht="15.75" thickBot="1">
      <c r="A47" s="1759" t="s">
        <v>2315</v>
      </c>
      <c r="B47" s="1980"/>
      <c r="C47" s="1981" t="e">
        <f>R48</f>
        <v>#DIV/0!</v>
      </c>
      <c r="D47" s="1762" t="s">
        <v>2685</v>
      </c>
      <c r="E47" s="1981" t="e">
        <f>R47</f>
        <v>#DIV/0!</v>
      </c>
      <c r="F47" s="1764"/>
      <c r="G47" s="1982" t="e">
        <f>T47</f>
        <v>#DIV/0!</v>
      </c>
      <c r="H47" s="1764"/>
      <c r="I47" s="1981" t="e">
        <f>V47</f>
        <v>#DIV/0!</v>
      </c>
      <c r="J47" s="1764"/>
      <c r="K47" s="2476">
        <f>F47+H47+J47</f>
        <v>0</v>
      </c>
      <c r="L47" s="2968"/>
      <c r="P47" s="3578" t="str">
        <f>A47</f>
        <v>比较价值（元/平方米）</v>
      </c>
      <c r="Q47" s="3578"/>
      <c r="R47" s="3697" t="e">
        <f>ROUND(PRODUCT(R46,AA7:AA45),0)</f>
        <v>#DIV/0!</v>
      </c>
      <c r="S47" s="3697"/>
      <c r="T47" s="3697" t="e">
        <f>ROUND(PRODUCT(T46,AB7:AB45),0)</f>
        <v>#DIV/0!</v>
      </c>
      <c r="U47" s="3697"/>
      <c r="V47" s="3697" t="e">
        <f>ROUND(PRODUCT(V46,AC7:AC45),0)</f>
        <v>#DIV/0!</v>
      </c>
      <c r="W47" s="3697"/>
      <c r="X47" s="1757"/>
      <c r="Y47" s="1757"/>
      <c r="Z47" s="1757"/>
      <c r="AA47" s="1757"/>
      <c r="AB47" s="1757"/>
      <c r="AC47" s="1757"/>
    </row>
    <row r="48" spans="1:29" ht="15.75" thickBot="1">
      <c r="A48" s="1765" t="s">
        <v>2338</v>
      </c>
      <c r="B48" s="1766"/>
      <c r="C48" s="1983" t="e">
        <f>R48</f>
        <v>#DIV/0!</v>
      </c>
      <c r="D48" s="1983"/>
      <c r="E48" s="1983"/>
      <c r="F48" s="1983"/>
      <c r="G48" s="1983"/>
      <c r="H48" s="1983"/>
      <c r="I48" s="1983"/>
      <c r="J48" s="1983"/>
      <c r="K48" s="1984"/>
      <c r="L48" s="2968"/>
      <c r="P48" s="3575" t="str">
        <f>A48</f>
        <v>估价对象XX用房的比较价值（楼面单价，元/平方米）</v>
      </c>
      <c r="Q48" s="3576"/>
      <c r="R48" s="3698" t="e">
        <f>ROUND(IF(D47="简单平均",AVERAGE(R47:W47),R47*F47+T47*H47+V47*J47),0)</f>
        <v>#DIV/0!</v>
      </c>
      <c r="S48" s="3698"/>
      <c r="T48" s="3698"/>
      <c r="U48" s="3698"/>
      <c r="V48" s="3698"/>
      <c r="W48" s="3698"/>
      <c r="X48" s="1757"/>
      <c r="Y48" s="1757"/>
      <c r="Z48" s="1757"/>
      <c r="AA48" s="1757"/>
      <c r="AB48" s="1757"/>
      <c r="AC48" s="1757"/>
    </row>
    <row r="49" spans="1:14">
      <c r="G49" s="2972"/>
    </row>
    <row r="51" spans="1:14" ht="13.5" customHeight="1">
      <c r="C51" s="383" t="s">
        <v>2317</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2318</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2319</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5"/>
      <c r="L53" s="2969"/>
    </row>
    <row r="54" spans="1:14" s="1779" customFormat="1" ht="15" thickBot="1">
      <c r="B54" s="2973"/>
      <c r="C54" s="2974"/>
      <c r="K54" s="2975"/>
      <c r="L54" s="2969"/>
    </row>
    <row r="55" spans="1:14" ht="27">
      <c r="A55" s="564" t="s">
        <v>2400</v>
      </c>
      <c r="B55" s="1985" t="s">
        <v>2401</v>
      </c>
      <c r="C55" s="1986" t="s">
        <v>2402</v>
      </c>
      <c r="D55" s="1987" t="s">
        <v>2403</v>
      </c>
      <c r="E55" s="1988" t="s">
        <v>2404</v>
      </c>
      <c r="F55" s="1989" t="s">
        <v>2405</v>
      </c>
      <c r="G55" s="1884" t="s">
        <v>2406</v>
      </c>
      <c r="H55" s="1884" t="str">
        <f>项目基本情况!G8</f>
        <v>XX</v>
      </c>
      <c r="I55" s="1564" t="s">
        <v>2407</v>
      </c>
      <c r="J55" s="1990"/>
      <c r="K55" s="1771"/>
    </row>
    <row r="56" spans="1:14" s="1997" customFormat="1">
      <c r="A56" s="1991" t="s">
        <v>2408</v>
      </c>
      <c r="B56" s="1992" t="e">
        <f>C48</f>
        <v>#DIV/0!</v>
      </c>
      <c r="C56" s="280">
        <v>1</v>
      </c>
      <c r="D56" s="1993">
        <v>1</v>
      </c>
      <c r="E56" s="1994">
        <v>120</v>
      </c>
      <c r="F56" s="1995" t="e">
        <f t="shared" ref="F56:F65" si="15">ROUND(B56*E56,0)</f>
        <v>#DIV/0!</v>
      </c>
      <c r="G56" s="1996">
        <v>1</v>
      </c>
      <c r="H56" s="1996">
        <v>1</v>
      </c>
      <c r="I56" s="1779"/>
      <c r="J56" s="1779"/>
      <c r="K56" s="2975"/>
      <c r="L56" s="2969"/>
      <c r="M56" s="1779"/>
      <c r="N56" s="1779"/>
    </row>
    <row r="57" spans="1:14" s="1997" customFormat="1">
      <c r="A57" s="1998" t="s">
        <v>2409</v>
      </c>
      <c r="B57" s="1999" t="e">
        <f>ROUND($C$48*C57*D57,0)</f>
        <v>#DIV/0!</v>
      </c>
      <c r="C57" s="50">
        <f>IF($C$55="北京市系数",G57,H57)</f>
        <v>0.7</v>
      </c>
      <c r="D57" s="2000">
        <v>0.25</v>
      </c>
      <c r="E57" s="1994">
        <v>0</v>
      </c>
      <c r="F57" s="1995" t="e">
        <f t="shared" si="15"/>
        <v>#DIV/0!</v>
      </c>
      <c r="G57" s="1996">
        <f>SUMIF(修正!$A$45:$A$56,项目基本情况!$F$9,修正!B45:B56)</f>
        <v>0.7</v>
      </c>
      <c r="H57" s="2001"/>
      <c r="I57" s="1637"/>
      <c r="J57" s="1875"/>
      <c r="K57" s="1876"/>
      <c r="L57" s="1876"/>
      <c r="M57" s="1637"/>
      <c r="N57" s="1637"/>
    </row>
    <row r="58" spans="1:14" s="1997" customFormat="1">
      <c r="A58" s="1998" t="s">
        <v>2410</v>
      </c>
      <c r="B58" s="1999" t="e">
        <f t="shared" ref="B58:B65" si="16">ROUND($C$48*C58*D58,0)</f>
        <v>#DIV/0!</v>
      </c>
      <c r="C58" s="50">
        <f t="shared" ref="C58:C65" si="17">IF($C$55="北京市系数",G58,H58)</f>
        <v>0.4</v>
      </c>
      <c r="D58" s="2000">
        <v>0.25</v>
      </c>
      <c r="E58" s="1994">
        <v>0</v>
      </c>
      <c r="F58" s="1995" t="e">
        <f t="shared" si="15"/>
        <v>#DIV/0!</v>
      </c>
      <c r="G58" s="1996">
        <f>SUMIF(修正!$A$45:$A$56,项目基本情况!$F$9,修正!C45:C56)</f>
        <v>0.4</v>
      </c>
      <c r="H58" s="2001"/>
      <c r="I58" s="1779"/>
      <c r="J58" s="1779"/>
      <c r="K58" s="2975"/>
      <c r="L58" s="2969"/>
      <c r="M58" s="1779"/>
      <c r="N58" s="1779"/>
    </row>
    <row r="59" spans="1:14" s="1997" customFormat="1">
      <c r="A59" s="1998" t="s">
        <v>2411</v>
      </c>
      <c r="B59" s="1999" t="e">
        <f t="shared" si="16"/>
        <v>#DIV/0!</v>
      </c>
      <c r="C59" s="50">
        <f t="shared" si="17"/>
        <v>0.28000000000000003</v>
      </c>
      <c r="D59" s="2000">
        <v>0.25</v>
      </c>
      <c r="E59" s="1994">
        <v>0</v>
      </c>
      <c r="F59" s="1995" t="e">
        <f t="shared" si="15"/>
        <v>#DIV/0!</v>
      </c>
      <c r="G59" s="1996">
        <f>SUMIF(修正!$A$45:$A$56,项目基本情况!$F$9,修正!D45:D56)</f>
        <v>0.28000000000000003</v>
      </c>
      <c r="H59" s="2001"/>
      <c r="I59" s="1637"/>
      <c r="J59" s="1875"/>
      <c r="K59" s="1876"/>
      <c r="L59" s="1876"/>
      <c r="M59" s="1637"/>
      <c r="N59" s="1637"/>
    </row>
    <row r="60" spans="1:14" s="1997" customFormat="1">
      <c r="A60" s="1998" t="s">
        <v>2412</v>
      </c>
      <c r="B60" s="1999" t="e">
        <f t="shared" si="16"/>
        <v>#DIV/0!</v>
      </c>
      <c r="C60" s="50">
        <f t="shared" si="17"/>
        <v>0.25</v>
      </c>
      <c r="D60" s="2000">
        <v>0.25</v>
      </c>
      <c r="E60" s="1994">
        <v>0</v>
      </c>
      <c r="F60" s="1995" t="e">
        <f t="shared" si="15"/>
        <v>#DIV/0!</v>
      </c>
      <c r="G60" s="1996">
        <f>SUMIF(修正!$A$45:$A$56,项目基本情况!$F$9,修正!E45:E56)</f>
        <v>0.25</v>
      </c>
      <c r="H60" s="2001"/>
      <c r="I60" s="1779"/>
      <c r="J60" s="1779"/>
      <c r="K60" s="2975"/>
      <c r="L60" s="2969"/>
      <c r="M60" s="1779"/>
      <c r="N60" s="1779"/>
    </row>
    <row r="61" spans="1:14" s="1997" customFormat="1">
      <c r="A61" s="1998" t="s">
        <v>2413</v>
      </c>
      <c r="B61" s="1999" t="e">
        <f t="shared" si="16"/>
        <v>#DIV/0!</v>
      </c>
      <c r="C61" s="50">
        <f t="shared" si="17"/>
        <v>0.25</v>
      </c>
      <c r="D61" s="2000">
        <v>0.25</v>
      </c>
      <c r="E61" s="1994">
        <v>0</v>
      </c>
      <c r="F61" s="1995" t="e">
        <f t="shared" si="15"/>
        <v>#DIV/0!</v>
      </c>
      <c r="G61" s="1996">
        <f>SUMIF(修正!A45:A56,项目基本情况!F9,修正!F45:F56)</f>
        <v>0.25</v>
      </c>
      <c r="H61" s="2001"/>
      <c r="I61" s="1637"/>
      <c r="J61" s="1875"/>
      <c r="K61" s="1876"/>
      <c r="L61" s="1876"/>
      <c r="M61" s="1637"/>
      <c r="N61" s="1637"/>
    </row>
    <row r="62" spans="1:14" s="1997" customFormat="1">
      <c r="A62" s="1998" t="s">
        <v>2414</v>
      </c>
      <c r="B62" s="1999" t="e">
        <f t="shared" si="16"/>
        <v>#DIV/0!</v>
      </c>
      <c r="C62" s="50">
        <f t="shared" si="17"/>
        <v>0.25</v>
      </c>
      <c r="D62" s="2000">
        <v>0.25</v>
      </c>
      <c r="E62" s="1994">
        <v>0</v>
      </c>
      <c r="F62" s="1995" t="e">
        <f t="shared" si="15"/>
        <v>#DIV/0!</v>
      </c>
      <c r="G62" s="1996">
        <f>SUMIF(修正!A45:A56,项目基本情况!F9,修正!G45:G56)</f>
        <v>0.25</v>
      </c>
      <c r="H62" s="2001"/>
      <c r="I62" s="1779"/>
      <c r="J62" s="1779"/>
      <c r="K62" s="2975"/>
      <c r="L62" s="2969"/>
      <c r="M62" s="1779"/>
      <c r="N62" s="1779"/>
    </row>
    <row r="63" spans="1:14" s="1997" customFormat="1">
      <c r="A63" s="1998" t="s">
        <v>2415</v>
      </c>
      <c r="B63" s="1999" t="e">
        <f t="shared" si="16"/>
        <v>#DIV/0!</v>
      </c>
      <c r="C63" s="50">
        <f>IF($C$55="北京市系数",G63,H63)</f>
        <v>0.2</v>
      </c>
      <c r="D63" s="2000">
        <v>0.25</v>
      </c>
      <c r="E63" s="1994">
        <v>0</v>
      </c>
      <c r="F63" s="1995" t="e">
        <f t="shared" si="15"/>
        <v>#DIV/0!</v>
      </c>
      <c r="G63" s="1996">
        <f>SUMIF(修正!A45:A56,项目基本情况!F9,修正!H45:H56)</f>
        <v>0.2</v>
      </c>
      <c r="H63" s="2001"/>
      <c r="I63" s="1637"/>
      <c r="J63" s="1875"/>
      <c r="K63" s="1876"/>
      <c r="L63" s="1876"/>
      <c r="M63" s="1637"/>
      <c r="N63" s="1637"/>
    </row>
    <row r="64" spans="1:14" s="1997" customFormat="1">
      <c r="A64" s="1998" t="s">
        <v>2416</v>
      </c>
      <c r="B64" s="1999" t="e">
        <f t="shared" si="16"/>
        <v>#DIV/0!</v>
      </c>
      <c r="C64" s="50">
        <f t="shared" si="17"/>
        <v>0.2</v>
      </c>
      <c r="D64" s="2000">
        <v>0.25</v>
      </c>
      <c r="E64" s="1994">
        <v>0</v>
      </c>
      <c r="F64" s="1995" t="e">
        <f t="shared" si="15"/>
        <v>#DIV/0!</v>
      </c>
      <c r="G64" s="1996">
        <f>G63</f>
        <v>0.2</v>
      </c>
      <c r="H64" s="2001"/>
      <c r="I64" s="1779"/>
      <c r="J64" s="1779"/>
      <c r="K64" s="2975"/>
      <c r="L64" s="2969"/>
      <c r="M64" s="1779"/>
      <c r="N64" s="1779"/>
    </row>
    <row r="65" spans="1:17" s="1997" customFormat="1">
      <c r="A65" s="1998" t="s">
        <v>2417</v>
      </c>
      <c r="B65" s="1999" t="e">
        <f t="shared" si="16"/>
        <v>#DIV/0!</v>
      </c>
      <c r="C65" s="50">
        <f t="shared" si="17"/>
        <v>0.2</v>
      </c>
      <c r="D65" s="2000">
        <v>0.25</v>
      </c>
      <c r="E65" s="1994">
        <v>0</v>
      </c>
      <c r="F65" s="1995" t="e">
        <f t="shared" si="15"/>
        <v>#DIV/0!</v>
      </c>
      <c r="G65" s="1996">
        <f>G63</f>
        <v>0.2</v>
      </c>
      <c r="H65" s="2001"/>
      <c r="I65" s="1637"/>
      <c r="J65" s="1875"/>
      <c r="K65" s="1876"/>
      <c r="L65" s="1876"/>
      <c r="M65" s="1637"/>
      <c r="N65" s="1637"/>
    </row>
    <row r="66" spans="1:17" s="1997" customFormat="1" ht="13.5" thickBot="1">
      <c r="A66" s="2002" t="s">
        <v>2418</v>
      </c>
      <c r="B66" s="2003" t="s">
        <v>39</v>
      </c>
      <c r="C66" s="2003" t="s">
        <v>40</v>
      </c>
      <c r="D66" s="2003" t="s">
        <v>36</v>
      </c>
      <c r="E66" s="2003">
        <f>SUM(E56:E65)</f>
        <v>120</v>
      </c>
      <c r="F66" s="2004" t="e">
        <f>SUM(F56:F65)</f>
        <v>#DIV/0!</v>
      </c>
      <c r="G66" s="2005"/>
      <c r="H66" s="2005"/>
      <c r="I66" s="3013"/>
      <c r="J66" s="3013"/>
      <c r="K66" s="3013"/>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2022-2-1</v>
      </c>
      <c r="D68" s="2006">
        <f>EDATE(C68,-3)</f>
        <v>44501</v>
      </c>
      <c r="E68" s="2006">
        <f t="shared" ref="E68:O68" si="18">EDATE(D68,-3)</f>
        <v>44409</v>
      </c>
      <c r="F68" s="2006">
        <f t="shared" si="18"/>
        <v>44317</v>
      </c>
      <c r="G68" s="2006">
        <f t="shared" si="18"/>
        <v>44228</v>
      </c>
      <c r="H68" s="2006">
        <f t="shared" si="18"/>
        <v>44136</v>
      </c>
      <c r="I68" s="2006">
        <f t="shared" si="18"/>
        <v>44044</v>
      </c>
      <c r="J68" s="2006">
        <f t="shared" si="18"/>
        <v>43952</v>
      </c>
      <c r="K68" s="2006">
        <f t="shared" si="18"/>
        <v>43862</v>
      </c>
      <c r="L68" s="2006">
        <f t="shared" si="18"/>
        <v>43770</v>
      </c>
      <c r="M68" s="2006">
        <f t="shared" si="18"/>
        <v>43678</v>
      </c>
      <c r="N68" s="2006">
        <f t="shared" si="18"/>
        <v>43586</v>
      </c>
      <c r="O68" s="2006">
        <f t="shared" si="18"/>
        <v>43497</v>
      </c>
    </row>
    <row r="69" spans="1:17" ht="21.75" thickBot="1">
      <c r="A69" s="1782" t="s">
        <v>2320</v>
      </c>
      <c r="B69" s="1757"/>
      <c r="C69" s="1783"/>
      <c r="D69" s="1783"/>
      <c r="E69" s="1783"/>
      <c r="F69" s="1783"/>
      <c r="G69" s="1783"/>
      <c r="H69" s="1783"/>
      <c r="I69" s="2008"/>
      <c r="J69" s="2008"/>
      <c r="K69" s="2009"/>
      <c r="L69" s="2010"/>
      <c r="M69" s="2008"/>
      <c r="N69" s="2008"/>
      <c r="O69" s="2008"/>
      <c r="P69" s="2011"/>
      <c r="Q69" s="1787"/>
    </row>
    <row r="70" spans="1:17" s="2016" customFormat="1" ht="15">
      <c r="A70" s="2012" t="s">
        <v>2419</v>
      </c>
      <c r="B70" s="2013"/>
      <c r="C70" s="2014" t="str">
        <f>YEAR(C68)&amp;"-"&amp;ROUNDUP(MONTH(C68)/3,0)</f>
        <v>2022-1</v>
      </c>
      <c r="D70" s="2014" t="str">
        <f>YEAR(D68)&amp;"-"&amp;ROUNDUP(MONTH(D68)/3,0)</f>
        <v>2021-4</v>
      </c>
      <c r="E70" s="2014" t="str">
        <f t="shared" ref="E70:O70" si="19">YEAR(E68)&amp;"-"&amp;ROUNDUP(MONTH(E68)/3,0)</f>
        <v>2021-3</v>
      </c>
      <c r="F70" s="2014" t="str">
        <f t="shared" si="19"/>
        <v>2021-2</v>
      </c>
      <c r="G70" s="2014" t="str">
        <f t="shared" si="19"/>
        <v>2021-1</v>
      </c>
      <c r="H70" s="2014" t="str">
        <f t="shared" si="19"/>
        <v>2020-4</v>
      </c>
      <c r="I70" s="2014" t="str">
        <f t="shared" si="19"/>
        <v>2020-3</v>
      </c>
      <c r="J70" s="2014" t="str">
        <f t="shared" si="19"/>
        <v>2020-2</v>
      </c>
      <c r="K70" s="2014" t="str">
        <f t="shared" si="19"/>
        <v>2020-1</v>
      </c>
      <c r="L70" s="2014" t="str">
        <f t="shared" si="19"/>
        <v>2019-4</v>
      </c>
      <c r="M70" s="2014" t="str">
        <f t="shared" si="19"/>
        <v>2019-3</v>
      </c>
      <c r="N70" s="2014" t="str">
        <f t="shared" si="19"/>
        <v>2019-2</v>
      </c>
      <c r="O70" s="2014" t="str">
        <f t="shared" si="19"/>
        <v>2019-1</v>
      </c>
      <c r="P70" s="2015"/>
    </row>
    <row r="71" spans="1:17" s="1655" customFormat="1" ht="29.25" customHeight="1">
      <c r="A71" s="2017" t="s">
        <v>2420</v>
      </c>
      <c r="B71" s="2018" t="str">
        <f>"北京市平均增长率"&amp;TEXT(SUMIF(基准地价修正!N21:N25,A71,基准地价修正!P21:P25),"0.00%")</f>
        <v>北京市平均增长率1.02%</v>
      </c>
      <c r="C71" s="1871">
        <v>100</v>
      </c>
      <c r="D71" s="1867"/>
      <c r="E71" s="1867"/>
      <c r="F71" s="1867"/>
      <c r="G71" s="1867"/>
      <c r="H71" s="1867"/>
      <c r="I71" s="1867"/>
      <c r="J71" s="1867"/>
      <c r="K71" s="1867"/>
      <c r="L71" s="1867"/>
      <c r="M71" s="2019"/>
      <c r="N71" s="1867"/>
      <c r="O71" s="2020"/>
      <c r="P71" s="1787"/>
    </row>
    <row r="72" spans="1:17" s="1655" customFormat="1" ht="15.75" thickBot="1">
      <c r="A72" s="1800" t="s">
        <v>2240</v>
      </c>
      <c r="B72" s="1801"/>
      <c r="C72" s="1802"/>
      <c r="D72" s="1803"/>
      <c r="E72" s="1803"/>
      <c r="F72" s="1803"/>
      <c r="G72" s="1803"/>
      <c r="H72" s="1803"/>
      <c r="I72" s="1803"/>
      <c r="J72" s="1803"/>
      <c r="K72" s="1803"/>
      <c r="L72" s="1803"/>
      <c r="M72" s="1804"/>
      <c r="N72" s="1803"/>
      <c r="O72" s="2021"/>
      <c r="P72" s="1787"/>
      <c r="Q72" s="1787"/>
    </row>
    <row r="73" spans="1:17" s="1655" customFormat="1" ht="15">
      <c r="A73" s="1805" t="s">
        <v>2204</v>
      </c>
      <c r="B73" s="1795"/>
      <c r="C73" s="1806" t="s">
        <v>2205</v>
      </c>
      <c r="D73" s="409"/>
      <c r="E73" s="409"/>
      <c r="F73" s="409"/>
      <c r="G73" s="409"/>
      <c r="H73" s="409"/>
      <c r="I73" s="409"/>
      <c r="J73" s="409"/>
      <c r="K73" s="409"/>
      <c r="L73" s="409"/>
      <c r="M73" s="1807"/>
      <c r="N73" s="2980"/>
      <c r="O73" s="2980"/>
      <c r="P73" s="2022"/>
      <c r="Q73" s="1787"/>
    </row>
    <row r="74" spans="1:17" s="1655" customFormat="1" ht="15.75" thickBot="1">
      <c r="A74" s="1805"/>
      <c r="B74" s="1795"/>
      <c r="C74" s="1796">
        <v>100</v>
      </c>
      <c r="D74" s="1797"/>
      <c r="E74" s="1797"/>
      <c r="F74" s="1797"/>
      <c r="G74" s="1797"/>
      <c r="H74" s="1797"/>
      <c r="I74" s="1797"/>
      <c r="J74" s="1797"/>
      <c r="K74" s="1797"/>
      <c r="L74" s="1797"/>
      <c r="M74" s="1811"/>
      <c r="N74" s="2980"/>
      <c r="O74" s="2980"/>
      <c r="P74" s="1787"/>
      <c r="Q74" s="1787"/>
    </row>
    <row r="75" spans="1:17">
      <c r="A75" s="1812" t="s">
        <v>2243</v>
      </c>
      <c r="B75" s="1813" t="s">
        <v>2208</v>
      </c>
      <c r="C75" s="1815"/>
      <c r="D75" s="1815"/>
      <c r="E75" s="1815"/>
      <c r="F75" s="1815"/>
      <c r="G75" s="1815"/>
      <c r="H75" s="1815"/>
      <c r="I75" s="1815"/>
      <c r="J75" s="1815"/>
      <c r="K75" s="417"/>
      <c r="L75" s="417"/>
      <c r="M75" s="1816"/>
      <c r="N75" s="2981"/>
      <c r="O75" s="2981"/>
      <c r="P75" s="2023"/>
      <c r="Q75" s="1787"/>
    </row>
    <row r="76" spans="1:17" ht="15.75" thickBot="1">
      <c r="A76" s="1819"/>
      <c r="B76" s="1820"/>
      <c r="C76" s="1821"/>
      <c r="D76" s="1821"/>
      <c r="E76" s="1821"/>
      <c r="F76" s="1821"/>
      <c r="G76" s="1821"/>
      <c r="H76" s="1821"/>
      <c r="I76" s="1821"/>
      <c r="J76" s="1821"/>
      <c r="K76" s="1821"/>
      <c r="L76" s="1821"/>
      <c r="M76" s="1822"/>
      <c r="N76" s="2982"/>
      <c r="O76" s="2982"/>
      <c r="P76" s="2023"/>
      <c r="Q76" s="1787"/>
    </row>
    <row r="77" spans="1:17" ht="27.75" thickTop="1">
      <c r="A77" s="1819"/>
      <c r="B77" s="1824" t="s">
        <v>2211</v>
      </c>
      <c r="C77" s="1825"/>
      <c r="D77" s="1825"/>
      <c r="E77" s="1825"/>
      <c r="F77" s="1825"/>
      <c r="G77" s="1825"/>
      <c r="H77" s="1825"/>
      <c r="I77" s="1825"/>
      <c r="J77" s="1825"/>
      <c r="K77" s="428"/>
      <c r="L77" s="428"/>
      <c r="M77" s="1826"/>
      <c r="N77" s="2981"/>
      <c r="O77" s="2981"/>
      <c r="P77" s="2023"/>
      <c r="Q77" s="1787"/>
    </row>
    <row r="78" spans="1:17" ht="15.75" thickBot="1">
      <c r="A78" s="1819"/>
      <c r="B78" s="1827"/>
      <c r="C78" s="1828"/>
      <c r="D78" s="1828"/>
      <c r="E78" s="1828"/>
      <c r="F78" s="1828"/>
      <c r="G78" s="1828"/>
      <c r="H78" s="1828"/>
      <c r="I78" s="1828"/>
      <c r="J78" s="1828"/>
      <c r="K78" s="1828"/>
      <c r="L78" s="1828"/>
      <c r="M78" s="1829"/>
      <c r="N78" s="2982"/>
      <c r="O78" s="2982"/>
      <c r="P78" s="2023"/>
      <c r="Q78" s="1787"/>
    </row>
    <row r="79" spans="1:17" ht="15.75" thickTop="1">
      <c r="A79" s="1819"/>
      <c r="B79" s="1830" t="s">
        <v>2212</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701" t="str">
        <f>M80&amp;"（含）"&amp;"-"&amp;P80</f>
        <v>（含）-</v>
      </c>
      <c r="N79" s="2982"/>
      <c r="O79" s="2982"/>
      <c r="P79" s="2023"/>
      <c r="Q79" s="1787"/>
    </row>
    <row r="80" spans="1:17" ht="15">
      <c r="A80" s="1819"/>
      <c r="B80" s="1832"/>
      <c r="C80" s="1833"/>
      <c r="D80" s="1833"/>
      <c r="E80" s="1833"/>
      <c r="F80" s="1833"/>
      <c r="G80" s="1833"/>
      <c r="H80" s="1833"/>
      <c r="I80" s="1833"/>
      <c r="J80" s="1833"/>
      <c r="K80" s="438"/>
      <c r="L80" s="438"/>
      <c r="M80" s="1834"/>
      <c r="N80" s="2981"/>
      <c r="O80" s="2981"/>
      <c r="P80" s="2023"/>
      <c r="Q80" s="1787"/>
    </row>
    <row r="81" spans="1:17" ht="15.75"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82"/>
      <c r="O81" s="2982"/>
      <c r="P81" s="2023"/>
      <c r="Q81" s="1787"/>
    </row>
    <row r="82" spans="1:17" s="1739" customFormat="1" ht="15.75" thickTop="1">
      <c r="A82" s="1835"/>
      <c r="B82" s="1824" t="str">
        <f>B12</f>
        <v>配建</v>
      </c>
      <c r="C82" s="468"/>
      <c r="D82" s="468"/>
      <c r="E82" s="468"/>
      <c r="F82" s="468"/>
      <c r="G82" s="468"/>
      <c r="H82" s="443"/>
      <c r="I82" s="443"/>
      <c r="J82" s="443"/>
      <c r="K82" s="443"/>
      <c r="L82" s="443"/>
      <c r="M82" s="1836"/>
      <c r="N82" s="2983"/>
      <c r="O82" s="2983"/>
      <c r="P82" s="2024"/>
      <c r="Q82" s="1839"/>
    </row>
    <row r="83" spans="1:17" s="1739" customFormat="1" ht="15.75" thickBot="1">
      <c r="A83" s="1835"/>
      <c r="B83" s="1827"/>
      <c r="C83" s="1840"/>
      <c r="D83" s="1821"/>
      <c r="E83" s="1821"/>
      <c r="F83" s="1821"/>
      <c r="G83" s="1821"/>
      <c r="H83" s="1821"/>
      <c r="I83" s="1821"/>
      <c r="J83" s="1821"/>
      <c r="K83" s="1821"/>
      <c r="L83" s="1821"/>
      <c r="M83" s="1822"/>
      <c r="N83" s="2982"/>
      <c r="O83" s="2982"/>
      <c r="P83" s="2024"/>
      <c r="Q83" s="1839"/>
    </row>
    <row r="84" spans="1:17" s="1739" customFormat="1" ht="15.75" thickTop="1">
      <c r="A84" s="1835"/>
      <c r="B84" s="1824">
        <f>B13</f>
        <v>111</v>
      </c>
      <c r="C84" s="468"/>
      <c r="D84" s="468"/>
      <c r="E84" s="468"/>
      <c r="F84" s="468"/>
      <c r="G84" s="468"/>
      <c r="H84" s="443"/>
      <c r="I84" s="443"/>
      <c r="J84" s="443"/>
      <c r="K84" s="443"/>
      <c r="L84" s="443"/>
      <c r="M84" s="1836"/>
      <c r="N84" s="2983"/>
      <c r="O84" s="2983"/>
      <c r="P84" s="2025"/>
      <c r="Q84" s="1842"/>
    </row>
    <row r="85" spans="1:17" s="1739" customFormat="1" ht="15.75" thickBot="1">
      <c r="A85" s="1835"/>
      <c r="B85" s="1827"/>
      <c r="C85" s="1840"/>
      <c r="D85" s="1840"/>
      <c r="E85" s="1840"/>
      <c r="F85" s="1840"/>
      <c r="G85" s="1840"/>
      <c r="H85" s="1843"/>
      <c r="I85" s="1843"/>
      <c r="J85" s="1843"/>
      <c r="K85" s="1843"/>
      <c r="L85" s="1843"/>
      <c r="M85" s="1844"/>
      <c r="N85" s="2983"/>
      <c r="O85" s="2983"/>
      <c r="P85" s="2024"/>
      <c r="Q85" s="1839"/>
    </row>
    <row r="86" spans="1:17" s="1739" customFormat="1" ht="15.75" thickTop="1">
      <c r="A86" s="1835"/>
      <c r="B86" s="1830">
        <f>B14</f>
        <v>111</v>
      </c>
      <c r="C86" s="409"/>
      <c r="D86" s="409"/>
      <c r="E86" s="409"/>
      <c r="F86" s="409"/>
      <c r="G86" s="409"/>
      <c r="H86" s="453"/>
      <c r="I86" s="453"/>
      <c r="J86" s="453"/>
      <c r="K86" s="453"/>
      <c r="L86" s="453"/>
      <c r="M86" s="1845"/>
      <c r="N86" s="2983"/>
      <c r="O86" s="2983"/>
      <c r="P86" s="2024"/>
      <c r="Q86" s="1839"/>
    </row>
    <row r="87" spans="1:17" s="1739" customFormat="1" ht="15.75" thickBot="1">
      <c r="A87" s="1846"/>
      <c r="B87" s="1847"/>
      <c r="C87" s="1848"/>
      <c r="D87" s="1848"/>
      <c r="E87" s="1848"/>
      <c r="F87" s="1848"/>
      <c r="G87" s="1848"/>
      <c r="H87" s="1849"/>
      <c r="I87" s="1849"/>
      <c r="J87" s="1849"/>
      <c r="K87" s="1849"/>
      <c r="L87" s="1849"/>
      <c r="M87" s="1850"/>
      <c r="N87" s="2983"/>
      <c r="O87" s="2983"/>
      <c r="P87" s="2024"/>
      <c r="Q87" s="1839"/>
    </row>
    <row r="88" spans="1:17">
      <c r="A88" s="1812" t="s">
        <v>2213</v>
      </c>
      <c r="B88" s="1813" t="s">
        <v>2251</v>
      </c>
      <c r="C88" s="1851" t="s">
        <v>2252</v>
      </c>
      <c r="D88" s="1851" t="s">
        <v>2253</v>
      </c>
      <c r="E88" s="1851" t="s">
        <v>2254</v>
      </c>
      <c r="F88" s="1851" t="s">
        <v>2255</v>
      </c>
      <c r="G88" s="1851" t="s">
        <v>2256</v>
      </c>
      <c r="H88" s="1814"/>
      <c r="I88" s="1814"/>
      <c r="J88" s="1814"/>
      <c r="K88" s="463"/>
      <c r="L88" s="463"/>
      <c r="M88" s="1852"/>
      <c r="N88" s="2981"/>
      <c r="O88" s="2981"/>
      <c r="P88" s="2023"/>
      <c r="Q88" s="1787"/>
    </row>
    <row r="89" spans="1:17" ht="15.75" thickBot="1">
      <c r="A89" s="1819"/>
      <c r="B89" s="1827"/>
      <c r="C89" s="1828">
        <v>100</v>
      </c>
      <c r="D89" s="1828">
        <f>C89-$K15</f>
        <v>100</v>
      </c>
      <c r="E89" s="1828">
        <f>D89-$K15</f>
        <v>100</v>
      </c>
      <c r="F89" s="1828">
        <f>E89-$K15</f>
        <v>100</v>
      </c>
      <c r="G89" s="1828">
        <f>F89-$K15</f>
        <v>100</v>
      </c>
      <c r="H89" s="1828"/>
      <c r="I89" s="1828"/>
      <c r="J89" s="1828"/>
      <c r="K89" s="1828"/>
      <c r="L89" s="1828"/>
      <c r="M89" s="1829"/>
      <c r="N89" s="2982"/>
      <c r="O89" s="2982"/>
      <c r="P89" s="2023"/>
      <c r="Q89" s="1787"/>
    </row>
    <row r="90" spans="1:17" ht="15.75" thickTop="1">
      <c r="A90" s="1819"/>
      <c r="B90" s="1824" t="s">
        <v>2421</v>
      </c>
      <c r="C90" s="579" t="s">
        <v>2252</v>
      </c>
      <c r="D90" s="579" t="s">
        <v>2253</v>
      </c>
      <c r="E90" s="579" t="s">
        <v>2254</v>
      </c>
      <c r="F90" s="579" t="s">
        <v>2255</v>
      </c>
      <c r="G90" s="579" t="s">
        <v>2256</v>
      </c>
      <c r="H90" s="1825"/>
      <c r="I90" s="1825"/>
      <c r="J90" s="1825"/>
      <c r="K90" s="428"/>
      <c r="L90" s="428"/>
      <c r="M90" s="1826"/>
      <c r="N90" s="2981"/>
      <c r="O90" s="2981"/>
      <c r="P90" s="2023"/>
      <c r="Q90" s="1787"/>
    </row>
    <row r="91" spans="1:17" ht="15.75" thickBot="1">
      <c r="A91" s="1819"/>
      <c r="B91" s="1827"/>
      <c r="C91" s="1828">
        <v>100</v>
      </c>
      <c r="D91" s="1828">
        <f>C91-$K17</f>
        <v>100</v>
      </c>
      <c r="E91" s="1828">
        <f>D91-$K17</f>
        <v>100</v>
      </c>
      <c r="F91" s="1828">
        <f>E91-$K17</f>
        <v>100</v>
      </c>
      <c r="G91" s="1828">
        <f>F91-$K17</f>
        <v>100</v>
      </c>
      <c r="H91" s="1828"/>
      <c r="I91" s="1828"/>
      <c r="J91" s="1828"/>
      <c r="K91" s="1828"/>
      <c r="L91" s="1828"/>
      <c r="M91" s="1829"/>
      <c r="N91" s="2982"/>
      <c r="O91" s="2982"/>
      <c r="P91" s="2023"/>
      <c r="Q91" s="1787"/>
    </row>
    <row r="92" spans="1:17" ht="15.75" thickTop="1">
      <c r="A92" s="1819"/>
      <c r="B92" s="1824" t="s">
        <v>2339</v>
      </c>
      <c r="C92" s="579" t="s">
        <v>2252</v>
      </c>
      <c r="D92" s="579" t="s">
        <v>2253</v>
      </c>
      <c r="E92" s="579" t="s">
        <v>2254</v>
      </c>
      <c r="F92" s="579" t="s">
        <v>2255</v>
      </c>
      <c r="G92" s="579" t="s">
        <v>2256</v>
      </c>
      <c r="H92" s="1825"/>
      <c r="I92" s="1825"/>
      <c r="J92" s="1825"/>
      <c r="K92" s="428"/>
      <c r="L92" s="428"/>
      <c r="M92" s="1826"/>
      <c r="N92" s="2981"/>
      <c r="O92" s="2981"/>
      <c r="P92" s="2023"/>
      <c r="Q92" s="1787"/>
    </row>
    <row r="93" spans="1:17" ht="15.75" thickBot="1">
      <c r="A93" s="1819"/>
      <c r="B93" s="1827"/>
      <c r="C93" s="1828">
        <v>100</v>
      </c>
      <c r="D93" s="1828">
        <f>C93-$K19</f>
        <v>100</v>
      </c>
      <c r="E93" s="1828">
        <f>D93-$K19</f>
        <v>100</v>
      </c>
      <c r="F93" s="1828">
        <f>E93-$K19</f>
        <v>100</v>
      </c>
      <c r="G93" s="1828">
        <f>F93-$K19</f>
        <v>100</v>
      </c>
      <c r="H93" s="1828"/>
      <c r="I93" s="1828"/>
      <c r="J93" s="1828"/>
      <c r="K93" s="1828"/>
      <c r="L93" s="1828"/>
      <c r="M93" s="1829"/>
      <c r="N93" s="2982"/>
      <c r="O93" s="2982"/>
      <c r="P93" s="2023"/>
      <c r="Q93" s="1787"/>
    </row>
    <row r="94" spans="1:17" ht="15.75" thickTop="1">
      <c r="A94" s="1819"/>
      <c r="B94" s="1824" t="s">
        <v>2257</v>
      </c>
      <c r="C94" s="579" t="s">
        <v>2252</v>
      </c>
      <c r="D94" s="579" t="s">
        <v>2253</v>
      </c>
      <c r="E94" s="579" t="s">
        <v>2254</v>
      </c>
      <c r="F94" s="579" t="s">
        <v>2255</v>
      </c>
      <c r="G94" s="579" t="s">
        <v>2256</v>
      </c>
      <c r="H94" s="1825"/>
      <c r="I94" s="1825"/>
      <c r="J94" s="1825"/>
      <c r="K94" s="428"/>
      <c r="L94" s="428"/>
      <c r="M94" s="1826"/>
      <c r="N94" s="2981"/>
      <c r="O94" s="2981"/>
      <c r="P94" s="2023"/>
      <c r="Q94" s="1787"/>
    </row>
    <row r="95" spans="1:17" ht="15.75" thickBot="1">
      <c r="A95" s="1819"/>
      <c r="B95" s="1827"/>
      <c r="C95" s="1828">
        <v>100</v>
      </c>
      <c r="D95" s="1828">
        <f>C95-$K21</f>
        <v>100</v>
      </c>
      <c r="E95" s="1828">
        <f>D95-$K21</f>
        <v>100</v>
      </c>
      <c r="F95" s="1828">
        <f>E95-$K21</f>
        <v>100</v>
      </c>
      <c r="G95" s="1828">
        <f>F95-$K21</f>
        <v>100</v>
      </c>
      <c r="H95" s="1828"/>
      <c r="I95" s="1828"/>
      <c r="J95" s="1828"/>
      <c r="K95" s="1828"/>
      <c r="L95" s="1828"/>
      <c r="M95" s="1829"/>
      <c r="N95" s="2982"/>
      <c r="O95" s="2982"/>
      <c r="P95" s="2023"/>
      <c r="Q95" s="1787"/>
    </row>
    <row r="96" spans="1:17" s="1655" customFormat="1" ht="15.75" thickTop="1">
      <c r="A96" s="1855"/>
      <c r="B96" s="1824" t="s">
        <v>2422</v>
      </c>
      <c r="C96" s="579" t="s">
        <v>2252</v>
      </c>
      <c r="D96" s="579" t="s">
        <v>2253</v>
      </c>
      <c r="E96" s="579" t="s">
        <v>2254</v>
      </c>
      <c r="F96" s="579" t="s">
        <v>2255</v>
      </c>
      <c r="G96" s="579" t="s">
        <v>2256</v>
      </c>
      <c r="H96" s="579"/>
      <c r="I96" s="579"/>
      <c r="J96" s="579"/>
      <c r="K96" s="579"/>
      <c r="L96" s="579"/>
      <c r="M96" s="2026"/>
      <c r="N96" s="2980"/>
      <c r="O96" s="2980"/>
      <c r="P96" s="2023"/>
      <c r="Q96" s="1787"/>
    </row>
    <row r="97" spans="1:17" s="1655" customFormat="1" ht="15.75" thickBot="1">
      <c r="A97" s="1855"/>
      <c r="B97" s="1827"/>
      <c r="C97" s="1857">
        <v>100</v>
      </c>
      <c r="D97" s="1828">
        <f>C97-$K23</f>
        <v>100</v>
      </c>
      <c r="E97" s="1828">
        <f>D97-$K23</f>
        <v>100</v>
      </c>
      <c r="F97" s="1828">
        <f>E97-$K23</f>
        <v>100</v>
      </c>
      <c r="G97" s="1828">
        <f>F97-$K23</f>
        <v>100</v>
      </c>
      <c r="H97" s="1828"/>
      <c r="I97" s="1828"/>
      <c r="J97" s="1828"/>
      <c r="K97" s="1828"/>
      <c r="L97" s="1828"/>
      <c r="M97" s="1829"/>
      <c r="N97" s="2982"/>
      <c r="O97" s="2982"/>
      <c r="P97" s="2023"/>
      <c r="Q97" s="1787"/>
    </row>
    <row r="98" spans="1:17" s="1655" customFormat="1" ht="27.75" thickTop="1">
      <c r="A98" s="1855"/>
      <c r="B98" s="1824" t="s">
        <v>2423</v>
      </c>
      <c r="C98" s="1851" t="s">
        <v>2252</v>
      </c>
      <c r="D98" s="1851" t="s">
        <v>2253</v>
      </c>
      <c r="E98" s="1851" t="s">
        <v>2254</v>
      </c>
      <c r="F98" s="1851" t="s">
        <v>2255</v>
      </c>
      <c r="G98" s="1851" t="s">
        <v>2256</v>
      </c>
      <c r="H98" s="579"/>
      <c r="I98" s="579"/>
      <c r="J98" s="579"/>
      <c r="K98" s="579"/>
      <c r="L98" s="579"/>
      <c r="M98" s="2026"/>
      <c r="N98" s="2980"/>
      <c r="O98" s="2980"/>
      <c r="P98" s="2023"/>
      <c r="Q98" s="1787"/>
    </row>
    <row r="99" spans="1:17" s="1655" customFormat="1" ht="15.75" thickBot="1">
      <c r="A99" s="1855"/>
      <c r="B99" s="1827"/>
      <c r="C99" s="1828">
        <v>100</v>
      </c>
      <c r="D99" s="1828">
        <f>C99-$K25</f>
        <v>100</v>
      </c>
      <c r="E99" s="1828">
        <f>D99-$K25</f>
        <v>100</v>
      </c>
      <c r="F99" s="1828">
        <f>E99-$K25</f>
        <v>100</v>
      </c>
      <c r="G99" s="1828">
        <f>F99-$K25</f>
        <v>100</v>
      </c>
      <c r="H99" s="1828"/>
      <c r="I99" s="1828"/>
      <c r="J99" s="1828"/>
      <c r="K99" s="1828"/>
      <c r="L99" s="1828"/>
      <c r="M99" s="1829"/>
      <c r="N99" s="2982"/>
      <c r="O99" s="2982"/>
      <c r="P99" s="2023"/>
      <c r="Q99" s="1787"/>
    </row>
    <row r="100" spans="1:17" s="1655" customFormat="1" ht="15.75" thickTop="1">
      <c r="A100" s="1855"/>
      <c r="B100" s="1830" t="s">
        <v>2300</v>
      </c>
      <c r="C100" s="1851" t="s">
        <v>2252</v>
      </c>
      <c r="D100" s="1851" t="s">
        <v>2253</v>
      </c>
      <c r="E100" s="1851" t="s">
        <v>2254</v>
      </c>
      <c r="F100" s="1851" t="s">
        <v>2255</v>
      </c>
      <c r="G100" s="1851" t="s">
        <v>2256</v>
      </c>
      <c r="H100" s="1825"/>
      <c r="I100" s="1825"/>
      <c r="J100" s="1825"/>
      <c r="K100" s="1825"/>
      <c r="L100" s="1825"/>
      <c r="M100" s="1853"/>
      <c r="N100" s="2982"/>
      <c r="O100" s="2982"/>
      <c r="P100" s="2023"/>
      <c r="Q100" s="1787"/>
    </row>
    <row r="101" spans="1:17" s="1655" customFormat="1" ht="15.75" thickBot="1">
      <c r="A101" s="1855"/>
      <c r="B101" s="1830"/>
      <c r="C101" s="1828">
        <v>100</v>
      </c>
      <c r="D101" s="1828">
        <f>C101-$K27</f>
        <v>100</v>
      </c>
      <c r="E101" s="1828">
        <f>D101-$K27</f>
        <v>100</v>
      </c>
      <c r="F101" s="1828">
        <f>E101-$K27</f>
        <v>100</v>
      </c>
      <c r="G101" s="1828">
        <f>F101-$K27</f>
        <v>100</v>
      </c>
      <c r="H101" s="1854"/>
      <c r="I101" s="1854"/>
      <c r="J101" s="1854"/>
      <c r="K101" s="1854"/>
      <c r="L101" s="1854"/>
      <c r="M101" s="1705"/>
      <c r="N101" s="2982"/>
      <c r="O101" s="2982"/>
      <c r="P101" s="2023"/>
      <c r="Q101" s="1787"/>
    </row>
    <row r="102" spans="1:17" s="1739" customFormat="1" ht="15.75" thickTop="1">
      <c r="A102" s="1835"/>
      <c r="B102" s="1824" t="s">
        <v>2301</v>
      </c>
      <c r="C102" s="1825" t="s">
        <v>2259</v>
      </c>
      <c r="D102" s="1825" t="s">
        <v>2260</v>
      </c>
      <c r="E102" s="1825" t="s">
        <v>2261</v>
      </c>
      <c r="F102" s="1825" t="s">
        <v>2262</v>
      </c>
      <c r="G102" s="1825" t="s">
        <v>2263</v>
      </c>
      <c r="H102" s="489"/>
      <c r="I102" s="489"/>
      <c r="J102" s="489"/>
      <c r="K102" s="489"/>
      <c r="L102" s="489"/>
      <c r="M102" s="1870"/>
      <c r="N102" s="2983"/>
      <c r="O102" s="2983"/>
      <c r="P102" s="2024"/>
      <c r="Q102" s="1839"/>
    </row>
    <row r="103" spans="1:17" s="1739" customFormat="1" ht="15.75"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83"/>
      <c r="O103" s="2983"/>
      <c r="P103" s="2024"/>
      <c r="Q103" s="1839"/>
    </row>
    <row r="104" spans="1:17" ht="15.75" thickTop="1">
      <c r="A104" s="1819"/>
      <c r="B104" s="1824" t="str">
        <f>B31</f>
        <v>临街状况</v>
      </c>
      <c r="C104" s="1825" t="s">
        <v>2424</v>
      </c>
      <c r="D104" s="1825" t="s">
        <v>2425</v>
      </c>
      <c r="E104" s="1825" t="s">
        <v>2426</v>
      </c>
      <c r="F104" s="1825" t="s">
        <v>2427</v>
      </c>
      <c r="G104" s="1825"/>
      <c r="H104" s="1825"/>
      <c r="I104" s="1825"/>
      <c r="J104" s="1825"/>
      <c r="K104" s="428"/>
      <c r="L104" s="428"/>
      <c r="M104" s="1826"/>
      <c r="N104" s="2981"/>
      <c r="O104" s="2981"/>
      <c r="P104" s="2023"/>
      <c r="Q104" s="1787"/>
    </row>
    <row r="105" spans="1:17" ht="15.75"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82"/>
      <c r="O105" s="2982"/>
      <c r="P105" s="2023"/>
      <c r="Q105" s="1787"/>
    </row>
    <row r="106" spans="1:17" ht="27.75" thickTop="1">
      <c r="A106" s="1819"/>
      <c r="B106" s="1824" t="s">
        <v>2332</v>
      </c>
      <c r="C106" s="468"/>
      <c r="D106" s="468"/>
      <c r="E106" s="468"/>
      <c r="F106" s="468"/>
      <c r="G106" s="468"/>
      <c r="H106" s="1548"/>
      <c r="I106" s="1548"/>
      <c r="J106" s="1548"/>
      <c r="K106" s="473"/>
      <c r="L106" s="473"/>
      <c r="M106" s="1859"/>
      <c r="N106" s="2981"/>
      <c r="O106" s="2981"/>
      <c r="P106" s="2023"/>
      <c r="Q106" s="1787"/>
    </row>
    <row r="107" spans="1:17" ht="15.75"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82"/>
      <c r="O107" s="2982"/>
      <c r="P107" s="2023"/>
      <c r="Q107" s="1787"/>
    </row>
    <row r="108" spans="1:17" ht="15.75" thickTop="1">
      <c r="A108" s="1819"/>
      <c r="B108" s="1824" t="s">
        <v>2393</v>
      </c>
      <c r="C108" s="1548"/>
      <c r="D108" s="1548"/>
      <c r="E108" s="1548"/>
      <c r="F108" s="1548"/>
      <c r="G108" s="1548"/>
      <c r="H108" s="1548"/>
      <c r="I108" s="1548"/>
      <c r="J108" s="1548"/>
      <c r="K108" s="473"/>
      <c r="L108" s="473"/>
      <c r="M108" s="1859"/>
      <c r="N108" s="2981"/>
      <c r="O108" s="2981"/>
      <c r="P108" s="2023"/>
      <c r="Q108" s="1787"/>
    </row>
    <row r="109" spans="1:17" ht="15.75"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82"/>
      <c r="O109" s="2982"/>
      <c r="P109" s="2023"/>
      <c r="Q109" s="1787"/>
    </row>
    <row r="110" spans="1:17" ht="15.75" thickTop="1">
      <c r="A110" s="1819"/>
      <c r="B110" s="1830">
        <f>B35</f>
        <v>111</v>
      </c>
      <c r="C110" s="468"/>
      <c r="D110" s="468"/>
      <c r="E110" s="468"/>
      <c r="F110" s="468"/>
      <c r="G110" s="1860"/>
      <c r="H110" s="1860"/>
      <c r="I110" s="1860"/>
      <c r="J110" s="1860"/>
      <c r="K110" s="477"/>
      <c r="L110" s="477"/>
      <c r="M110" s="1861"/>
      <c r="N110" s="2981"/>
      <c r="O110" s="2981"/>
      <c r="P110" s="2023"/>
      <c r="Q110" s="1787"/>
    </row>
    <row r="111" spans="1:17" ht="15.75" thickBot="1">
      <c r="A111" s="1819"/>
      <c r="B111" s="1847"/>
      <c r="C111" s="1840"/>
      <c r="D111" s="1840"/>
      <c r="E111" s="1840"/>
      <c r="F111" s="1840"/>
      <c r="G111" s="1863"/>
      <c r="H111" s="1863"/>
      <c r="I111" s="1863"/>
      <c r="J111" s="1863"/>
      <c r="K111" s="1863"/>
      <c r="L111" s="1863"/>
      <c r="M111" s="1864"/>
      <c r="N111" s="2982"/>
      <c r="O111" s="2982"/>
      <c r="P111" s="2023"/>
      <c r="Q111" s="1787"/>
    </row>
    <row r="112" spans="1:17" ht="15" thickTop="1">
      <c r="A112" s="1960"/>
      <c r="B112" s="1824">
        <f>B36</f>
        <v>111</v>
      </c>
      <c r="C112" s="409"/>
      <c r="D112" s="409"/>
      <c r="E112" s="409"/>
      <c r="F112" s="409"/>
      <c r="G112" s="1548"/>
      <c r="H112" s="1548"/>
      <c r="I112" s="1548"/>
      <c r="J112" s="1548"/>
      <c r="K112" s="473"/>
      <c r="L112" s="473"/>
      <c r="M112" s="1859"/>
      <c r="N112" s="2981"/>
      <c r="O112" s="2981"/>
      <c r="P112" s="2023"/>
      <c r="Q112" s="1787"/>
    </row>
    <row r="113" spans="1:17" ht="15.75" thickBot="1">
      <c r="A113" s="1819"/>
      <c r="B113" s="1827"/>
      <c r="C113" s="1848"/>
      <c r="D113" s="1848"/>
      <c r="E113" s="1848"/>
      <c r="F113" s="1848"/>
      <c r="G113" s="1821"/>
      <c r="H113" s="1821"/>
      <c r="I113" s="1821"/>
      <c r="J113" s="1821"/>
      <c r="K113" s="1821"/>
      <c r="L113" s="1821"/>
      <c r="M113" s="1822"/>
      <c r="N113" s="2982"/>
      <c r="O113" s="2982"/>
      <c r="P113" s="2023"/>
      <c r="Q113" s="1787"/>
    </row>
    <row r="114" spans="1:17" s="1739" customFormat="1" ht="15" thickTop="1">
      <c r="A114" s="1865"/>
      <c r="B114" s="1866">
        <f>B37</f>
        <v>111</v>
      </c>
      <c r="C114" s="1867"/>
      <c r="D114" s="1867"/>
      <c r="E114" s="1867"/>
      <c r="F114" s="1867"/>
      <c r="G114" s="1867"/>
      <c r="H114" s="1867"/>
      <c r="I114" s="1867"/>
      <c r="J114" s="485"/>
      <c r="K114" s="485"/>
      <c r="L114" s="485"/>
      <c r="M114" s="1868"/>
      <c r="N114" s="2983"/>
      <c r="O114" s="2983"/>
      <c r="P114" s="2024"/>
      <c r="Q114" s="1839"/>
    </row>
    <row r="115" spans="1:17" s="1739" customFormat="1" ht="15.75" thickBot="1">
      <c r="A115" s="1835"/>
      <c r="B115" s="1830"/>
      <c r="C115" s="1797"/>
      <c r="D115" s="2027"/>
      <c r="E115" s="2027"/>
      <c r="F115" s="2027"/>
      <c r="G115" s="2027"/>
      <c r="H115" s="2027"/>
      <c r="I115" s="2027"/>
      <c r="J115" s="2027"/>
      <c r="K115" s="2027"/>
      <c r="L115" s="2027"/>
      <c r="M115" s="2028"/>
      <c r="N115" s="2982"/>
      <c r="O115" s="2982"/>
      <c r="P115" s="2024"/>
      <c r="Q115" s="1839"/>
    </row>
    <row r="116" spans="1:17">
      <c r="A116" s="1812" t="s">
        <v>2218</v>
      </c>
      <c r="B116" s="1813"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29" t="str">
        <f>M117&amp;"(含)"&amp;"-"&amp;P117</f>
        <v>(含)-</v>
      </c>
      <c r="N116" s="2981"/>
      <c r="O116" s="2981"/>
      <c r="P116" s="2023"/>
      <c r="Q116" s="1787"/>
    </row>
    <row r="117" spans="1:17" ht="15">
      <c r="A117" s="1819"/>
      <c r="B117" s="1830"/>
      <c r="C117" s="1867"/>
      <c r="D117" s="1867"/>
      <c r="E117" s="1867"/>
      <c r="F117" s="1867"/>
      <c r="G117" s="1867"/>
      <c r="H117" s="1867"/>
      <c r="I117" s="1867"/>
      <c r="J117" s="485"/>
      <c r="K117" s="485"/>
      <c r="L117" s="485"/>
      <c r="M117" s="1868"/>
      <c r="N117" s="2981"/>
      <c r="O117" s="2981"/>
      <c r="P117" s="2023"/>
      <c r="Q117" s="1787"/>
    </row>
    <row r="118" spans="1:17" ht="15.75" thickBot="1">
      <c r="A118" s="1819"/>
      <c r="B118" s="1827"/>
      <c r="C118" s="1848"/>
      <c r="D118" s="1863"/>
      <c r="E118" s="1863"/>
      <c r="F118" s="1863"/>
      <c r="G118" s="1863"/>
      <c r="H118" s="1863"/>
      <c r="I118" s="1863"/>
      <c r="J118" s="1863"/>
      <c r="K118" s="1863"/>
      <c r="L118" s="1863"/>
      <c r="M118" s="1864"/>
      <c r="N118" s="2982"/>
      <c r="O118" s="2982"/>
      <c r="P118" s="2023"/>
      <c r="Q118" s="1787"/>
    </row>
    <row r="119" spans="1:17" ht="15" thickTop="1">
      <c r="A119" s="1869"/>
      <c r="B119" s="1824" t="s">
        <v>2429</v>
      </c>
      <c r="C119" s="1548"/>
      <c r="D119" s="1548"/>
      <c r="E119" s="1548"/>
      <c r="F119" s="1548"/>
      <c r="G119" s="1548"/>
      <c r="H119" s="1548"/>
      <c r="I119" s="1548"/>
      <c r="J119" s="1548"/>
      <c r="K119" s="473"/>
      <c r="L119" s="473"/>
      <c r="M119" s="1859"/>
      <c r="N119" s="2981"/>
      <c r="O119" s="2981"/>
      <c r="P119" s="2023"/>
      <c r="Q119" s="1787"/>
    </row>
    <row r="120" spans="1:17" ht="15.75"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82"/>
      <c r="O120" s="2982"/>
      <c r="P120" s="2023"/>
      <c r="Q120" s="1787"/>
    </row>
    <row r="121" spans="1:17" ht="15" thickTop="1">
      <c r="A121" s="1869"/>
      <c r="B121" s="1824" t="s">
        <v>2430</v>
      </c>
      <c r="C121" s="468"/>
      <c r="D121" s="468"/>
      <c r="E121" s="468"/>
      <c r="F121" s="1548"/>
      <c r="G121" s="1548"/>
      <c r="H121" s="1548"/>
      <c r="I121" s="1548"/>
      <c r="J121" s="1548"/>
      <c r="K121" s="473"/>
      <c r="L121" s="473"/>
      <c r="M121" s="1859"/>
      <c r="N121" s="2981"/>
      <c r="O121" s="2981"/>
      <c r="P121" s="2023"/>
      <c r="Q121" s="1787"/>
    </row>
    <row r="122" spans="1:17" ht="15.75"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82"/>
      <c r="O122" s="2982"/>
      <c r="P122" s="2023"/>
      <c r="Q122" s="1787"/>
    </row>
    <row r="123" spans="1:17" s="1739" customFormat="1" ht="15" thickTop="1">
      <c r="A123" s="1865"/>
      <c r="B123" s="1824" t="s">
        <v>2431</v>
      </c>
      <c r="C123" s="468"/>
      <c r="D123" s="468"/>
      <c r="E123" s="468"/>
      <c r="F123" s="468"/>
      <c r="G123" s="468"/>
      <c r="H123" s="1548"/>
      <c r="I123" s="1548"/>
      <c r="J123" s="1548"/>
      <c r="K123" s="473"/>
      <c r="L123" s="473"/>
      <c r="M123" s="1859"/>
      <c r="N123" s="2983"/>
      <c r="O123" s="2983"/>
      <c r="P123" s="2024"/>
      <c r="Q123" s="1839"/>
    </row>
    <row r="124" spans="1:17" s="1739" customFormat="1" ht="15.75"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83"/>
      <c r="O124" s="2983"/>
      <c r="P124" s="2024"/>
      <c r="Q124" s="1839"/>
    </row>
    <row r="125" spans="1:17" ht="15" thickTop="1">
      <c r="A125" s="1869"/>
      <c r="B125" s="1824" t="s">
        <v>2432</v>
      </c>
      <c r="C125" s="468"/>
      <c r="D125" s="468"/>
      <c r="E125" s="1548"/>
      <c r="F125" s="1548"/>
      <c r="G125" s="1548"/>
      <c r="H125" s="1548"/>
      <c r="I125" s="1548"/>
      <c r="J125" s="1548"/>
      <c r="K125" s="473"/>
      <c r="L125" s="473"/>
      <c r="M125" s="1859"/>
      <c r="N125" s="2981"/>
      <c r="O125" s="2981"/>
      <c r="P125" s="2023"/>
      <c r="Q125" s="1787"/>
    </row>
    <row r="126" spans="1:17" ht="15.75"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82"/>
      <c r="O126" s="2982"/>
      <c r="P126" s="2023"/>
      <c r="Q126" s="1787"/>
    </row>
    <row r="127" spans="1:17" ht="15" thickTop="1">
      <c r="A127" s="1869"/>
      <c r="B127" s="1824">
        <f>B43</f>
        <v>111</v>
      </c>
      <c r="C127" s="468"/>
      <c r="D127" s="468"/>
      <c r="E127" s="468"/>
      <c r="F127" s="468"/>
      <c r="G127" s="468"/>
      <c r="H127" s="1548"/>
      <c r="I127" s="1548"/>
      <c r="J127" s="1548"/>
      <c r="K127" s="473"/>
      <c r="L127" s="473"/>
      <c r="M127" s="1859"/>
      <c r="N127" s="2981"/>
      <c r="O127" s="2981"/>
      <c r="P127" s="2023"/>
      <c r="Q127" s="1787"/>
    </row>
    <row r="128" spans="1:17" ht="15.75" thickBot="1">
      <c r="A128" s="1819"/>
      <c r="B128" s="1827"/>
      <c r="C128" s="1840"/>
      <c r="D128" s="1840"/>
      <c r="E128" s="1840"/>
      <c r="F128" s="1840"/>
      <c r="G128" s="1821"/>
      <c r="H128" s="1821"/>
      <c r="I128" s="1821"/>
      <c r="J128" s="1821"/>
      <c r="K128" s="1821"/>
      <c r="L128" s="1821"/>
      <c r="M128" s="1822"/>
      <c r="N128" s="2982"/>
      <c r="O128" s="2982"/>
      <c r="P128" s="2023"/>
      <c r="Q128" s="1787"/>
    </row>
    <row r="129" spans="1:17" ht="15" thickTop="1">
      <c r="A129" s="1869"/>
      <c r="B129" s="1824">
        <f>B44</f>
        <v>111</v>
      </c>
      <c r="C129" s="409"/>
      <c r="D129" s="409"/>
      <c r="E129" s="409"/>
      <c r="F129" s="409"/>
      <c r="G129" s="1548"/>
      <c r="H129" s="1548"/>
      <c r="I129" s="1548"/>
      <c r="J129" s="1548"/>
      <c r="K129" s="473"/>
      <c r="L129" s="473"/>
      <c r="M129" s="1859"/>
      <c r="N129" s="2981"/>
      <c r="O129" s="2981"/>
      <c r="P129" s="2023"/>
      <c r="Q129" s="1787"/>
    </row>
    <row r="130" spans="1:17" ht="15.75" thickBot="1">
      <c r="A130" s="1819"/>
      <c r="B130" s="1827"/>
      <c r="C130" s="1848"/>
      <c r="D130" s="1848"/>
      <c r="E130" s="1848"/>
      <c r="F130" s="1848"/>
      <c r="G130" s="1821"/>
      <c r="H130" s="1821"/>
      <c r="I130" s="1821"/>
      <c r="J130" s="1821"/>
      <c r="K130" s="1821"/>
      <c r="L130" s="1821"/>
      <c r="M130" s="1822"/>
      <c r="N130" s="2982"/>
      <c r="O130" s="2982"/>
      <c r="P130" s="2023"/>
      <c r="Q130" s="1787"/>
    </row>
    <row r="131" spans="1:17" s="1739" customFormat="1" ht="15" thickTop="1">
      <c r="A131" s="1865"/>
      <c r="B131" s="1824">
        <f>B45</f>
        <v>111</v>
      </c>
      <c r="C131" s="409"/>
      <c r="D131" s="409"/>
      <c r="E131" s="409"/>
      <c r="F131" s="409"/>
      <c r="G131" s="443"/>
      <c r="H131" s="443"/>
      <c r="I131" s="443"/>
      <c r="J131" s="443"/>
      <c r="K131" s="443"/>
      <c r="L131" s="443"/>
      <c r="M131" s="1836"/>
      <c r="N131" s="2983"/>
      <c r="O131" s="2983"/>
      <c r="P131" s="2024"/>
      <c r="Q131" s="1839"/>
    </row>
    <row r="132" spans="1:17" s="1739" customFormat="1" ht="15.75" thickBot="1">
      <c r="A132" s="1846"/>
      <c r="B132" s="2030"/>
      <c r="C132" s="1848"/>
      <c r="D132" s="1848"/>
      <c r="E132" s="1848"/>
      <c r="F132" s="1848"/>
      <c r="G132" s="1863"/>
      <c r="H132" s="1863"/>
      <c r="I132" s="1863"/>
      <c r="J132" s="1863"/>
      <c r="K132" s="1863"/>
      <c r="L132" s="1863"/>
      <c r="M132" s="1864"/>
      <c r="N132" s="2983"/>
      <c r="O132" s="2983"/>
      <c r="P132" s="2024"/>
      <c r="Q132" s="183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5">
      <c r="A4" s="294" t="s">
        <v>2189</v>
      </c>
      <c r="B4" s="295"/>
      <c r="C4" s="3678" t="s">
        <v>2190</v>
      </c>
      <c r="D4" s="3679"/>
      <c r="E4" s="3680" t="s">
        <v>2191</v>
      </c>
      <c r="F4" s="3681"/>
      <c r="G4" s="3678" t="s">
        <v>2192</v>
      </c>
      <c r="H4" s="3679"/>
      <c r="I4" s="3678" t="s">
        <v>2193</v>
      </c>
      <c r="J4" s="3679"/>
      <c r="K4" s="496" t="s">
        <v>2194</v>
      </c>
      <c r="L4" s="2990"/>
      <c r="M4" s="2991"/>
      <c r="N4" s="2991"/>
      <c r="O4" s="2991"/>
      <c r="P4" s="3682" t="s">
        <v>2195</v>
      </c>
      <c r="Q4" s="3683"/>
      <c r="R4" s="3665" t="s">
        <v>2191</v>
      </c>
      <c r="S4" s="3666"/>
      <c r="T4" s="3665" t="s">
        <v>2192</v>
      </c>
      <c r="U4" s="3666"/>
      <c r="V4" s="3688" t="s">
        <v>2193</v>
      </c>
      <c r="W4" s="3688"/>
      <c r="X4" s="1305"/>
      <c r="Y4" s="3665" t="s">
        <v>2195</v>
      </c>
      <c r="Z4" s="3666"/>
      <c r="AA4" s="3675" t="s">
        <v>2191</v>
      </c>
      <c r="AB4" s="3676" t="s">
        <v>2192</v>
      </c>
      <c r="AC4" s="3675" t="s">
        <v>2193</v>
      </c>
    </row>
    <row r="5" spans="1:29" ht="15">
      <c r="A5" s="297"/>
      <c r="B5" s="298"/>
      <c r="C5" s="3691" t="s">
        <v>2196</v>
      </c>
      <c r="D5" s="3692"/>
      <c r="E5" s="3689" t="s">
        <v>2197</v>
      </c>
      <c r="F5" s="3690"/>
      <c r="G5" s="3691" t="s">
        <v>2198</v>
      </c>
      <c r="H5" s="3692"/>
      <c r="I5" s="3691" t="s">
        <v>2199</v>
      </c>
      <c r="J5" s="3692"/>
      <c r="K5" s="496"/>
      <c r="L5" s="2990"/>
      <c r="M5" s="2991"/>
      <c r="N5" s="2991"/>
      <c r="O5" s="2991"/>
      <c r="P5" s="3684"/>
      <c r="Q5" s="3685"/>
      <c r="R5" s="3667"/>
      <c r="S5" s="3668"/>
      <c r="T5" s="3667"/>
      <c r="U5" s="3668"/>
      <c r="V5" s="3688"/>
      <c r="W5" s="3688"/>
      <c r="X5" s="1305"/>
      <c r="Y5" s="3667"/>
      <c r="Z5" s="3668"/>
      <c r="AA5" s="3676"/>
      <c r="AB5" s="3676"/>
      <c r="AC5" s="3676"/>
    </row>
    <row r="6" spans="1:29" ht="15.75" thickBot="1">
      <c r="A6" s="299"/>
      <c r="B6" s="300"/>
      <c r="C6" s="3693" t="s">
        <v>2200</v>
      </c>
      <c r="D6" s="3694"/>
      <c r="E6" s="3695" t="s">
        <v>2200</v>
      </c>
      <c r="F6" s="3696"/>
      <c r="G6" s="3693" t="s">
        <v>2200</v>
      </c>
      <c r="H6" s="3694"/>
      <c r="I6" s="3693" t="s">
        <v>2200</v>
      </c>
      <c r="J6" s="3694"/>
      <c r="K6" s="496" t="s">
        <v>2201</v>
      </c>
      <c r="L6" s="2990"/>
      <c r="M6" s="2991"/>
      <c r="N6" s="2991"/>
      <c r="O6" s="2991"/>
      <c r="P6" s="3686"/>
      <c r="Q6" s="3687"/>
      <c r="R6" s="3667"/>
      <c r="S6" s="3668"/>
      <c r="T6" s="3669"/>
      <c r="U6" s="3670"/>
      <c r="V6" s="3688"/>
      <c r="W6" s="3688"/>
      <c r="X6" s="1305"/>
      <c r="Y6" s="3669"/>
      <c r="Z6" s="3670"/>
      <c r="AA6" s="3677"/>
      <c r="AB6" s="3677"/>
      <c r="AC6" s="3677"/>
    </row>
    <row r="7" spans="1:29" s="25" customFormat="1" ht="15.75" thickBot="1">
      <c r="A7" s="301" t="s">
        <v>2202</v>
      </c>
      <c r="B7" s="302"/>
      <c r="C7" s="303">
        <f>'数据-取费表'!B2</f>
        <v>44616</v>
      </c>
      <c r="D7" s="304">
        <v>100</v>
      </c>
      <c r="E7" s="305"/>
      <c r="F7" s="306">
        <f>SUMIF(65:65,YEAR(E7)&amp;"-"&amp;INT((MONTH(E7)+2)/3),66:66)</f>
        <v>0</v>
      </c>
      <c r="G7" s="1545"/>
      <c r="H7" s="304">
        <f>SUMIF(65:65,YEAR(G7)&amp;"-"&amp;INT((MONTH(G7)+2)/3),66:66)</f>
        <v>0</v>
      </c>
      <c r="I7" s="1545"/>
      <c r="J7" s="304">
        <f>SUMIF(65:65,YEAR(I7)&amp;"-"&amp;INT((MONTH(I7)+2)/3),66:66)</f>
        <v>0</v>
      </c>
      <c r="K7" s="497"/>
      <c r="L7" s="2992"/>
      <c r="M7" s="2993"/>
      <c r="N7" s="2993"/>
      <c r="O7" s="2993"/>
      <c r="P7" s="3663" t="s">
        <v>2203</v>
      </c>
      <c r="Q7" s="3671"/>
      <c r="R7" s="627" t="s">
        <v>25</v>
      </c>
      <c r="S7" s="628">
        <f t="shared" ref="S7:S15" si="0">F7</f>
        <v>0</v>
      </c>
      <c r="T7" s="627" t="s">
        <v>25</v>
      </c>
      <c r="U7" s="628">
        <f t="shared" ref="U7:U15" si="1">H7</f>
        <v>0</v>
      </c>
      <c r="V7" s="627" t="s">
        <v>25</v>
      </c>
      <c r="W7" s="628">
        <f t="shared" ref="W7:W15" si="2">J7</f>
        <v>0</v>
      </c>
      <c r="X7" s="629"/>
      <c r="Y7" s="3663" t="s">
        <v>2203</v>
      </c>
      <c r="Z7" s="3664"/>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63" t="s">
        <v>2206</v>
      </c>
      <c r="Q8" s="3664"/>
      <c r="R8" s="627" t="s">
        <v>25</v>
      </c>
      <c r="S8" s="628">
        <f t="shared" si="0"/>
        <v>0</v>
      </c>
      <c r="T8" s="627" t="s">
        <v>25</v>
      </c>
      <c r="U8" s="628">
        <f t="shared" si="1"/>
        <v>0</v>
      </c>
      <c r="V8" s="627" t="s">
        <v>25</v>
      </c>
      <c r="W8" s="628">
        <f t="shared" si="2"/>
        <v>0</v>
      </c>
      <c r="X8" s="629"/>
      <c r="Y8" s="3663" t="s">
        <v>2206</v>
      </c>
      <c r="Z8" s="3664"/>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2"/>
      <c r="M9" s="2993"/>
      <c r="N9" s="2993"/>
      <c r="O9" s="2994"/>
      <c r="P9" s="3655" t="s">
        <v>2209</v>
      </c>
      <c r="Q9" s="1297" t="str">
        <f t="shared" ref="Q9:Q15" si="6">B9</f>
        <v>用途</v>
      </c>
      <c r="R9" s="627" t="s">
        <v>25</v>
      </c>
      <c r="S9" s="628">
        <f t="shared" si="0"/>
        <v>100</v>
      </c>
      <c r="T9" s="627" t="s">
        <v>25</v>
      </c>
      <c r="U9" s="628">
        <f t="shared" si="1"/>
        <v>100</v>
      </c>
      <c r="V9" s="627" t="s">
        <v>25</v>
      </c>
      <c r="W9" s="628">
        <f t="shared" si="2"/>
        <v>100</v>
      </c>
      <c r="X9" s="629"/>
      <c r="Y9" s="3674"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113</v>
      </c>
      <c r="G10" s="322"/>
      <c r="H10" s="29">
        <f>ROUND(100/'数据-取费表'!B14,0)</f>
        <v>113</v>
      </c>
      <c r="I10" s="322"/>
      <c r="J10" s="29">
        <f>ROUND(100/'数据-取费表'!B14,0)</f>
        <v>113</v>
      </c>
      <c r="K10" s="553"/>
      <c r="L10" s="2995"/>
      <c r="M10" s="2996"/>
      <c r="N10" s="2996"/>
      <c r="O10" s="2997"/>
      <c r="P10" s="3655"/>
      <c r="Q10" s="1297" t="str">
        <f t="shared" si="6"/>
        <v>土地使用年限（年）</v>
      </c>
      <c r="R10" s="627" t="s">
        <v>25</v>
      </c>
      <c r="S10" s="628">
        <f t="shared" si="0"/>
        <v>113</v>
      </c>
      <c r="T10" s="627" t="s">
        <v>25</v>
      </c>
      <c r="U10" s="628">
        <f t="shared" si="1"/>
        <v>113</v>
      </c>
      <c r="V10" s="627" t="s">
        <v>25</v>
      </c>
      <c r="W10" s="628">
        <f t="shared" si="2"/>
        <v>113</v>
      </c>
      <c r="X10" s="629"/>
      <c r="Y10" s="3674"/>
      <c r="Z10" s="19" t="str">
        <f t="shared" si="7"/>
        <v>土地使用年限（年）</v>
      </c>
      <c r="AA10" s="630">
        <f t="shared" si="3"/>
        <v>0.88495575221238942</v>
      </c>
      <c r="AB10" s="630">
        <f t="shared" si="4"/>
        <v>0.88495575221238942</v>
      </c>
      <c r="AC10" s="630">
        <f t="shared" si="5"/>
        <v>0.88495575221238942</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72" t="s">
        <v>2214</v>
      </c>
      <c r="Q15" s="1304" t="str">
        <f t="shared" si="6"/>
        <v>产业集聚程度</v>
      </c>
      <c r="R15" s="631" t="s">
        <v>25</v>
      </c>
      <c r="S15" s="632">
        <f t="shared" si="0"/>
        <v>100</v>
      </c>
      <c r="T15" s="631" t="s">
        <v>25</v>
      </c>
      <c r="U15" s="632">
        <f t="shared" si="1"/>
        <v>100</v>
      </c>
      <c r="V15" s="631" t="s">
        <v>25</v>
      </c>
      <c r="W15" s="632">
        <f t="shared" si="2"/>
        <v>100</v>
      </c>
      <c r="X15" s="1305"/>
      <c r="Y15" s="3672"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73"/>
      <c r="Q16" s="1304"/>
      <c r="R16" s="631"/>
      <c r="S16" s="632"/>
      <c r="T16" s="631"/>
      <c r="U16" s="632"/>
      <c r="V16" s="631"/>
      <c r="W16" s="632"/>
      <c r="X16" s="1305"/>
      <c r="Y16" s="3673"/>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0"/>
      <c r="M18" s="2991"/>
      <c r="N18" s="2991"/>
      <c r="O18" s="2999"/>
      <c r="P18" s="3673"/>
      <c r="Q18" s="1304"/>
      <c r="R18" s="631"/>
      <c r="S18" s="632"/>
      <c r="T18" s="631"/>
      <c r="U18" s="632"/>
      <c r="V18" s="631"/>
      <c r="W18" s="632"/>
      <c r="X18" s="1305"/>
      <c r="Y18" s="3673"/>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73"/>
      <c r="Q19" s="1304" t="str">
        <f t="shared" ref="Q19:Q33" si="8">B19</f>
        <v>区域土地利用方向</v>
      </c>
      <c r="R19" s="631" t="s">
        <v>25</v>
      </c>
      <c r="S19" s="632">
        <f>F19</f>
        <v>100</v>
      </c>
      <c r="T19" s="631" t="s">
        <v>25</v>
      </c>
      <c r="U19" s="632">
        <f>H19</f>
        <v>100</v>
      </c>
      <c r="V19" s="631" t="s">
        <v>25</v>
      </c>
      <c r="W19" s="632">
        <f>J19</f>
        <v>100</v>
      </c>
      <c r="X19" s="1305"/>
      <c r="Y19" s="367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73"/>
      <c r="Q20" s="1304"/>
      <c r="R20" s="631"/>
      <c r="S20" s="632"/>
      <c r="T20" s="631"/>
      <c r="U20" s="632"/>
      <c r="V20" s="631"/>
      <c r="W20" s="632"/>
      <c r="X20" s="1305"/>
      <c r="Y20" s="3673"/>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73"/>
      <c r="Q21" s="1304" t="str">
        <f t="shared" si="8"/>
        <v>环境状况</v>
      </c>
      <c r="R21" s="631" t="s">
        <v>25</v>
      </c>
      <c r="S21" s="632">
        <f>F21</f>
        <v>100</v>
      </c>
      <c r="T21" s="631" t="s">
        <v>25</v>
      </c>
      <c r="U21" s="632">
        <f>H21</f>
        <v>100</v>
      </c>
      <c r="V21" s="631" t="s">
        <v>25</v>
      </c>
      <c r="W21" s="632">
        <f>J21</f>
        <v>100</v>
      </c>
      <c r="X21" s="1305"/>
      <c r="Y21" s="367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73"/>
      <c r="Q22" s="1304"/>
      <c r="R22" s="631"/>
      <c r="S22" s="632"/>
      <c r="T22" s="631"/>
      <c r="U22" s="632"/>
      <c r="V22" s="631"/>
      <c r="W22" s="632"/>
      <c r="X22" s="1305"/>
      <c r="Y22" s="3673"/>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73"/>
      <c r="Q23" s="1297" t="str">
        <f t="shared" si="8"/>
        <v>公共配套设施</v>
      </c>
      <c r="R23" s="627" t="s">
        <v>25</v>
      </c>
      <c r="S23" s="628">
        <f>F23</f>
        <v>100</v>
      </c>
      <c r="T23" s="627" t="s">
        <v>25</v>
      </c>
      <c r="U23" s="628">
        <f>H23</f>
        <v>100</v>
      </c>
      <c r="V23" s="627" t="s">
        <v>25</v>
      </c>
      <c r="W23" s="628">
        <f>J23</f>
        <v>100</v>
      </c>
      <c r="X23" s="629"/>
      <c r="Y23" s="367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2"/>
      <c r="M24" s="2993"/>
      <c r="N24" s="2993"/>
      <c r="O24" s="2994"/>
      <c r="P24" s="3673"/>
      <c r="Q24" s="1297"/>
      <c r="R24" s="627"/>
      <c r="S24" s="628"/>
      <c r="T24" s="627"/>
      <c r="U24" s="628"/>
      <c r="V24" s="627"/>
      <c r="W24" s="628"/>
      <c r="X24" s="629"/>
      <c r="Y24" s="3673"/>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73"/>
      <c r="Q25" s="1297" t="str">
        <f t="shared" ref="Q25" si="9">B25</f>
        <v>基础设施水平</v>
      </c>
      <c r="R25" s="627" t="s">
        <v>25</v>
      </c>
      <c r="S25" s="628">
        <f>F25</f>
        <v>100</v>
      </c>
      <c r="T25" s="627" t="s">
        <v>25</v>
      </c>
      <c r="U25" s="628">
        <f>H25</f>
        <v>100</v>
      </c>
      <c r="V25" s="627" t="s">
        <v>25</v>
      </c>
      <c r="W25" s="628">
        <f>J25</f>
        <v>100</v>
      </c>
      <c r="X25" s="629"/>
      <c r="Y25" s="367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2"/>
      <c r="M26" s="2993"/>
      <c r="N26" s="2993"/>
      <c r="O26" s="2994"/>
      <c r="P26" s="3673"/>
      <c r="Q26" s="1297"/>
      <c r="R26" s="627"/>
      <c r="S26" s="628"/>
      <c r="T26" s="627"/>
      <c r="U26" s="628"/>
      <c r="V26" s="627"/>
      <c r="W26" s="628"/>
      <c r="X26" s="629"/>
      <c r="Y26" s="3673"/>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7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3"/>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73"/>
      <c r="Q28" s="1304" t="str">
        <f t="shared" si="8"/>
        <v>毗邻道路的类型与等级</v>
      </c>
      <c r="R28" s="631" t="s">
        <v>25</v>
      </c>
      <c r="S28" s="632">
        <f t="shared" si="10"/>
        <v>100</v>
      </c>
      <c r="T28" s="631" t="s">
        <v>25</v>
      </c>
      <c r="U28" s="632">
        <f t="shared" si="11"/>
        <v>100</v>
      </c>
      <c r="V28" s="631" t="s">
        <v>25</v>
      </c>
      <c r="W28" s="632">
        <f t="shared" si="12"/>
        <v>100</v>
      </c>
      <c r="X28" s="1305"/>
      <c r="Y28" s="367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73"/>
      <c r="Q29" s="1304"/>
      <c r="R29" s="631"/>
      <c r="S29" s="632"/>
      <c r="T29" s="631"/>
      <c r="U29" s="632"/>
      <c r="V29" s="631"/>
      <c r="W29" s="632"/>
      <c r="X29" s="1305"/>
      <c r="Y29" s="3673"/>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73"/>
      <c r="Q30" s="1304" t="str">
        <f t="shared" si="8"/>
        <v>土地级别</v>
      </c>
      <c r="R30" s="631" t="s">
        <v>25</v>
      </c>
      <c r="S30" s="632">
        <f t="shared" si="10"/>
        <v>100</v>
      </c>
      <c r="T30" s="631" t="s">
        <v>25</v>
      </c>
      <c r="U30" s="632">
        <f t="shared" si="11"/>
        <v>100</v>
      </c>
      <c r="V30" s="631" t="s">
        <v>25</v>
      </c>
      <c r="W30" s="632">
        <f t="shared" si="12"/>
        <v>100</v>
      </c>
      <c r="X30" s="1305"/>
      <c r="Y30" s="367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73"/>
      <c r="Q31" s="1304">
        <f t="shared" si="8"/>
        <v>111</v>
      </c>
      <c r="R31" s="631" t="s">
        <v>25</v>
      </c>
      <c r="S31" s="632">
        <f t="shared" si="10"/>
        <v>100</v>
      </c>
      <c r="T31" s="631" t="s">
        <v>25</v>
      </c>
      <c r="U31" s="632">
        <f t="shared" si="11"/>
        <v>100</v>
      </c>
      <c r="V31" s="631" t="s">
        <v>25</v>
      </c>
      <c r="W31" s="632">
        <f t="shared" si="12"/>
        <v>100</v>
      </c>
      <c r="X31" s="1305"/>
      <c r="Y31" s="367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60" t="s">
        <v>2220</v>
      </c>
      <c r="Q32" s="1304">
        <f t="shared" si="8"/>
        <v>111</v>
      </c>
      <c r="R32" s="631" t="s">
        <v>25</v>
      </c>
      <c r="S32" s="632">
        <f t="shared" si="10"/>
        <v>100</v>
      </c>
      <c r="T32" s="631" t="s">
        <v>25</v>
      </c>
      <c r="U32" s="632">
        <f t="shared" si="11"/>
        <v>100</v>
      </c>
      <c r="V32" s="631" t="s">
        <v>25</v>
      </c>
      <c r="W32" s="632">
        <f t="shared" si="12"/>
        <v>100</v>
      </c>
      <c r="X32" s="1305"/>
      <c r="Y32" s="3661"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0"/>
      <c r="M35" s="2991"/>
      <c r="N35" s="2991"/>
      <c r="O35" s="2999"/>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2"/>
      <c r="M36" s="2993"/>
      <c r="N36" s="2993"/>
      <c r="O36" s="2994"/>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0"/>
      <c r="M37" s="2991"/>
      <c r="N37" s="2991"/>
      <c r="O37" s="2999"/>
      <c r="P37" s="3661" t="s">
        <v>2220</v>
      </c>
      <c r="Q37" s="1304" t="str">
        <f t="shared" si="14"/>
        <v>工程地质条件</v>
      </c>
      <c r="R37" s="631" t="s">
        <v>25</v>
      </c>
      <c r="S37" s="632">
        <f t="shared" si="10"/>
        <v>100</v>
      </c>
      <c r="T37" s="631" t="s">
        <v>25</v>
      </c>
      <c r="U37" s="632">
        <f t="shared" si="11"/>
        <v>100</v>
      </c>
      <c r="V37" s="631" t="s">
        <v>25</v>
      </c>
      <c r="W37" s="632">
        <f t="shared" si="12"/>
        <v>100</v>
      </c>
      <c r="X37" s="1305"/>
      <c r="Y37" s="3661"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2"/>
      <c r="M41" s="2991"/>
      <c r="N41" s="2991"/>
      <c r="P41" s="3655" t="str">
        <f>A41</f>
        <v>成交单价</v>
      </c>
      <c r="Q41" s="3655"/>
      <c r="R41" s="3688">
        <f>E41</f>
        <v>0</v>
      </c>
      <c r="S41" s="3688"/>
      <c r="T41" s="3688">
        <f>G41</f>
        <v>0</v>
      </c>
      <c r="U41" s="3688"/>
      <c r="V41" s="3688">
        <f>I41</f>
        <v>0</v>
      </c>
      <c r="W41" s="3688"/>
      <c r="X41" s="618"/>
      <c r="Y41" s="638"/>
      <c r="Z41" s="618"/>
      <c r="AA41" s="618"/>
      <c r="AB41" s="618"/>
      <c r="AC41" s="618"/>
    </row>
    <row r="42" spans="1:29" ht="15.75" thickBot="1">
      <c r="A42" s="374" t="s">
        <v>2315</v>
      </c>
      <c r="B42" s="563"/>
      <c r="C42" s="377" t="e">
        <f>R43</f>
        <v>#DIV/0!</v>
      </c>
      <c r="D42" s="1762" t="s">
        <v>2685</v>
      </c>
      <c r="E42" s="377" t="e">
        <f>R42</f>
        <v>#DIV/0!</v>
      </c>
      <c r="F42" s="1764"/>
      <c r="G42" s="376" t="e">
        <f>T42</f>
        <v>#DIV/0!</v>
      </c>
      <c r="H42" s="1764"/>
      <c r="I42" s="377" t="e">
        <f>V42</f>
        <v>#DIV/0!</v>
      </c>
      <c r="J42" s="1764"/>
      <c r="K42" s="2476">
        <f>F42+H42+J42</f>
        <v>0</v>
      </c>
      <c r="L42" s="3002"/>
      <c r="M42" s="2991"/>
      <c r="N42" s="2991"/>
      <c r="P42" s="3655" t="str">
        <f>A42</f>
        <v>比较价值（元/平方米）</v>
      </c>
      <c r="Q42" s="3655"/>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2"/>
      <c r="M43" s="2991"/>
      <c r="N43" s="2991"/>
      <c r="P43" s="3657" t="str">
        <f>A43</f>
        <v>估价对象XX用房的比较价值（楼面单价，元/平方米）</v>
      </c>
      <c r="Q43" s="3658"/>
      <c r="R43" s="3699" t="e">
        <f>ROUND(IF(D42="简单平均",AVERAGE(R42:W42),R42*F42+T42*H42+V42*J42),0)</f>
        <v>#DIV/0!</v>
      </c>
      <c r="S43" s="3699"/>
      <c r="T43" s="3699"/>
      <c r="U43" s="3699"/>
      <c r="V43" s="3699"/>
      <c r="W43" s="3699"/>
      <c r="X43" s="618"/>
      <c r="Y43" s="618"/>
      <c r="Z43" s="618"/>
      <c r="AA43" s="618"/>
      <c r="AB43" s="618"/>
      <c r="AC43" s="618"/>
    </row>
    <row r="44" spans="1:29">
      <c r="G44" s="3005"/>
      <c r="M44" s="2991"/>
      <c r="N44" s="2991"/>
    </row>
    <row r="45" spans="1:29">
      <c r="M45" s="2991"/>
      <c r="N45" s="2991"/>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1" zoomScaleNormal="80" zoomScaleSheetLayoutView="10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1647</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45401</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1861</v>
      </c>
      <c r="B5" s="89" t="s">
        <v>1862</v>
      </c>
      <c r="C5" s="111">
        <f>C6+C7+C8</f>
        <v>10921439</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基准地价修正!C26</f>
        <v>10598194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323245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1"/>
      <c r="E8" s="115"/>
      <c r="F8" s="1140"/>
      <c r="G8" s="1488" t="s">
        <v>2995</v>
      </c>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0</v>
      </c>
      <c r="D10" s="1143">
        <f>IF('数据-取费表'!B10&lt;&gt;"住宅",IF(B1="仅计算典型户型",'数据-取费表'!E5,'数据-取费表'!B5),0)</f>
        <v>362.84</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362.84</v>
      </c>
      <c r="E19" s="111">
        <f>'数据-取费表'!E15</f>
        <v>200</v>
      </c>
      <c r="F19" s="112"/>
      <c r="G19" s="1488" t="s">
        <v>2996</v>
      </c>
    </row>
    <row r="20" spans="1:123" s="91" customFormat="1" ht="13.5" customHeight="1">
      <c r="A20" s="120" t="s">
        <v>1885</v>
      </c>
      <c r="B20" s="89" t="s">
        <v>1886</v>
      </c>
      <c r="C20" s="99">
        <f>ROUND((C5+C19)*F20,0)</f>
        <v>218429</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945840</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936666</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9174</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1670980</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1670980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14905936</v>
      </c>
      <c r="D31" s="1146"/>
      <c r="E31" s="111"/>
      <c r="F31" s="1147"/>
      <c r="G31" s="100" t="s">
        <v>1912</v>
      </c>
    </row>
    <row r="32" spans="1:123" s="88" customFormat="1" ht="15.75">
      <c r="A32" s="117" t="s">
        <v>1913</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1914</v>
      </c>
      <c r="B33" s="89" t="s">
        <v>1915</v>
      </c>
      <c r="C33" s="121">
        <f>SUM(C34:C38)</f>
        <v>1399655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1269940</v>
      </c>
      <c r="D34" s="1138"/>
      <c r="E34" s="115"/>
      <c r="F34" s="1149" t="str">
        <f>IF('数据-取费表'!B26=0,"",'数据-取费表'!E20)</f>
        <v/>
      </c>
      <c r="G34" s="95"/>
    </row>
    <row r="35" spans="1:123" ht="13.5" customHeight="1">
      <c r="A35" s="92" t="s">
        <v>1868</v>
      </c>
      <c r="B35" s="93" t="s">
        <v>1917</v>
      </c>
      <c r="C35" s="115">
        <f>ROUND(C34*F35,0)</f>
        <v>38098</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72568</v>
      </c>
      <c r="D37" s="1138">
        <f>IF(B1="仅计算典型户型",'数据-取费表'!E5,'数据-取费表'!B5)</f>
        <v>362.84</v>
      </c>
      <c r="E37" s="115">
        <f>'数据-取费表'!E23</f>
        <v>200</v>
      </c>
      <c r="F37" s="1150"/>
      <c r="G37" s="124" t="s">
        <v>1922</v>
      </c>
    </row>
    <row r="38" spans="1:123" ht="13.5" customHeight="1">
      <c r="A38" s="92" t="s">
        <v>1923</v>
      </c>
      <c r="B38" s="93" t="s">
        <v>1924</v>
      </c>
      <c r="C38" s="115">
        <f>ROUND(C34*F38,0)</f>
        <v>19049</v>
      </c>
      <c r="D38" s="115"/>
      <c r="E38" s="115"/>
      <c r="F38" s="1150">
        <f>'数据-取费表'!E24</f>
        <v>1.4999999999999999E-2</v>
      </c>
      <c r="G38" s="95" t="s">
        <v>1918</v>
      </c>
    </row>
    <row r="39" spans="1:123" s="91" customFormat="1" ht="13.5" customHeight="1">
      <c r="A39" s="120" t="s">
        <v>1883</v>
      </c>
      <c r="B39" s="89" t="s">
        <v>1886</v>
      </c>
      <c r="C39" s="99">
        <f>ROUND(C33*F20,0)</f>
        <v>27993</v>
      </c>
      <c r="D39" s="99"/>
      <c r="E39" s="99"/>
      <c r="F39" s="2853">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3">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59962</v>
      </c>
      <c r="D41" s="101">
        <f ca="1">C44</f>
        <v>8.0000000000000004E-4</v>
      </c>
      <c r="E41" s="102" t="s">
        <v>1926</v>
      </c>
      <c r="F41" s="2853">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58786</v>
      </c>
      <c r="D42" s="104"/>
      <c r="E42" s="104"/>
      <c r="F42" s="105"/>
      <c r="G42" s="3701" t="s">
        <v>1928</v>
      </c>
    </row>
    <row r="43" spans="1:123" ht="13.5" customHeight="1">
      <c r="A43" s="92" t="s">
        <v>1868</v>
      </c>
      <c r="B43" s="93" t="s">
        <v>1897</v>
      </c>
      <c r="C43" s="104">
        <f ca="1">ROUND(IF('数据-取费表'!B24&lt;=1,C39*F22*'数据-取费表'!B23/2,C39*(POWER((1+F22),'数据-取费表'!B23/2)-1)),0)</f>
        <v>1176</v>
      </c>
      <c r="D43" s="104"/>
      <c r="E43" s="104"/>
      <c r="F43" s="105"/>
      <c r="G43" s="3702"/>
    </row>
    <row r="44" spans="1:123" ht="13.5" customHeight="1">
      <c r="A44" s="92" t="s">
        <v>1870</v>
      </c>
      <c r="B44" s="93" t="s">
        <v>1899</v>
      </c>
      <c r="C44" s="104">
        <f ca="1">ROUND(IF('数据-取费表'!B24&lt;=1,C40*F22*'数据-取费表'!B23/2,C40*(POWER((1+F22),'数据-取费表'!B23/2)-1)),4)</f>
        <v>8.0000000000000004E-4</v>
      </c>
      <c r="D44" s="104"/>
      <c r="E44" s="104"/>
      <c r="F44" s="105"/>
      <c r="G44" s="3703"/>
    </row>
    <row r="45" spans="1:123" s="91" customFormat="1" ht="13.5" customHeight="1">
      <c r="A45" s="120" t="s">
        <v>1892</v>
      </c>
      <c r="B45" s="110" t="s">
        <v>1904</v>
      </c>
      <c r="C45" s="111">
        <f>C46</f>
        <v>214147</v>
      </c>
      <c r="D45" s="101">
        <f>C47</f>
        <v>3.0000000000000001E-3</v>
      </c>
      <c r="E45" s="102" t="s">
        <v>1926</v>
      </c>
      <c r="F45" s="2854">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214147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3">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1843924</v>
      </c>
      <c r="D49" s="99"/>
      <c r="E49" s="99"/>
      <c r="F49" s="126"/>
      <c r="G49" s="100" t="s">
        <v>1936</v>
      </c>
    </row>
    <row r="50" spans="1:123" s="122" customFormat="1" ht="24">
      <c r="A50" s="994" t="s">
        <v>1937</v>
      </c>
      <c r="B50" s="89" t="s">
        <v>1938</v>
      </c>
      <c r="C50" s="99"/>
      <c r="D50" s="99"/>
      <c r="E50" s="99"/>
      <c r="F50" s="126">
        <f>IF('数据-取费表'!B26=0,'数据-取费表'!E20,1)</f>
        <v>0.85</v>
      </c>
      <c r="G50" s="113" t="s">
        <v>1939</v>
      </c>
    </row>
    <row r="51" spans="1:123" ht="16.5" customHeight="1">
      <c r="A51" s="994" t="s">
        <v>1940</v>
      </c>
      <c r="B51" s="89" t="s">
        <v>1941</v>
      </c>
      <c r="C51" s="99">
        <f ca="1">ROUND(C49*F50,0)</f>
        <v>1567335</v>
      </c>
      <c r="D51" s="99"/>
      <c r="E51" s="99"/>
      <c r="F51" s="126"/>
      <c r="G51" s="100" t="s">
        <v>1942</v>
      </c>
    </row>
    <row r="52" spans="1:123" s="88" customFormat="1" ht="16.5" thickBot="1">
      <c r="A52" s="127" t="s">
        <v>1943</v>
      </c>
      <c r="B52" s="128"/>
      <c r="C52" s="129">
        <f ca="1">C31+C51</f>
        <v>16473271</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1944</v>
      </c>
      <c r="C55" s="133"/>
    </row>
    <row r="56" spans="1:123">
      <c r="B56" s="135" t="s">
        <v>1945</v>
      </c>
      <c r="C56" s="136">
        <f ca="1">ROUND(C51/C52,3)</f>
        <v>9.5000000000000001E-2</v>
      </c>
    </row>
    <row r="57" spans="1:123">
      <c r="B57" s="135" t="s">
        <v>1946</v>
      </c>
      <c r="C57" s="137">
        <f ca="1">1-C56</f>
        <v>0.90500000000000003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估价对象为北京市房地产，为XX所有。根据《》[]，估价对象建筑面积为362.84平方米。根据《》[]，估价对象（分摊）出让国有建设用地使用权面积为平方米。估价对象用途为。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2022年2月24日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8" zoomScale="90" zoomScaleNormal="90" zoomScaleSheetLayoutView="90" workbookViewId="0">
      <selection activeCell="C52" sqref="C5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0" customWidth="1"/>
    <col min="33" max="38" width="9.375" style="1594" customWidth="1"/>
    <col min="39" max="16384" width="9" style="1594"/>
  </cols>
  <sheetData>
    <row r="1" spans="1:36" ht="28.5">
      <c r="A1" s="2062" t="s">
        <v>2440</v>
      </c>
      <c r="B1" s="2063"/>
      <c r="C1" s="2064" t="s">
        <v>2441</v>
      </c>
      <c r="D1" s="2065">
        <f>SUM(D29:D30,D33:D39)</f>
        <v>362.84</v>
      </c>
      <c r="E1" s="2065"/>
      <c r="F1" s="2065"/>
      <c r="G1" s="2065"/>
      <c r="H1" s="2065"/>
      <c r="I1" s="2065"/>
      <c r="J1" s="2065"/>
      <c r="K1" s="3015"/>
      <c r="L1" s="2066" t="s">
        <v>2442</v>
      </c>
      <c r="M1" s="2067">
        <f>SUMPRODUCT((区片价!B5:B9=I2)*(区片价!C3:F3=E2)*(区片价!C5:F9))</f>
        <v>0</v>
      </c>
      <c r="N1" s="2068">
        <f>SUMPRODUCT((因素修正幅度!B5:B9=I2)*(因素修正幅度!C3:F3=E2)*(因素修正幅度!C5:F9))</f>
        <v>0</v>
      </c>
      <c r="O1" s="3015"/>
      <c r="P1" s="3015"/>
      <c r="Q1" s="3015"/>
      <c r="R1" s="2069" t="s">
        <v>2443</v>
      </c>
      <c r="S1" s="2069" t="s">
        <v>2444</v>
      </c>
      <c r="T1" s="2069" t="s">
        <v>2445</v>
      </c>
      <c r="U1" s="2069" t="s">
        <v>2446</v>
      </c>
      <c r="V1" s="2069" t="s">
        <v>2447</v>
      </c>
      <c r="W1" s="2070"/>
      <c r="X1" s="2070"/>
      <c r="Y1" s="2070"/>
      <c r="Z1" s="2070"/>
      <c r="AA1" s="2070"/>
      <c r="AB1" s="2070"/>
      <c r="AC1" s="2070"/>
      <c r="AD1" s="2071"/>
      <c r="AE1" s="2071"/>
      <c r="AF1" s="2071"/>
      <c r="AG1" s="2071"/>
      <c r="AH1" s="2071"/>
      <c r="AI1" s="2071"/>
      <c r="AJ1" s="2072"/>
    </row>
    <row r="2" spans="1:36" ht="24.75">
      <c r="A2" s="1926" t="s">
        <v>2448</v>
      </c>
      <c r="B2" s="1629">
        <f>C26</f>
        <v>10598194</v>
      </c>
      <c r="C2" s="2073" t="s">
        <v>2449</v>
      </c>
      <c r="D2" s="1572" t="s">
        <v>2450</v>
      </c>
      <c r="E2" s="2074" t="s">
        <v>3010</v>
      </c>
      <c r="F2" s="1572" t="s">
        <v>2451</v>
      </c>
      <c r="G2" s="2075" t="str">
        <f>项目基本情况!F9</f>
        <v>四级</v>
      </c>
      <c r="H2" s="1573" t="s">
        <v>2452</v>
      </c>
      <c r="I2" s="2075" t="str">
        <f>项目基本情况!F10</f>
        <v>Ⅳ-15</v>
      </c>
      <c r="J2" s="2076"/>
      <c r="K2" s="3015"/>
      <c r="L2" s="2077" t="s">
        <v>2453</v>
      </c>
      <c r="M2" s="2078">
        <f>SUMPRODUCT((区片价!B10:B28=I2)*(区片价!C3:F3=E2)*(区片价!C10:F28))</f>
        <v>0</v>
      </c>
      <c r="N2" s="2079">
        <f>SUMPRODUCT((因素修正幅度!B10:B28=I2)*(因素修正幅度!C3:F3=E2)*(因素修正幅度!C10:F28))</f>
        <v>0</v>
      </c>
      <c r="O2" s="3015"/>
      <c r="P2" s="3015"/>
      <c r="Q2" s="3015"/>
      <c r="R2" s="2069">
        <v>1</v>
      </c>
      <c r="S2" s="2069">
        <f>ROUND(IF(G3&gt;1,IF(R2&lt;7,SUMPRODUCT((B93:B98=R2)*(C92:N92=G2)*(C93:N98)),SUMIF(C92:N92,G2,C100:N100)),IF(R2&lt;7,SUMPRODUCT((B102:B107=R2)*(C92:N92=G2)*(C102:N107)),SUMIF(C92:N92,G2,C109:N109))),4)</f>
        <v>1.8629</v>
      </c>
      <c r="T2" s="2069">
        <f>ROUND($C$5*$C$18*$C$19*$C$20*S2*$C$24,0)</f>
        <v>42462</v>
      </c>
      <c r="U2" s="2080">
        <f>D33</f>
        <v>181.42</v>
      </c>
      <c r="V2" s="2069">
        <f t="shared" ref="V2:V8" si="0">ROUND(T2*U2,0)</f>
        <v>7703456</v>
      </c>
      <c r="W2" s="2070"/>
      <c r="X2" s="2070"/>
      <c r="Y2" s="2070"/>
      <c r="Z2" s="2070"/>
      <c r="AA2" s="2070"/>
      <c r="AB2" s="2070"/>
      <c r="AC2" s="2070"/>
      <c r="AD2" s="2071"/>
      <c r="AE2" s="2071"/>
      <c r="AF2" s="2071"/>
      <c r="AG2" s="2071"/>
      <c r="AH2" s="2071"/>
      <c r="AI2" s="2071"/>
      <c r="AJ2" s="2072"/>
    </row>
    <row r="3" spans="1:36" ht="15.75">
      <c r="A3" s="1629" t="s">
        <v>2454</v>
      </c>
      <c r="B3" s="1629">
        <f>ROUND(B2/D1,0)</f>
        <v>29209</v>
      </c>
      <c r="C3" s="2073" t="s">
        <v>2455</v>
      </c>
      <c r="D3" s="1572" t="s">
        <v>2456</v>
      </c>
      <c r="E3" s="2074" t="s">
        <v>3059</v>
      </c>
      <c r="F3" s="1574" t="s">
        <v>2457</v>
      </c>
      <c r="G3" s="2081">
        <f>项目基本情况!C15</f>
        <v>2.5</v>
      </c>
      <c r="H3" s="50" t="s">
        <v>2458</v>
      </c>
      <c r="I3" s="2082">
        <v>1</v>
      </c>
      <c r="J3" s="2076" t="s">
        <v>2459</v>
      </c>
      <c r="K3" s="3015"/>
      <c r="L3" s="2077" t="s">
        <v>2460</v>
      </c>
      <c r="M3" s="2078">
        <f>SUMPRODUCT((区片价!B29:B48=I2)*(区片价!C3:F3=E2)*(区片价!C29:F48))</f>
        <v>0</v>
      </c>
      <c r="N3" s="2079">
        <f>SUMPRODUCT((因素修正幅度!B29:B48=I2)*(因素修正幅度!C3:F3=E2)*(因素修正幅度!C29:F48))</f>
        <v>0</v>
      </c>
      <c r="O3" s="3015"/>
      <c r="P3" s="3015"/>
      <c r="Q3" s="3015"/>
      <c r="R3" s="2069">
        <v>2</v>
      </c>
      <c r="S3" s="2069">
        <f>ROUND(IF(G3&gt;1,IF(R3&lt;7,SUMPRODUCT((B93:B98=R3)*(C92:N92=G2)*(C93:N98)),SUMIF(C92:N92,G2,C100:N100)),IF(R3&lt;7,SUMPRODUCT((B102:B107=R3)*(C92:N92=G2)*(C102:N107)),SUMIF(C92:N92,G2,C109:N109))),4)</f>
        <v>1.3371999999999999</v>
      </c>
      <c r="T3" s="2069">
        <f t="shared" ref="T3:T16" si="1">ROUND($C$5*$C$18*$C$19*$C$20*S3*$C$24,0)</f>
        <v>30480</v>
      </c>
      <c r="U3" s="2080"/>
      <c r="V3" s="2069">
        <f t="shared" si="0"/>
        <v>0</v>
      </c>
      <c r="W3" s="2070"/>
      <c r="X3" s="2070"/>
      <c r="Y3" s="2070"/>
      <c r="Z3" s="2070"/>
      <c r="AA3" s="2070"/>
      <c r="AB3" s="2070"/>
      <c r="AC3" s="2070"/>
      <c r="AD3" s="2071"/>
      <c r="AE3" s="2071"/>
      <c r="AF3" s="2071"/>
      <c r="AG3" s="2071"/>
      <c r="AH3" s="2071"/>
      <c r="AI3" s="2071"/>
      <c r="AJ3" s="2072"/>
    </row>
    <row r="4" spans="1:36" ht="15.75">
      <c r="A4" s="3706"/>
      <c r="B4" s="3707"/>
      <c r="C4" s="3707"/>
      <c r="D4" s="3708"/>
      <c r="E4" s="3708"/>
      <c r="F4" s="3708"/>
      <c r="G4" s="3708"/>
      <c r="H4" s="3708"/>
      <c r="I4" s="3708"/>
      <c r="J4" s="3709"/>
      <c r="K4" s="3015"/>
      <c r="L4" s="2077" t="s">
        <v>2461</v>
      </c>
      <c r="M4" s="2078">
        <f>SUMPRODUCT((区片价!B49:B75=I2)*(区片价!C3:F3=E2)*(区片价!C49:F75))</f>
        <v>17610</v>
      </c>
      <c r="N4" s="2079">
        <f>SUMPRODUCT((因素修正幅度!B49:B75=I2)*(因素修正幅度!C3:F3=E2)*(因素修正幅度!C49:F75))</f>
        <v>9.6000000000000002E-2</v>
      </c>
      <c r="O4" s="3015"/>
      <c r="P4" s="3015"/>
      <c r="Q4" s="3015"/>
      <c r="R4" s="2069">
        <v>3</v>
      </c>
      <c r="S4" s="2069">
        <f>ROUND(IF(G3&gt;1,IF(R4&lt;7,SUMPRODUCT((B93:B98=R4)*(C92:N92=G2)*(C93:N98)),SUMIF(C92:N92,G2,C100:N100)),IF(R4&lt;7,SUMPRODUCT((B102:B107=R4)*(C92:N92=G2)*(C102:N107)),SUMIF(C92:N92,G2,C109:N109))),4)</f>
        <v>1.0788</v>
      </c>
      <c r="T4" s="2069">
        <f t="shared" si="1"/>
        <v>24590</v>
      </c>
      <c r="U4" s="2080"/>
      <c r="V4" s="2069">
        <f t="shared" si="0"/>
        <v>0</v>
      </c>
      <c r="W4" s="2070"/>
      <c r="X4" s="2070"/>
      <c r="Y4" s="2070"/>
      <c r="Z4" s="2070"/>
      <c r="AA4" s="2070"/>
      <c r="AB4" s="2070"/>
      <c r="AC4" s="2070"/>
      <c r="AD4" s="2071"/>
      <c r="AE4" s="2071"/>
      <c r="AF4" s="2071"/>
      <c r="AG4" s="2071"/>
      <c r="AH4" s="2071"/>
      <c r="AI4" s="2071"/>
      <c r="AJ4" s="2072"/>
    </row>
    <row r="5" spans="1:36" s="2090" customFormat="1" ht="15.75" thickBot="1">
      <c r="A5" s="1575" t="s">
        <v>2462</v>
      </c>
      <c r="B5" s="1575" t="s">
        <v>2463</v>
      </c>
      <c r="C5" s="2083">
        <f>ROUND(IF(E2="商业",C6*C7+C16,(IF(E2="住宅",C6*C12+C16,C6+C16))),0)</f>
        <v>17610</v>
      </c>
      <c r="D5" s="2084">
        <f>ROUND(C6+C16,0)</f>
        <v>17610</v>
      </c>
      <c r="E5" s="2084"/>
      <c r="F5" s="2085"/>
      <c r="G5" s="2086"/>
      <c r="H5" s="2086"/>
      <c r="I5" s="2086"/>
      <c r="J5" s="2043"/>
      <c r="K5" s="1637"/>
      <c r="L5" s="2077" t="s">
        <v>2464</v>
      </c>
      <c r="M5" s="2078">
        <f>SUMPRODUCT((区片价!B76:B109=I2)*(区片价!C3:F3=E2)*(区片价!C76:F109))</f>
        <v>0</v>
      </c>
      <c r="N5" s="2079">
        <f>SUMPRODUCT((因素修正幅度!B76:B109=I2)*(因素修正幅度!C3:F3=E2)*(因素修正幅度!C76:F109))</f>
        <v>0</v>
      </c>
      <c r="O5" s="3015"/>
      <c r="P5" s="3015"/>
      <c r="Q5" s="3015"/>
      <c r="R5" s="2069">
        <v>4</v>
      </c>
      <c r="S5" s="2069">
        <f>ROUND(IF(G3&gt;1,IF(R5&lt;7,SUMPRODUCT((B93:B98=R5)*(C92:N92=G2)*(C93:N98)),SUMIF(C92:N92,G2,C100:N100)),IF(R5&lt;7,SUMPRODUCT((B102:B107=R5)*(C92:N92=G2)*(C102:N107)),SUMIF(C92:N92,G2,C109:N109))),4)</f>
        <v>0.86560000000000004</v>
      </c>
      <c r="T5" s="2069">
        <f t="shared" si="1"/>
        <v>19730</v>
      </c>
      <c r="U5" s="2080"/>
      <c r="V5" s="2069">
        <f t="shared" si="0"/>
        <v>0</v>
      </c>
      <c r="W5" s="2070"/>
      <c r="X5" s="2070"/>
      <c r="Y5" s="2070"/>
      <c r="Z5" s="2070"/>
      <c r="AA5" s="2070"/>
      <c r="AB5" s="2070"/>
      <c r="AC5" s="2087"/>
      <c r="AD5" s="2088"/>
      <c r="AE5" s="2088"/>
      <c r="AF5" s="2088"/>
      <c r="AG5" s="2088"/>
      <c r="AH5" s="2088"/>
      <c r="AI5" s="2088"/>
      <c r="AJ5" s="2089"/>
    </row>
    <row r="6" spans="1:36" ht="15.75" thickBot="1">
      <c r="A6" s="2091">
        <v>1</v>
      </c>
      <c r="B6" s="1576" t="s">
        <v>2465</v>
      </c>
      <c r="C6" s="2092">
        <f>SUMIF(L1:L12,G2,M1:M12)</f>
        <v>17610</v>
      </c>
      <c r="D6" s="2093" t="s">
        <v>2466</v>
      </c>
      <c r="E6" s="1576"/>
      <c r="F6" s="1576"/>
      <c r="G6" s="2094"/>
      <c r="H6" s="2094"/>
      <c r="I6" s="2094"/>
      <c r="J6" s="2095"/>
      <c r="K6" s="3016"/>
      <c r="L6" s="2077" t="s">
        <v>2467</v>
      </c>
      <c r="M6" s="2078">
        <f>SUMPRODUCT((区片价!B110:B157=I2)*(区片价!C3:F3=E2)*(区片价!C110:F157))</f>
        <v>0</v>
      </c>
      <c r="N6" s="2079">
        <f>SUMPRODUCT((因素修正幅度!B110:B157=I2)*(因素修正幅度!C3:F3=E2)*(因素修正幅度!C110:F157))</f>
        <v>0</v>
      </c>
      <c r="O6" s="3015"/>
      <c r="P6" s="3015"/>
      <c r="Q6" s="3015"/>
      <c r="R6" s="2069">
        <v>5</v>
      </c>
      <c r="S6" s="2069">
        <f>ROUND(IF(G3&gt;1,IF(R6&lt;7,SUMPRODUCT((B93:B98=R6)*(C92:N92=G2)*(C93:N98)),SUMIF(C92:N92,G2,C100:N100)),IF(R6&lt;7,SUMPRODUCT((B102:B107=R6)*(C92:N92=G2)*(C102:N107)),SUMIF(C92:N92,G2,C109:N109))),4)</f>
        <v>0.73709999999999998</v>
      </c>
      <c r="T6" s="2069">
        <f t="shared" si="1"/>
        <v>16801</v>
      </c>
      <c r="U6" s="2080"/>
      <c r="V6" s="2069">
        <f t="shared" si="0"/>
        <v>0</v>
      </c>
      <c r="W6" s="2070"/>
      <c r="X6" s="2070"/>
      <c r="Y6" s="2070"/>
      <c r="Z6" s="2070"/>
      <c r="AA6" s="2070"/>
      <c r="AB6" s="2070"/>
      <c r="AC6" s="2087"/>
      <c r="AD6" s="2088"/>
      <c r="AE6" s="2088"/>
      <c r="AF6" s="2088"/>
      <c r="AG6" s="2088"/>
      <c r="AH6" s="2088"/>
      <c r="AI6" s="2088"/>
      <c r="AJ6" s="2089"/>
    </row>
    <row r="7" spans="1:36" ht="24">
      <c r="A7" s="3710" t="str">
        <f>IF(E2="商业",IF(C8="不临58条商业街","",2),"")</f>
        <v/>
      </c>
      <c r="B7" s="1577" t="s">
        <v>2468</v>
      </c>
      <c r="C7" s="2096">
        <f>IF(C8="不临58条商业街",1,ROUND(1+(1.6*E8+1.2*E9+0.8*E10+0.4*E11)*C9,4))</f>
        <v>1</v>
      </c>
      <c r="D7" s="2097" t="s">
        <v>2469</v>
      </c>
      <c r="E7" s="2098"/>
      <c r="F7" s="2099"/>
      <c r="G7" s="2099"/>
      <c r="H7" s="2099"/>
      <c r="I7" s="2099"/>
      <c r="J7" s="2100"/>
      <c r="K7" s="3016"/>
      <c r="L7" s="2077" t="s">
        <v>2470</v>
      </c>
      <c r="M7" s="2078">
        <f>SUMPRODUCT((区片价!B158:B205=I2)*(区片价!C3:F3=E2)*(区片价!C158:F205))</f>
        <v>0</v>
      </c>
      <c r="N7" s="2079">
        <f>SUMPRODUCT((因素修正幅度!B158:B205=I2)*(因素修正幅度!C3:F3=E2)*(因素修正幅度!C158:F205))</f>
        <v>0</v>
      </c>
      <c r="O7" s="3015"/>
      <c r="P7" s="3015"/>
      <c r="Q7" s="3015"/>
      <c r="R7" s="2069">
        <v>6</v>
      </c>
      <c r="S7" s="2069">
        <f>ROUND(IF(G3&gt;1,IF(R7&lt;7,SUMPRODUCT((B93:B98=R7)*(C92:N92=G2)*(C93:N98)),SUMIF(C92:N92,G2,C100:N100)),IF(R7&lt;7,SUMPRODUCT((B102:B107=R7)*(C92:N92=G2)*(C102:N107)),SUMIF(C92:N92,G2,C109:N109))),4)</f>
        <v>0.6482</v>
      </c>
      <c r="T7" s="2069">
        <f t="shared" si="1"/>
        <v>14775</v>
      </c>
      <c r="U7" s="2080"/>
      <c r="V7" s="2069">
        <f t="shared" si="0"/>
        <v>0</v>
      </c>
      <c r="W7" s="2101" t="s">
        <v>2471</v>
      </c>
      <c r="X7" s="2102" t="str">
        <f>G2</f>
        <v>四级</v>
      </c>
      <c r="Y7" s="2102" t="s">
        <v>2472</v>
      </c>
      <c r="Z7" s="2103">
        <f>G3</f>
        <v>2.5</v>
      </c>
      <c r="AA7" s="2070"/>
      <c r="AB7" s="2070"/>
      <c r="AC7" s="2070"/>
      <c r="AD7" s="2071"/>
      <c r="AE7" s="2071"/>
      <c r="AF7" s="2071"/>
      <c r="AG7" s="2071"/>
      <c r="AH7" s="2071"/>
      <c r="AI7" s="2071"/>
      <c r="AJ7" s="2072"/>
    </row>
    <row r="8" spans="1:36" ht="15">
      <c r="A8" s="3711"/>
      <c r="B8" s="50" t="s">
        <v>2473</v>
      </c>
      <c r="C8" s="2104" t="s">
        <v>3060</v>
      </c>
      <c r="D8" s="65" t="s">
        <v>89</v>
      </c>
      <c r="E8" s="2105" t="e">
        <f>ROUND(C11/E7,4)</f>
        <v>#DIV/0!</v>
      </c>
      <c r="F8" s="2106" t="s">
        <v>2474</v>
      </c>
      <c r="G8" s="2107"/>
      <c r="H8" s="2107"/>
      <c r="I8" s="2107"/>
      <c r="J8" s="2108"/>
      <c r="K8" s="3015"/>
      <c r="L8" s="2077" t="s">
        <v>2475</v>
      </c>
      <c r="M8" s="2078">
        <f>SUMPRODUCT((区片价!B206:B244=I2)*(区片价!C3:F3=E2)*(区片价!C206:F244))</f>
        <v>0</v>
      </c>
      <c r="N8" s="2079">
        <f>SUMPRODUCT((因素修正幅度!B206:B244=I2)*(因素修正幅度!C3:F3=E2)*(因素修正幅度!C206:F244))</f>
        <v>0</v>
      </c>
      <c r="O8" s="3015"/>
      <c r="P8" s="3015"/>
      <c r="Q8" s="3015"/>
      <c r="R8" s="2069">
        <v>7</v>
      </c>
      <c r="S8" s="2080"/>
      <c r="T8" s="2069">
        <f t="shared" si="1"/>
        <v>0</v>
      </c>
      <c r="U8" s="2080"/>
      <c r="V8" s="2069">
        <f t="shared" si="0"/>
        <v>0</v>
      </c>
      <c r="W8" s="3704" t="s">
        <v>2476</v>
      </c>
      <c r="X8" s="3705"/>
      <c r="Y8" s="2109" t="s">
        <v>2477</v>
      </c>
      <c r="Z8" s="2109" t="s">
        <v>2478</v>
      </c>
      <c r="AA8" s="2109" t="s">
        <v>2479</v>
      </c>
      <c r="AB8" s="2109" t="s">
        <v>2480</v>
      </c>
      <c r="AC8" s="2109" t="s">
        <v>2481</v>
      </c>
      <c r="AD8" s="2109" t="s">
        <v>2482</v>
      </c>
      <c r="AE8" s="2109" t="s">
        <v>2483</v>
      </c>
      <c r="AF8" s="2109" t="s">
        <v>2484</v>
      </c>
      <c r="AG8" s="2109" t="s">
        <v>2485</v>
      </c>
      <c r="AH8" s="2109" t="s">
        <v>2486</v>
      </c>
      <c r="AI8" s="2109" t="s">
        <v>2487</v>
      </c>
      <c r="AJ8" s="2109" t="s">
        <v>2488</v>
      </c>
    </row>
    <row r="9" spans="1:36" ht="15">
      <c r="A9" s="3711"/>
      <c r="B9" s="50" t="s">
        <v>2489</v>
      </c>
      <c r="C9" s="2110">
        <f>SUMIF(修正!C59:C119,C8,修正!E59:E119)</f>
        <v>0</v>
      </c>
      <c r="D9" s="50" t="s">
        <v>90</v>
      </c>
      <c r="E9" s="50" t="e">
        <f>ROUND(C11/E7,4)</f>
        <v>#DIV/0!</v>
      </c>
      <c r="F9" s="2106" t="s">
        <v>2490</v>
      </c>
      <c r="G9" s="2107"/>
      <c r="H9" s="2107"/>
      <c r="I9" s="2107"/>
      <c r="J9" s="2108"/>
      <c r="K9" s="3015"/>
      <c r="L9" s="2077" t="s">
        <v>2491</v>
      </c>
      <c r="M9" s="2078">
        <f>SUMPRODUCT((区片价!B245:B289=I2)*(区片价!C3:F3=E2)*(区片价!C245:F289))</f>
        <v>0</v>
      </c>
      <c r="N9" s="2079">
        <f>SUMPRODUCT((因素修正幅度!B245:B289=I2)*(因素修正幅度!C3:F3=E2)*(因素修正幅度!C245:F289))</f>
        <v>0</v>
      </c>
      <c r="O9" s="3015"/>
      <c r="P9" s="3015"/>
      <c r="Q9" s="3015"/>
      <c r="R9" s="2069">
        <v>8</v>
      </c>
      <c r="S9" s="2080"/>
      <c r="T9" s="2069">
        <f t="shared" si="1"/>
        <v>0</v>
      </c>
      <c r="U9" s="2080"/>
      <c r="V9" s="2069">
        <f t="shared" ref="V9:V16" si="2">ROUND(T9*U9,0)</f>
        <v>0</v>
      </c>
      <c r="W9" s="3705" t="s">
        <v>2492</v>
      </c>
      <c r="X9" s="2111" t="s">
        <v>2493</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711"/>
      <c r="B10" s="50" t="s">
        <v>2494</v>
      </c>
      <c r="C10" s="50">
        <f>SUMIF(修正!C59:C119,C8,修正!F59:F119)</f>
        <v>0</v>
      </c>
      <c r="D10" s="50" t="s">
        <v>91</v>
      </c>
      <c r="E10" s="50" t="e">
        <f>ROUND(C11/E7,4)</f>
        <v>#DIV/0!</v>
      </c>
      <c r="F10" s="2106" t="s">
        <v>2495</v>
      </c>
      <c r="G10" s="2107"/>
      <c r="H10" s="2107"/>
      <c r="I10" s="2107"/>
      <c r="J10" s="2108"/>
      <c r="K10" s="3015"/>
      <c r="L10" s="2077" t="s">
        <v>2496</v>
      </c>
      <c r="M10" s="2078">
        <f>SUMPRODUCT((区片价!B290:B316=I2)*(区片价!C3:F3=E2)*(区片价!C290:F316))</f>
        <v>0</v>
      </c>
      <c r="N10" s="2079">
        <f>SUMPRODUCT((因素修正幅度!B290:B316=I2)*(因素修正幅度!C3:F3=E2)*(因素修正幅度!C290:F316))</f>
        <v>0</v>
      </c>
      <c r="O10" s="3015"/>
      <c r="P10" s="3015"/>
      <c r="Q10" s="3015"/>
      <c r="R10" s="2069">
        <v>9</v>
      </c>
      <c r="S10" s="2080"/>
      <c r="T10" s="2069">
        <f t="shared" si="1"/>
        <v>0</v>
      </c>
      <c r="U10" s="2080"/>
      <c r="V10" s="2069">
        <f t="shared" si="2"/>
        <v>0</v>
      </c>
      <c r="W10" s="3705"/>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75" thickBot="1">
      <c r="A11" s="3711"/>
      <c r="B11" s="1578" t="s">
        <v>2497</v>
      </c>
      <c r="C11" s="1578">
        <f>C10/4</f>
        <v>0</v>
      </c>
      <c r="D11" s="1578" t="s">
        <v>92</v>
      </c>
      <c r="E11" s="1578" t="e">
        <f>ROUND(C11/E7,4)</f>
        <v>#DIV/0!</v>
      </c>
      <c r="F11" s="2115" t="s">
        <v>2498</v>
      </c>
      <c r="G11" s="2116"/>
      <c r="H11" s="2116"/>
      <c r="I11" s="2116"/>
      <c r="J11" s="2117"/>
      <c r="K11" s="3015"/>
      <c r="L11" s="2077" t="s">
        <v>2499</v>
      </c>
      <c r="M11" s="2078">
        <f>SUMPRODUCT((区片价!B317:B337=I2)*(区片价!C3:F3=E2)*(区片价!C317:F337))</f>
        <v>0</v>
      </c>
      <c r="N11" s="2079">
        <f>SUMPRODUCT((因素修正幅度!B317:B337=I2)*(因素修正幅度!C3:F3=E2)*(因素修正幅度!C317:F337))</f>
        <v>0</v>
      </c>
      <c r="O11" s="3015"/>
      <c r="P11" s="3015"/>
      <c r="Q11" s="3015"/>
      <c r="R11" s="2069">
        <v>10</v>
      </c>
      <c r="S11" s="2080"/>
      <c r="T11" s="2069">
        <f t="shared" si="1"/>
        <v>0</v>
      </c>
      <c r="U11" s="2080"/>
      <c r="V11" s="2069">
        <f t="shared" si="2"/>
        <v>0</v>
      </c>
      <c r="W11" s="3705" t="s">
        <v>2500</v>
      </c>
      <c r="X11" s="2118" t="s">
        <v>2501</v>
      </c>
      <c r="Y11" s="2119">
        <f>$G$3</f>
        <v>2.5</v>
      </c>
      <c r="Z11" s="2119">
        <f t="shared" ref="Z11:AJ11" si="4">$G$3</f>
        <v>2.5</v>
      </c>
      <c r="AA11" s="2119">
        <f t="shared" si="4"/>
        <v>2.5</v>
      </c>
      <c r="AB11" s="2119">
        <f t="shared" si="4"/>
        <v>2.5</v>
      </c>
      <c r="AC11" s="2119">
        <f t="shared" si="4"/>
        <v>2.5</v>
      </c>
      <c r="AD11" s="2119">
        <f t="shared" si="4"/>
        <v>2.5</v>
      </c>
      <c r="AE11" s="2119">
        <f t="shared" si="4"/>
        <v>2.5</v>
      </c>
      <c r="AF11" s="2119">
        <f t="shared" si="4"/>
        <v>2.5</v>
      </c>
      <c r="AG11" s="2119">
        <f t="shared" si="4"/>
        <v>2.5</v>
      </c>
      <c r="AH11" s="2119">
        <f t="shared" si="4"/>
        <v>2.5</v>
      </c>
      <c r="AI11" s="2119">
        <f t="shared" si="4"/>
        <v>2.5</v>
      </c>
      <c r="AJ11" s="2119">
        <f t="shared" si="4"/>
        <v>2.5</v>
      </c>
    </row>
    <row r="12" spans="1:36" ht="25.5" thickBot="1">
      <c r="A12" s="3710" t="str">
        <f>IF(E2="住宅",2,"")</f>
        <v/>
      </c>
      <c r="B12" s="1579" t="s">
        <v>2502</v>
      </c>
      <c r="C12" s="2096">
        <f>ROUND(C15*D15*E15*F15*G15*H15*I15*J15,4)</f>
        <v>1</v>
      </c>
      <c r="D12" s="2120" t="s">
        <v>2503</v>
      </c>
      <c r="E12" s="2121"/>
      <c r="F12" s="2121"/>
      <c r="G12" s="2121"/>
      <c r="H12" s="2121"/>
      <c r="I12" s="2121"/>
      <c r="J12" s="2122"/>
      <c r="K12" s="3015"/>
      <c r="L12" s="2123" t="s">
        <v>2504</v>
      </c>
      <c r="M12" s="2124">
        <f>SUMPRODUCT((区片价!B338:B344=I2)*(区片价!C3:F3=E2)*(区片价!C338:F344))</f>
        <v>0</v>
      </c>
      <c r="N12" s="2125">
        <f>SUMPRODUCT((因素修正幅度!B338:B344=I2)*(因素修正幅度!C3:F3=E2)*(因素修正幅度!C338:F344))</f>
        <v>0</v>
      </c>
      <c r="O12" s="3015"/>
      <c r="P12" s="3015"/>
      <c r="Q12" s="3015"/>
      <c r="R12" s="2069">
        <v>11</v>
      </c>
      <c r="S12" s="2080"/>
      <c r="T12" s="2069">
        <f t="shared" si="1"/>
        <v>0</v>
      </c>
      <c r="U12" s="2080"/>
      <c r="V12" s="2069">
        <f t="shared" si="2"/>
        <v>0</v>
      </c>
      <c r="W12" s="3705"/>
      <c r="X12" s="2126" t="s">
        <v>2505</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712"/>
      <c r="B13" s="1580" t="s">
        <v>2506</v>
      </c>
      <c r="C13" s="2127" t="s">
        <v>2507</v>
      </c>
      <c r="D13" s="1581" t="s">
        <v>2508</v>
      </c>
      <c r="E13" s="1581" t="s">
        <v>2509</v>
      </c>
      <c r="F13" s="264" t="s">
        <v>2510</v>
      </c>
      <c r="G13" s="2128" t="s">
        <v>2511</v>
      </c>
      <c r="H13" s="2128" t="s">
        <v>2511</v>
      </c>
      <c r="I13" s="2128" t="s">
        <v>2511</v>
      </c>
      <c r="J13" s="2129" t="s">
        <v>2511</v>
      </c>
      <c r="K13" s="3015"/>
      <c r="L13" s="3015"/>
      <c r="M13" s="3015"/>
      <c r="N13" s="3015"/>
      <c r="O13" s="3015"/>
      <c r="P13" s="3015"/>
      <c r="Q13" s="3015"/>
      <c r="R13" s="2069">
        <v>12</v>
      </c>
      <c r="S13" s="2080"/>
      <c r="T13" s="2069">
        <f t="shared" si="1"/>
        <v>0</v>
      </c>
      <c r="U13" s="2080"/>
      <c r="V13" s="2069">
        <f t="shared" si="2"/>
        <v>0</v>
      </c>
      <c r="W13" s="3705"/>
      <c r="X13" s="2126"/>
      <c r="Y13" s="2114">
        <f>(-0.163*(Y12^2)-0.59*Y12+7617)*(10^(-4))/Y11</f>
        <v>0.30468000000000001</v>
      </c>
      <c r="Z13" s="2114">
        <f t="shared" ref="Z13:AJ13" si="6">(-0.163*(Z12^2)-0.59*Z12+7617)*(10^(-4))/Z11</f>
        <v>0.30468000000000001</v>
      </c>
      <c r="AA13" s="2114">
        <f t="shared" si="6"/>
        <v>0.30468000000000001</v>
      </c>
      <c r="AB13" s="2114">
        <f t="shared" si="6"/>
        <v>0.30468000000000001</v>
      </c>
      <c r="AC13" s="2114">
        <f t="shared" si="6"/>
        <v>0.30468000000000001</v>
      </c>
      <c r="AD13" s="2114">
        <f t="shared" si="6"/>
        <v>0.30468000000000001</v>
      </c>
      <c r="AE13" s="2114">
        <f t="shared" si="6"/>
        <v>0.30468000000000001</v>
      </c>
      <c r="AF13" s="2114">
        <f t="shared" si="6"/>
        <v>0.30468000000000001</v>
      </c>
      <c r="AG13" s="2114">
        <f t="shared" si="6"/>
        <v>0.30468000000000001</v>
      </c>
      <c r="AH13" s="2114">
        <f t="shared" si="6"/>
        <v>0.30468000000000001</v>
      </c>
      <c r="AI13" s="2114">
        <f t="shared" si="6"/>
        <v>0.30468000000000001</v>
      </c>
      <c r="AJ13" s="2114">
        <f t="shared" si="6"/>
        <v>0.30468000000000001</v>
      </c>
    </row>
    <row r="14" spans="1:36" ht="15">
      <c r="A14" s="3712"/>
      <c r="B14" s="1581"/>
      <c r="C14" s="2130"/>
      <c r="D14" s="2131"/>
      <c r="E14" s="2131"/>
      <c r="F14" s="2132"/>
      <c r="G14" s="2133" t="s">
        <v>2512</v>
      </c>
      <c r="H14" s="2134"/>
      <c r="I14" s="2135"/>
      <c r="J14" s="2136"/>
      <c r="K14" s="3015"/>
      <c r="L14" s="3015"/>
      <c r="M14" s="3015"/>
      <c r="N14" s="3015"/>
      <c r="O14" s="3015"/>
      <c r="P14" s="3015"/>
      <c r="Q14" s="3015"/>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75" thickBot="1">
      <c r="A15" s="3713"/>
      <c r="B15" s="1582" t="s">
        <v>2513</v>
      </c>
      <c r="C15" s="2137">
        <f>IF(C14="有",1.1,1)</f>
        <v>1</v>
      </c>
      <c r="D15" s="2137">
        <f>IF(D14="有",1.1,1)</f>
        <v>1</v>
      </c>
      <c r="E15" s="2137">
        <f>IF(E14="有",1.1,1)</f>
        <v>1</v>
      </c>
      <c r="F15" s="2137">
        <f>IF(F14="500米范围内",1.2,IF(F14="500-1000米",1.1,1))</f>
        <v>1</v>
      </c>
      <c r="G15" s="2138">
        <v>1</v>
      </c>
      <c r="H15" s="2138">
        <v>1</v>
      </c>
      <c r="I15" s="2138">
        <v>1</v>
      </c>
      <c r="J15" s="2139">
        <v>1</v>
      </c>
      <c r="K15" s="3015"/>
      <c r="L15" s="3015"/>
      <c r="M15" s="3015"/>
      <c r="N15" s="3015"/>
      <c r="O15" s="3015"/>
      <c r="P15" s="3015"/>
      <c r="Q15" s="3015"/>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714">
        <f>IF(E2="办公",2,IF(E2="工业",2,IF(E2="住宅",3,IF(E2="商业",IF(C8="不临58条商业街",2,3)))))</f>
        <v>2</v>
      </c>
      <c r="B16" s="1601" t="s">
        <v>2519</v>
      </c>
      <c r="C16" s="1577">
        <f>ROUND(IF(F17="与级别开发程度一致",0,(G17-E17)/C17),0)</f>
        <v>0</v>
      </c>
      <c r="D16" s="3727" t="s">
        <v>2523</v>
      </c>
      <c r="E16" s="3728"/>
      <c r="F16" s="3727" t="s">
        <v>2520</v>
      </c>
      <c r="G16" s="3728"/>
      <c r="H16" s="2140"/>
      <c r="I16" s="2140"/>
      <c r="J16" s="2141"/>
      <c r="K16" s="2140"/>
      <c r="L16" s="2140"/>
      <c r="M16" s="2140"/>
      <c r="N16" s="2140"/>
      <c r="O16" s="2142"/>
      <c r="P16" s="3015"/>
      <c r="Q16" s="3015"/>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6.25" thickBot="1">
      <c r="A17" s="3715"/>
      <c r="B17" s="1602" t="s">
        <v>2522</v>
      </c>
      <c r="C17" s="2143">
        <f>SUMPRODUCT((修正!A2:A5=E2)*(修正!B1:M1=G2)*(修正!B2:M5))</f>
        <v>2.5</v>
      </c>
      <c r="D17" s="2137" t="str">
        <f>IF(OR(G2="八级",G2="九级",G2="十级",G2="十一级",G2="十二级"),"五通一平","七通一平")</f>
        <v>七通一平</v>
      </c>
      <c r="E17" s="2144">
        <f>SUMPRODUCT((修正!B1:M1=G2)*(修正!B15:M15))</f>
        <v>300</v>
      </c>
      <c r="F17" s="2145" t="s">
        <v>2828</v>
      </c>
      <c r="G17" s="1591">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5"/>
      <c r="Q17" s="3015"/>
      <c r="R17" s="1593"/>
      <c r="S17" s="1593"/>
      <c r="T17" s="1593"/>
      <c r="U17" s="1593"/>
      <c r="V17" s="1593"/>
      <c r="W17" s="1593"/>
      <c r="X17" s="1593"/>
      <c r="Y17" s="1593"/>
      <c r="Z17" s="1593"/>
      <c r="AA17" s="1593"/>
      <c r="AB17" s="1593"/>
      <c r="AC17" s="1593"/>
      <c r="AD17" s="1593"/>
      <c r="AE17" s="1593"/>
      <c r="AF17" s="1593"/>
    </row>
    <row r="18" spans="1:35" s="2090" customFormat="1" ht="15.75" thickBot="1">
      <c r="A18" s="2148" t="s">
        <v>2525</v>
      </c>
      <c r="B18" s="1600" t="s">
        <v>2526</v>
      </c>
      <c r="C18" s="2149">
        <f>SUMIF(修正!C18:C39,E3,修正!E18:E39)</f>
        <v>1</v>
      </c>
      <c r="D18" s="2150"/>
      <c r="E18" s="2151"/>
      <c r="F18" s="2151"/>
      <c r="G18" s="2151"/>
      <c r="H18" s="2151"/>
      <c r="I18" s="2151"/>
      <c r="J18" s="2152"/>
      <c r="K18" s="3017"/>
      <c r="L18" s="3017"/>
      <c r="M18" s="3017"/>
      <c r="N18" s="3017"/>
      <c r="O18" s="3015"/>
      <c r="P18" s="3015"/>
      <c r="Q18" s="3015"/>
      <c r="R18" s="3015"/>
      <c r="S18" s="3015"/>
      <c r="T18" s="3015"/>
      <c r="U18" s="3015"/>
      <c r="V18" s="3015"/>
      <c r="W18" s="3015"/>
      <c r="X18" s="1593"/>
      <c r="Y18" s="1593"/>
      <c r="Z18" s="1593"/>
      <c r="AA18" s="1593"/>
      <c r="AB18" s="1593"/>
      <c r="AC18" s="1593"/>
      <c r="AD18" s="1593"/>
      <c r="AE18" s="1593"/>
      <c r="AF18" s="1593"/>
      <c r="AG18" s="1594"/>
      <c r="AH18" s="1594"/>
      <c r="AI18" s="1594"/>
    </row>
    <row r="19" spans="1:35" s="2090" customFormat="1" ht="29.25" thickBot="1">
      <c r="A19" s="2148" t="s">
        <v>2527</v>
      </c>
      <c r="B19" s="1583" t="s">
        <v>2528</v>
      </c>
      <c r="C19" s="2154">
        <f>ROUND(IF(H19="按公示增长率计算",SUMPRODUCT((地价!A3:A37=YEAR(G19)&amp;"-"&amp;ROUNDUP(MONTH(G19)/3,0))*(地价!X2:AB2=E2)*(地价!X3:AB37)),IF(H19="地价指数",M20/M19,(1+I19)^O19)),4)</f>
        <v>1.3644000000000001</v>
      </c>
      <c r="D19" s="2155" t="s">
        <v>2529</v>
      </c>
      <c r="E19" s="2156">
        <v>41640</v>
      </c>
      <c r="F19" s="2155" t="s">
        <v>2530</v>
      </c>
      <c r="G19" s="2157">
        <f>'数据-取费表'!B2</f>
        <v>44616</v>
      </c>
      <c r="H19" s="2158" t="s">
        <v>2665</v>
      </c>
      <c r="I19" s="2159" t="str">
        <f>IF(H19="季度增幅（自定义）",SUMIF(N21:N24,E2,O21:O24),"")</f>
        <v/>
      </c>
      <c r="J19" s="2160"/>
      <c r="K19" s="3017"/>
      <c r="L19" s="2041" t="s">
        <v>2531</v>
      </c>
      <c r="M19" s="2161">
        <f>ROUND(SUMIF(地价!B2:F2,E2,地价!B37:F37),0)</f>
        <v>258</v>
      </c>
      <c r="N19" s="2162" t="s">
        <v>2532</v>
      </c>
      <c r="O19" s="2163">
        <f>ROUNDDOWN(DATEDIF(E19,G19,"M")/3,0)</f>
        <v>32</v>
      </c>
      <c r="P19" s="3015"/>
      <c r="Q19" s="3017"/>
      <c r="R19" s="3015"/>
      <c r="S19" s="3015"/>
      <c r="T19" s="3015"/>
      <c r="U19" s="3015"/>
      <c r="V19" s="3015"/>
      <c r="W19" s="3015"/>
      <c r="X19" s="1593"/>
      <c r="Y19" s="1593"/>
      <c r="Z19" s="1593"/>
      <c r="AA19" s="1593"/>
      <c r="AB19" s="1593"/>
      <c r="AC19" s="1593"/>
      <c r="AD19" s="1593"/>
      <c r="AE19" s="2153"/>
      <c r="AF19" s="2164"/>
      <c r="AG19" s="2165"/>
      <c r="AH19" s="1594"/>
    </row>
    <row r="20" spans="1:35" s="2090" customFormat="1" ht="27.75" thickBot="1">
      <c r="A20" s="1687" t="s">
        <v>2533</v>
      </c>
      <c r="B20" s="1584" t="s">
        <v>2534</v>
      </c>
      <c r="C20" s="2166">
        <f>ROUND(POWER(1+G20,J20-I20)*(POWER(1+G20,I20)-1)/(POWER(1+G20,J20)-1),4)</f>
        <v>0.8911</v>
      </c>
      <c r="D20" s="2167" t="s">
        <v>2535</v>
      </c>
      <c r="E20" s="3120">
        <f>存贷款利率!E20/100</f>
        <v>4.3499999999999997E-2</v>
      </c>
      <c r="F20" s="2167" t="s">
        <v>2524</v>
      </c>
      <c r="G20" s="3121">
        <f>SUMIF(M26:P26,E2,M28:P28)</f>
        <v>5.3999999999999999E-2</v>
      </c>
      <c r="H20" s="2167" t="s">
        <v>2536</v>
      </c>
      <c r="I20" s="2168">
        <f>'数据-取费表'!B13</f>
        <v>29</v>
      </c>
      <c r="J20" s="2169">
        <f>IF(E2="住宅",70,IF(E2="商业",40,50))</f>
        <v>40</v>
      </c>
      <c r="K20" s="3017"/>
      <c r="L20" s="2170" t="s">
        <v>2537</v>
      </c>
      <c r="M20" s="2171">
        <f>ROUND(SUMPRODUCT((地价!A4:A37=YEAR(G19)&amp;"-"&amp;ROUNDUP(MONTH(G19)/3,0))*(地价!B2:F2=E2)*(地价!B4:F37)),0)</f>
        <v>352</v>
      </c>
      <c r="N20" s="2172" t="s">
        <v>2538</v>
      </c>
      <c r="O20" s="2173" t="s">
        <v>2539</v>
      </c>
      <c r="P20" s="2174" t="s">
        <v>2540</v>
      </c>
      <c r="Q20" s="3017"/>
      <c r="R20" s="3015"/>
      <c r="S20" s="3015"/>
      <c r="T20" s="3015"/>
      <c r="U20" s="3015"/>
      <c r="V20" s="3015"/>
      <c r="W20" s="3015"/>
      <c r="X20" s="1593"/>
      <c r="Y20" s="1593"/>
      <c r="Z20" s="1593"/>
      <c r="AA20" s="1593"/>
      <c r="AB20" s="1593"/>
      <c r="AC20" s="1593"/>
      <c r="AD20" s="1593"/>
      <c r="AE20" s="2153"/>
      <c r="AF20" s="2153"/>
    </row>
    <row r="21" spans="1:35" s="2090" customFormat="1" ht="15">
      <c r="A21" s="2175" t="s">
        <v>2541</v>
      </c>
      <c r="B21" s="1585" t="s">
        <v>3061</v>
      </c>
      <c r="C21" s="2176">
        <f>IF(B21="容积率修正",IF(G3&lt;=10,D22,J22),C23)</f>
        <v>1.8629</v>
      </c>
      <c r="D21" s="2177"/>
      <c r="E21" s="2177"/>
      <c r="F21" s="2177"/>
      <c r="G21" s="2177"/>
      <c r="H21" s="2177"/>
      <c r="I21" s="2177"/>
      <c r="J21" s="2042"/>
      <c r="K21" s="3017"/>
      <c r="L21" s="3017"/>
      <c r="M21" s="3017"/>
      <c r="N21" s="2178" t="s">
        <v>2542</v>
      </c>
      <c r="O21" s="2179"/>
      <c r="P21" s="2180">
        <f>SUMPRODUCT((地价!A3:A37=YEAR(G19)&amp;"-"&amp;ROUNDUP(MONTH(G19)/3,0))*(地价!AD2:AH2=N21)*(地价!AD3:AH37))</f>
        <v>1.0200000000000001E-2</v>
      </c>
      <c r="Q21" s="3017"/>
      <c r="R21" s="3015"/>
      <c r="S21" s="3015"/>
      <c r="T21" s="3015"/>
      <c r="U21" s="3015"/>
      <c r="V21" s="3015"/>
      <c r="W21" s="3015"/>
      <c r="X21" s="1593"/>
      <c r="Y21" s="1593"/>
      <c r="Z21" s="1593"/>
      <c r="AA21" s="1593"/>
      <c r="AB21" s="1593"/>
      <c r="AC21" s="1593"/>
      <c r="AD21" s="1593"/>
      <c r="AE21" s="2153"/>
      <c r="AF21" s="2153"/>
    </row>
    <row r="22" spans="1:35" s="2090" customFormat="1" ht="14.25">
      <c r="A22" s="2038">
        <v>1</v>
      </c>
      <c r="B22" s="2037" t="s">
        <v>2543</v>
      </c>
      <c r="C22" s="2037" t="s">
        <v>2544</v>
      </c>
      <c r="D22" s="2037">
        <f>IF(E22=G22,F22,IF(G3&lt;=10,ROUND(F22+(H22-F22)*(G3-E22)/(G22-E22),4),"——"))</f>
        <v>1</v>
      </c>
      <c r="E22" s="2081">
        <f>ROUNDDOWN(G3,1)</f>
        <v>2.5</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1">
        <f>ROUNDUP(G3,1)</f>
        <v>2.5</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7" t="s">
        <v>104</v>
      </c>
      <c r="J22" s="2181" t="str">
        <f>IF(G3&gt;10,D113,"——")</f>
        <v>——</v>
      </c>
      <c r="K22" s="3017"/>
      <c r="L22" s="3017"/>
      <c r="M22" s="3017"/>
      <c r="N22" s="2178" t="s">
        <v>2545</v>
      </c>
      <c r="O22" s="2179"/>
      <c r="P22" s="2180">
        <f>SUMPRODUCT((地价!A3:A37=YEAR(G19)&amp;"-"&amp;ROUNDUP(MONTH(G19)/3,0))*(地价!AD2:AH2=N22)*(地价!AD3:AH37))</f>
        <v>1.0200000000000001E-2</v>
      </c>
      <c r="Q22" s="3017"/>
      <c r="R22" s="3015"/>
      <c r="S22" s="3015"/>
      <c r="T22" s="3015"/>
      <c r="U22" s="3015"/>
      <c r="V22" s="3015"/>
      <c r="W22" s="3015"/>
      <c r="X22" s="1593"/>
      <c r="Y22" s="1593"/>
      <c r="Z22" s="1593"/>
      <c r="AA22" s="1593"/>
      <c r="AB22" s="1593"/>
      <c r="AC22" s="1593"/>
      <c r="AD22" s="1593"/>
      <c r="AE22" s="2153"/>
      <c r="AF22" s="2153"/>
    </row>
    <row r="23" spans="1:35" ht="27">
      <c r="A23" s="2038">
        <v>2</v>
      </c>
      <c r="B23" s="2037" t="s">
        <v>2546</v>
      </c>
      <c r="C23" s="2182">
        <f>ROUND(IF(G3&gt;1,IF(I3&lt;7,SUMPRODUCT((B93:B98=I3)*(C92:N92=G2)*(C93:N98)),SUMIF(C92:N92,G2,C100:N100)),IF(I3&lt;7,SUMPRODUCT((B102:B107=I3)*(C92:N92=G2)*(C102:N107)),SUMIF(C92:N92,G2,C109:N109))),4)</f>
        <v>1.8629</v>
      </c>
      <c r="D23" s="2134"/>
      <c r="E23" s="2134"/>
      <c r="F23" s="2183"/>
      <c r="G23" s="2184"/>
      <c r="H23" s="1590"/>
      <c r="I23" s="2037"/>
      <c r="J23" s="2181"/>
      <c r="K23" s="3015"/>
      <c r="L23" s="3015"/>
      <c r="M23" s="3015"/>
      <c r="N23" s="2178" t="s">
        <v>2547</v>
      </c>
      <c r="O23" s="2179"/>
      <c r="P23" s="2180">
        <f>SUMPRODUCT((地价!A3:A37=YEAR(G19)&amp;"-"&amp;ROUNDUP(MONTH(G19)/3,0))*(地价!AD2:AH2=N23)*(地价!AD3:AH37))</f>
        <v>1.77E-2</v>
      </c>
      <c r="Q23" s="3015"/>
      <c r="R23" s="3015"/>
      <c r="S23" s="3015"/>
      <c r="T23" s="3015"/>
      <c r="U23" s="3015"/>
      <c r="V23" s="3015"/>
      <c r="W23" s="3015"/>
      <c r="X23" s="1593"/>
      <c r="Y23" s="1593"/>
      <c r="Z23" s="1593"/>
      <c r="AA23" s="1593"/>
      <c r="AB23" s="1593"/>
      <c r="AC23" s="1593"/>
      <c r="AD23" s="1593"/>
      <c r="AE23" s="1593"/>
      <c r="AF23" s="1593"/>
    </row>
    <row r="24" spans="1:35" s="2090" customFormat="1" ht="15.75" thickBot="1">
      <c r="A24" s="2185" t="s">
        <v>2548</v>
      </c>
      <c r="B24" s="1587" t="s">
        <v>2549</v>
      </c>
      <c r="C24" s="2186">
        <f>SUMIF(A46:A88,E2,B46:B88)</f>
        <v>1.0646</v>
      </c>
      <c r="D24" s="2187"/>
      <c r="E24" s="2188"/>
      <c r="F24" s="2188"/>
      <c r="G24" s="2188"/>
      <c r="H24" s="2188"/>
      <c r="I24" s="2188"/>
      <c r="J24" s="2189"/>
      <c r="K24" s="3017"/>
      <c r="L24" s="3017"/>
      <c r="M24" s="3017"/>
      <c r="N24" s="2190" t="s">
        <v>2550</v>
      </c>
      <c r="O24" s="2191"/>
      <c r="P24" s="2192">
        <f>SUMPRODUCT((地价!A3:A37=YEAR(G19)&amp;"-"&amp;ROUNDUP(MONTH(G19)/3,0))*(地价!AD2:AH2=N24)*(地价!AD3:AH37))</f>
        <v>1.18E-2</v>
      </c>
      <c r="Q24" s="3017"/>
      <c r="R24" s="3015"/>
      <c r="S24" s="3015"/>
      <c r="T24" s="3015"/>
      <c r="U24" s="3015"/>
      <c r="V24" s="3015"/>
      <c r="W24" s="3015"/>
      <c r="X24" s="1593"/>
      <c r="Y24" s="1593"/>
      <c r="Z24" s="1593"/>
      <c r="AA24" s="1593"/>
      <c r="AB24" s="1593"/>
      <c r="AC24" s="1593"/>
      <c r="AD24" s="1593"/>
      <c r="AE24" s="2153"/>
      <c r="AF24" s="2153"/>
    </row>
    <row r="25" spans="1:35" ht="15" thickBot="1">
      <c r="A25" s="1687" t="s">
        <v>2551</v>
      </c>
      <c r="B25" s="1588" t="s">
        <v>2552</v>
      </c>
      <c r="C25" s="2193"/>
      <c r="D25" s="2099"/>
      <c r="E25" s="2099"/>
      <c r="F25" s="2194"/>
      <c r="G25" s="2099"/>
      <c r="H25" s="2099"/>
      <c r="I25" s="2099"/>
      <c r="J25" s="2100"/>
      <c r="K25" s="3015"/>
      <c r="L25" s="3015"/>
      <c r="M25" s="3015"/>
      <c r="N25" s="3018" t="s">
        <v>2553</v>
      </c>
      <c r="O25" s="3019"/>
      <c r="P25" s="3020">
        <f>SUMPRODUCT((地价!A3:A37=YEAR(G19)&amp;"-"&amp;ROUNDUP(MONTH(G19)/3,0))*(地价!AD2:AH2=N25)*(地价!AD3:AH37))</f>
        <v>1.61E-2</v>
      </c>
      <c r="Q25" s="3015"/>
      <c r="R25" s="3015"/>
      <c r="S25" s="3015"/>
      <c r="T25" s="3015"/>
      <c r="U25" s="3015"/>
      <c r="V25" s="3015"/>
      <c r="W25" s="3015"/>
      <c r="X25" s="1593"/>
      <c r="Y25" s="1593"/>
      <c r="Z25" s="1593"/>
      <c r="AA25" s="1593"/>
      <c r="AB25" s="1593"/>
      <c r="AC25" s="1593"/>
      <c r="AD25" s="1593"/>
      <c r="AE25" s="1593"/>
      <c r="AF25" s="1593"/>
    </row>
    <row r="26" spans="1:35" ht="15">
      <c r="A26" s="1672"/>
      <c r="B26" s="2037" t="s">
        <v>2554</v>
      </c>
      <c r="C26" s="2855">
        <f>IF(B21="容积率修正",E29+SUM(E33:E39),SUM(V2:V16)+SUM(E33:E39))</f>
        <v>10598194</v>
      </c>
      <c r="D26" s="2195"/>
      <c r="E26" s="2134"/>
      <c r="F26" s="1448"/>
      <c r="G26" s="2134"/>
      <c r="H26" s="2134"/>
      <c r="I26" s="2134"/>
      <c r="J26" s="2196"/>
      <c r="K26" s="3015"/>
      <c r="L26" s="3021" t="s">
        <v>2514</v>
      </c>
      <c r="M26" s="2097" t="s">
        <v>2515</v>
      </c>
      <c r="N26" s="2097" t="s">
        <v>2516</v>
      </c>
      <c r="O26" s="2097" t="s">
        <v>2517</v>
      </c>
      <c r="P26" s="3022" t="s">
        <v>2518</v>
      </c>
      <c r="Q26" s="3015"/>
      <c r="R26" s="3015"/>
      <c r="S26" s="3015"/>
      <c r="T26" s="3015"/>
      <c r="U26" s="3015"/>
      <c r="V26" s="3015"/>
      <c r="W26" s="3015"/>
      <c r="X26" s="1593"/>
      <c r="Y26" s="1593"/>
      <c r="Z26" s="1593"/>
      <c r="AA26" s="1593"/>
      <c r="AB26" s="1593"/>
      <c r="AC26" s="1593"/>
      <c r="AD26" s="1593"/>
      <c r="AE26" s="1593"/>
      <c r="AF26" s="1593"/>
    </row>
    <row r="27" spans="1:35" ht="15.75" thickBot="1">
      <c r="A27" s="1672"/>
      <c r="B27" s="1589" t="s">
        <v>2555</v>
      </c>
      <c r="C27" s="2197">
        <f>E30+SUM(I33:I39)</f>
        <v>723684</v>
      </c>
      <c r="D27" s="2146"/>
      <c r="E27" s="2198"/>
      <c r="F27" s="2199"/>
      <c r="G27" s="2198"/>
      <c r="H27" s="2198"/>
      <c r="I27" s="2198"/>
      <c r="J27" s="2200"/>
      <c r="K27" s="3015"/>
      <c r="L27" s="2201" t="s">
        <v>2521</v>
      </c>
      <c r="M27" s="2110">
        <v>0.25</v>
      </c>
      <c r="N27" s="2110">
        <v>0.2</v>
      </c>
      <c r="O27" s="2110">
        <v>0.15</v>
      </c>
      <c r="P27" s="2202">
        <v>0.1</v>
      </c>
      <c r="Q27" s="3015"/>
      <c r="R27" s="3015"/>
      <c r="S27" s="3015"/>
      <c r="T27" s="3015"/>
      <c r="U27" s="3015"/>
      <c r="V27" s="3015"/>
      <c r="W27" s="3015"/>
      <c r="X27" s="1593"/>
      <c r="Y27" s="1593"/>
      <c r="Z27" s="1593"/>
      <c r="AA27" s="1593"/>
      <c r="AB27" s="1593"/>
      <c r="AC27" s="1593"/>
      <c r="AD27" s="1593"/>
      <c r="AE27" s="1593"/>
      <c r="AF27" s="1593"/>
    </row>
    <row r="28" spans="1:35" ht="15.75" thickBot="1">
      <c r="A28" s="1687"/>
      <c r="B28" s="2203" t="s">
        <v>2556</v>
      </c>
      <c r="C28" s="2204" t="s">
        <v>2557</v>
      </c>
      <c r="D28" s="2204" t="s">
        <v>2558</v>
      </c>
      <c r="E28" s="1588" t="s">
        <v>2559</v>
      </c>
      <c r="F28" s="2205"/>
      <c r="G28" s="2121"/>
      <c r="H28" s="2121"/>
      <c r="I28" s="2121"/>
      <c r="J28" s="2122"/>
      <c r="K28" s="3015"/>
      <c r="L28" s="2206" t="s">
        <v>2524</v>
      </c>
      <c r="M28" s="2207">
        <f>ROUND($E$20*(1+M27),3)</f>
        <v>5.3999999999999999E-2</v>
      </c>
      <c r="N28" s="2207">
        <f>ROUND($E$20*(1+N27),3)</f>
        <v>5.1999999999999998E-2</v>
      </c>
      <c r="O28" s="2207">
        <f>ROUND($E$20*(1+O27),3)</f>
        <v>0.05</v>
      </c>
      <c r="P28" s="2125">
        <f>ROUND($E$20*(1+P27),3)</f>
        <v>4.8000000000000001E-2</v>
      </c>
      <c r="Q28" s="3015"/>
      <c r="R28" s="3015"/>
      <c r="S28" s="3015"/>
      <c r="T28" s="3015"/>
      <c r="U28" s="3015"/>
      <c r="V28" s="3015"/>
      <c r="W28" s="3015"/>
      <c r="X28" s="1593"/>
      <c r="Y28" s="1593"/>
      <c r="Z28" s="1593"/>
      <c r="AA28" s="1593"/>
      <c r="AB28" s="1593"/>
      <c r="AC28" s="1593"/>
      <c r="AD28" s="1593"/>
      <c r="AE28" s="1593"/>
      <c r="AF28" s="1593"/>
    </row>
    <row r="29" spans="1:35">
      <c r="A29" s="2208"/>
      <c r="B29" s="1590" t="s">
        <v>2560</v>
      </c>
      <c r="C29" s="54">
        <f>ROUND(C5*C18*C19*C20*C21*C24,0)</f>
        <v>42462</v>
      </c>
      <c r="D29" s="2209">
        <v>181.42</v>
      </c>
      <c r="E29" s="1996">
        <f>ROUND(C29*D29,0)</f>
        <v>7703456</v>
      </c>
      <c r="F29" s="2210" t="s">
        <v>2561</v>
      </c>
      <c r="G29" s="2211"/>
      <c r="H29" s="2211"/>
      <c r="I29" s="2211"/>
      <c r="J29" s="2212"/>
      <c r="K29" s="3015"/>
      <c r="L29" s="3015"/>
      <c r="M29" s="3015"/>
      <c r="N29" s="3015"/>
      <c r="O29" s="3015"/>
      <c r="P29" s="3015"/>
      <c r="Q29" s="3015"/>
      <c r="R29" s="3015"/>
      <c r="S29" s="3015"/>
      <c r="T29" s="3015"/>
      <c r="U29" s="3015"/>
      <c r="V29" s="3015"/>
      <c r="W29" s="3015"/>
      <c r="X29" s="1593"/>
      <c r="Y29" s="1593"/>
      <c r="Z29" s="1593"/>
      <c r="AA29" s="1593"/>
      <c r="AB29" s="1593"/>
      <c r="AC29" s="1593"/>
      <c r="AD29" s="1593"/>
      <c r="AE29" s="1593"/>
      <c r="AF29" s="1593"/>
    </row>
    <row r="30" spans="1:35" ht="25.5" thickBot="1">
      <c r="A30" s="2213"/>
      <c r="B30" s="1591" t="s">
        <v>2562</v>
      </c>
      <c r="C30" s="2137">
        <f>ROUND(IF(E2="工业",C29*M39,C29*M38),0)</f>
        <v>10616</v>
      </c>
      <c r="D30" s="2214"/>
      <c r="E30" s="1996">
        <f>ROUND(C30*D30,0)</f>
        <v>0</v>
      </c>
      <c r="F30" s="2215" t="s">
        <v>2563</v>
      </c>
      <c r="G30" s="2216"/>
      <c r="H30" s="2216"/>
      <c r="I30" s="2216"/>
      <c r="J30" s="2217"/>
      <c r="K30" s="3015"/>
      <c r="L30" s="3015"/>
      <c r="M30" s="3015"/>
      <c r="N30" s="3015"/>
      <c r="O30" s="3015"/>
      <c r="P30" s="3015"/>
      <c r="Q30" s="3015"/>
      <c r="R30" s="3015"/>
      <c r="S30" s="3015"/>
      <c r="T30" s="3015"/>
      <c r="U30" s="3015"/>
      <c r="V30" s="3015"/>
      <c r="W30" s="3015"/>
      <c r="X30" s="1593"/>
      <c r="Y30" s="1593"/>
      <c r="Z30" s="1593"/>
      <c r="AA30" s="1593"/>
      <c r="AB30" s="1593"/>
      <c r="AC30" s="1593"/>
      <c r="AD30" s="1593"/>
      <c r="AE30" s="1593"/>
      <c r="AF30" s="1593"/>
    </row>
    <row r="31" spans="1:35">
      <c r="A31" s="2218"/>
      <c r="B31" s="1592" t="s">
        <v>2564</v>
      </c>
      <c r="C31" s="2219" t="s">
        <v>2565</v>
      </c>
      <c r="D31" s="2121"/>
      <c r="E31" s="2219"/>
      <c r="F31" s="2219"/>
      <c r="G31" s="2120" t="s">
        <v>2566</v>
      </c>
      <c r="H31" s="2121"/>
      <c r="I31" s="2220"/>
      <c r="J31" s="2122"/>
      <c r="K31" s="3015"/>
      <c r="L31" s="3015"/>
      <c r="M31" s="3015"/>
      <c r="N31" s="3015"/>
      <c r="O31" s="3015"/>
      <c r="P31" s="3015"/>
      <c r="Q31" s="3015"/>
      <c r="R31" s="3015"/>
      <c r="S31" s="3015"/>
      <c r="T31" s="3015"/>
      <c r="U31" s="3015"/>
      <c r="V31" s="3015"/>
      <c r="W31" s="3015"/>
      <c r="X31" s="1593"/>
      <c r="Y31" s="1593"/>
      <c r="Z31" s="1593"/>
      <c r="AA31" s="1593"/>
      <c r="AB31" s="1593"/>
      <c r="AC31" s="1593"/>
      <c r="AD31" s="1593"/>
      <c r="AE31" s="1593"/>
      <c r="AF31" s="1593"/>
    </row>
    <row r="32" spans="1:35" ht="24">
      <c r="A32" s="2208"/>
      <c r="B32" s="2221"/>
      <c r="C32" s="1776" t="s">
        <v>2557</v>
      </c>
      <c r="D32" s="1773" t="s">
        <v>2558</v>
      </c>
      <c r="E32" s="1773" t="s">
        <v>2559</v>
      </c>
      <c r="F32" s="50" t="s">
        <v>2567</v>
      </c>
      <c r="G32" s="2182" t="s">
        <v>2557</v>
      </c>
      <c r="H32" s="2182" t="s">
        <v>2558</v>
      </c>
      <c r="I32" s="2182" t="s">
        <v>2559</v>
      </c>
      <c r="J32" s="2034"/>
      <c r="K32" s="3015"/>
      <c r="L32" s="3015"/>
      <c r="M32" s="3015"/>
      <c r="N32" s="3015"/>
      <c r="O32" s="3015"/>
      <c r="P32" s="3015"/>
      <c r="Q32" s="3015"/>
      <c r="R32" s="3015"/>
      <c r="S32" s="3015"/>
      <c r="T32" s="3015"/>
      <c r="U32" s="3015"/>
      <c r="V32" s="3015"/>
      <c r="W32" s="3015"/>
      <c r="X32" s="1593"/>
      <c r="Y32" s="1593"/>
      <c r="Z32" s="1593"/>
      <c r="AA32" s="1593"/>
      <c r="AB32" s="1593"/>
      <c r="AC32" s="1593"/>
      <c r="AD32" s="1593"/>
      <c r="AE32" s="1593"/>
      <c r="AF32" s="1593"/>
    </row>
    <row r="33" spans="1:33">
      <c r="A33" s="3724" t="s">
        <v>2568</v>
      </c>
      <c r="B33" s="2222" t="s">
        <v>2569</v>
      </c>
      <c r="C33" s="54">
        <f>ROUND(D5*C19*C20*C24*F33,0)</f>
        <v>15956</v>
      </c>
      <c r="D33" s="2209">
        <f>362.84/2</f>
        <v>181.42</v>
      </c>
      <c r="E33" s="50">
        <f t="shared" ref="E33:E39" si="7">ROUND(C33*D33,0)</f>
        <v>2894738</v>
      </c>
      <c r="F33" s="50">
        <f>SUMIF(修正!A45:A56,G2,修正!B45:B56)</f>
        <v>0.7</v>
      </c>
      <c r="G33" s="50">
        <f t="shared" ref="G33" si="8">ROUND(IF(E2="工业",C33*$M$39,C33*$M$38),0)</f>
        <v>3989</v>
      </c>
      <c r="H33" s="50">
        <f>D33</f>
        <v>181.42</v>
      </c>
      <c r="I33" s="50">
        <f t="shared" ref="I33:I39" si="9">ROUND(G33*H33,0)</f>
        <v>723684</v>
      </c>
      <c r="J33" s="2196"/>
      <c r="K33" s="3015"/>
      <c r="L33" s="3015"/>
      <c r="M33" s="3015"/>
      <c r="N33" s="3015"/>
      <c r="O33" s="3015"/>
      <c r="P33" s="3015"/>
      <c r="Q33" s="3015"/>
      <c r="R33" s="3015"/>
      <c r="S33" s="3015"/>
      <c r="T33" s="3015"/>
      <c r="U33" s="3015"/>
      <c r="V33" s="3015"/>
      <c r="W33" s="3015"/>
      <c r="X33" s="1593"/>
      <c r="Y33" s="1593"/>
      <c r="Z33" s="1593"/>
      <c r="AA33" s="1593"/>
      <c r="AB33" s="1593"/>
      <c r="AC33" s="1593"/>
      <c r="AD33" s="1593"/>
      <c r="AE33" s="1593"/>
      <c r="AF33" s="1593"/>
    </row>
    <row r="34" spans="1:33">
      <c r="A34" s="3725"/>
      <c r="B34" s="2127" t="s">
        <v>2570</v>
      </c>
      <c r="C34" s="54">
        <f>ROUND(D5*C19*C20*C24*F34,0)</f>
        <v>9117</v>
      </c>
      <c r="D34" s="2209"/>
      <c r="E34" s="50">
        <f t="shared" si="7"/>
        <v>0</v>
      </c>
      <c r="F34" s="50">
        <f>SUMIF(修正!A45:A56,G2,修正!C45:C56)</f>
        <v>0.4</v>
      </c>
      <c r="G34" s="50">
        <f>ROUND(IF(E2="工业",C34*$M$39,C34*$M$38),0)</f>
        <v>2279</v>
      </c>
      <c r="H34" s="50">
        <f t="shared" ref="H34:H39" si="10">D34</f>
        <v>0</v>
      </c>
      <c r="I34" s="50">
        <f t="shared" si="9"/>
        <v>0</v>
      </c>
      <c r="J34" s="2196"/>
      <c r="K34" s="3015"/>
      <c r="L34" s="3015"/>
      <c r="M34" s="3015"/>
      <c r="N34" s="3015"/>
      <c r="O34" s="3015"/>
      <c r="P34" s="3015"/>
      <c r="Q34" s="3015"/>
      <c r="R34" s="3015"/>
      <c r="S34" s="3015"/>
      <c r="T34" s="3015"/>
      <c r="U34" s="3015"/>
      <c r="V34" s="3015"/>
      <c r="W34" s="3015"/>
      <c r="X34" s="1593"/>
      <c r="Y34" s="1593"/>
      <c r="Z34" s="1593"/>
      <c r="AA34" s="1593"/>
      <c r="AB34" s="1593"/>
      <c r="AC34" s="1593"/>
      <c r="AD34" s="1593"/>
      <c r="AE34" s="1593"/>
      <c r="AF34" s="1593"/>
    </row>
    <row r="35" spans="1:33">
      <c r="A35" s="3725"/>
      <c r="B35" s="2127" t="s">
        <v>2571</v>
      </c>
      <c r="C35" s="54">
        <f>ROUND(D5*C19*C20*C24*F35,0)</f>
        <v>6382</v>
      </c>
      <c r="D35" s="2209"/>
      <c r="E35" s="50">
        <f t="shared" si="7"/>
        <v>0</v>
      </c>
      <c r="F35" s="50">
        <f>SUMIF(修正!A45:A56,G2,修正!D45:D56)</f>
        <v>0.28000000000000003</v>
      </c>
      <c r="G35" s="50">
        <f>ROUND(IF(E2="工业",C35*$M$39,C35*$M$38),0)</f>
        <v>1596</v>
      </c>
      <c r="H35" s="50">
        <f t="shared" si="10"/>
        <v>0</v>
      </c>
      <c r="I35" s="50">
        <f t="shared" si="9"/>
        <v>0</v>
      </c>
      <c r="J35" s="2196"/>
      <c r="K35" s="3015"/>
      <c r="L35" s="3015"/>
      <c r="M35" s="3015"/>
      <c r="N35" s="3015"/>
      <c r="O35" s="3015"/>
      <c r="P35" s="3015"/>
      <c r="Q35" s="3015"/>
      <c r="R35" s="3015"/>
      <c r="S35" s="3015"/>
      <c r="T35" s="3015"/>
      <c r="U35" s="3015"/>
      <c r="V35" s="3015"/>
      <c r="W35" s="3015"/>
      <c r="X35" s="1593"/>
      <c r="Y35" s="1593"/>
      <c r="Z35" s="1593"/>
      <c r="AA35" s="1593"/>
      <c r="AB35" s="1593"/>
      <c r="AC35" s="1593"/>
      <c r="AD35" s="1593"/>
      <c r="AE35" s="1593"/>
      <c r="AF35" s="1593"/>
    </row>
    <row r="36" spans="1:33" ht="13.5" thickBot="1">
      <c r="A36" s="3726"/>
      <c r="B36" s="2127" t="s">
        <v>2572</v>
      </c>
      <c r="C36" s="54">
        <f>ROUND(D5*C19*C20*C24*F36,0)</f>
        <v>5698</v>
      </c>
      <c r="D36" s="2209"/>
      <c r="E36" s="50">
        <f t="shared" si="7"/>
        <v>0</v>
      </c>
      <c r="F36" s="50">
        <f>SUMIF(修正!A45:A56,G2,修正!E45:E56)</f>
        <v>0.25</v>
      </c>
      <c r="G36" s="50">
        <f>ROUND(IF(E2="工业",C36*$M$39,C36*$M$38),0)</f>
        <v>1425</v>
      </c>
      <c r="H36" s="50">
        <f t="shared" si="10"/>
        <v>0</v>
      </c>
      <c r="I36" s="50">
        <f t="shared" si="9"/>
        <v>0</v>
      </c>
      <c r="J36" s="2196"/>
      <c r="K36" s="3015"/>
      <c r="L36" s="3015"/>
      <c r="M36" s="3015"/>
      <c r="N36" s="3015"/>
      <c r="O36" s="3015"/>
      <c r="P36" s="3015"/>
      <c r="Q36" s="3015"/>
      <c r="R36" s="3015"/>
      <c r="S36" s="3015"/>
      <c r="T36" s="3015"/>
      <c r="U36" s="3015"/>
      <c r="V36" s="3015"/>
      <c r="W36" s="3015"/>
      <c r="X36" s="1593"/>
      <c r="Y36" s="1593"/>
      <c r="Z36" s="1593"/>
      <c r="AA36" s="1593"/>
      <c r="AB36" s="1593"/>
      <c r="AC36" s="1593"/>
      <c r="AD36" s="1593"/>
      <c r="AE36" s="1593"/>
      <c r="AF36" s="1593"/>
    </row>
    <row r="37" spans="1:33">
      <c r="A37" s="2223"/>
      <c r="B37" s="2127" t="s">
        <v>2573</v>
      </c>
      <c r="C37" s="50">
        <f>ROUND(D5*C19*C20*C24*F37,0)</f>
        <v>5698</v>
      </c>
      <c r="D37" s="2209"/>
      <c r="E37" s="50">
        <f t="shared" si="7"/>
        <v>0</v>
      </c>
      <c r="F37" s="54">
        <f>SUMIF(修正!A45:A56,G2,修正!F45:F56)</f>
        <v>0.25</v>
      </c>
      <c r="G37" s="50">
        <f>ROUND(IF(E2="工业",C37*$M$39,C37*$M$38),0)</f>
        <v>1425</v>
      </c>
      <c r="H37" s="50">
        <f t="shared" si="10"/>
        <v>0</v>
      </c>
      <c r="I37" s="50">
        <f t="shared" si="9"/>
        <v>0</v>
      </c>
      <c r="J37" s="2196"/>
      <c r="K37" s="3015"/>
      <c r="L37" s="2224" t="s">
        <v>2574</v>
      </c>
      <c r="M37" s="2100"/>
      <c r="N37" s="3015"/>
      <c r="O37" s="3015"/>
      <c r="P37" s="3015"/>
      <c r="Q37" s="3015"/>
      <c r="R37" s="3015"/>
      <c r="S37" s="3015"/>
      <c r="T37" s="3015"/>
      <c r="U37" s="3015"/>
      <c r="V37" s="3015"/>
      <c r="W37" s="3015"/>
      <c r="X37" s="1593"/>
      <c r="Y37" s="1593"/>
      <c r="Z37" s="1593"/>
      <c r="AA37" s="1593"/>
      <c r="AB37" s="1593"/>
      <c r="AC37" s="1593"/>
      <c r="AD37" s="1593"/>
      <c r="AE37" s="1593"/>
      <c r="AF37" s="1593"/>
    </row>
    <row r="38" spans="1:33">
      <c r="A38" s="2223"/>
      <c r="B38" s="2127" t="s">
        <v>2575</v>
      </c>
      <c r="C38" s="50">
        <f>ROUND(D5*C19*C41*C24*F38,0)</f>
        <v>0</v>
      </c>
      <c r="D38" s="2209"/>
      <c r="E38" s="50">
        <f t="shared" si="7"/>
        <v>0</v>
      </c>
      <c r="F38" s="54">
        <f>SUMIF(修正!A45:A56,G2,修正!G45:G56)</f>
        <v>0.25</v>
      </c>
      <c r="G38" s="50">
        <f>ROUND(IF(E2="工业",C38*$M$39,C38*$M$38),0)</f>
        <v>0</v>
      </c>
      <c r="H38" s="50">
        <f t="shared" si="10"/>
        <v>0</v>
      </c>
      <c r="I38" s="50">
        <f t="shared" si="9"/>
        <v>0</v>
      </c>
      <c r="J38" s="2196"/>
      <c r="K38" s="3015"/>
      <c r="L38" s="2225" t="s">
        <v>2576</v>
      </c>
      <c r="M38" s="2226">
        <v>0.25</v>
      </c>
      <c r="N38" s="3015"/>
      <c r="O38" s="3015"/>
      <c r="P38" s="3015"/>
      <c r="Q38" s="3015"/>
      <c r="R38" s="3015"/>
      <c r="S38" s="3015"/>
      <c r="T38" s="3015"/>
      <c r="U38" s="3015"/>
      <c r="V38" s="3015"/>
      <c r="W38" s="3015"/>
      <c r="X38" s="1593"/>
      <c r="Y38" s="1593"/>
      <c r="Z38" s="1593"/>
      <c r="AA38" s="1593"/>
      <c r="AB38" s="1593"/>
      <c r="AC38" s="1593"/>
      <c r="AD38" s="1593"/>
      <c r="AE38" s="1593"/>
      <c r="AF38" s="1593"/>
    </row>
    <row r="39" spans="1:33" ht="13.5" thickBot="1">
      <c r="A39" s="2213"/>
      <c r="B39" s="2227" t="s">
        <v>2577</v>
      </c>
      <c r="C39" s="2137">
        <f>ROUND(D5*C19*C41*C24*F39,0)</f>
        <v>0</v>
      </c>
      <c r="D39" s="2214"/>
      <c r="E39" s="2137">
        <f t="shared" si="7"/>
        <v>0</v>
      </c>
      <c r="F39" s="56">
        <f>SUMIF(修正!A45:A56,G2,修正!H45:H56)</f>
        <v>0.2</v>
      </c>
      <c r="G39" s="2137">
        <f>ROUND(IF(E2="工业",C39*$M$39,C39*$M$38),0)</f>
        <v>0</v>
      </c>
      <c r="H39" s="2137">
        <f t="shared" si="10"/>
        <v>0</v>
      </c>
      <c r="I39" s="2137">
        <f t="shared" si="9"/>
        <v>0</v>
      </c>
      <c r="J39" s="2200"/>
      <c r="K39" s="3015"/>
      <c r="L39" s="2228" t="s">
        <v>2518</v>
      </c>
      <c r="M39" s="2229">
        <v>0.15</v>
      </c>
      <c r="N39" s="3015"/>
      <c r="O39" s="3015"/>
      <c r="P39" s="3015"/>
      <c r="Q39" s="3015"/>
      <c r="R39" s="3015"/>
      <c r="S39" s="3015"/>
      <c r="T39" s="3015"/>
      <c r="U39" s="3015"/>
      <c r="V39" s="3015"/>
      <c r="W39" s="3015"/>
      <c r="X39" s="1593"/>
      <c r="Y39" s="1593"/>
      <c r="Z39" s="1593"/>
      <c r="AA39" s="1593"/>
      <c r="AB39" s="1593"/>
      <c r="AC39" s="1593"/>
      <c r="AD39" s="1593"/>
      <c r="AE39" s="1593"/>
      <c r="AF39" s="1593"/>
    </row>
    <row r="40" spans="1:33" s="2230" customFormat="1">
      <c r="A40" s="1593"/>
      <c r="B40" s="1593"/>
      <c r="C40" s="1593"/>
      <c r="D40" s="1593"/>
      <c r="E40" s="1593"/>
      <c r="F40" s="1593"/>
      <c r="G40" s="1593"/>
      <c r="H40" s="1593"/>
      <c r="I40" s="1593"/>
      <c r="J40" s="1593"/>
      <c r="K40" s="3015"/>
      <c r="L40" s="3015"/>
      <c r="M40" s="3015"/>
      <c r="N40" s="3015"/>
      <c r="O40" s="3015"/>
      <c r="P40" s="3015"/>
      <c r="Q40" s="3015"/>
      <c r="R40" s="3015"/>
      <c r="S40" s="3015"/>
      <c r="T40" s="3015"/>
      <c r="U40" s="3015"/>
      <c r="V40" s="3015"/>
      <c r="W40" s="3015"/>
      <c r="X40" s="1593"/>
      <c r="Y40" s="1593"/>
      <c r="Z40" s="1593"/>
      <c r="AA40" s="1593"/>
      <c r="AB40" s="1593"/>
      <c r="AC40" s="1593"/>
      <c r="AD40" s="1593"/>
      <c r="AE40" s="1593"/>
      <c r="AF40" s="1593"/>
    </row>
    <row r="41" spans="1:33" s="2230" customFormat="1">
      <c r="A41" s="1593"/>
      <c r="B41" s="2231" t="s">
        <v>2657</v>
      </c>
      <c r="C41" s="50">
        <f>ROUND(POWER(1+E41,H41-G41)*(POWER(1+E41,G41)-1)/(POWER(1+E41,H41)-1),4)</f>
        <v>0</v>
      </c>
      <c r="D41" s="50" t="s">
        <v>2655</v>
      </c>
      <c r="E41" s="2232">
        <f>G20</f>
        <v>5.3999999999999999E-2</v>
      </c>
      <c r="F41" s="50" t="s">
        <v>2656</v>
      </c>
      <c r="G41" s="2233"/>
      <c r="H41" s="50">
        <v>50</v>
      </c>
      <c r="I41" s="1593"/>
      <c r="J41" s="1593"/>
      <c r="K41" s="3015"/>
      <c r="L41" s="3015"/>
      <c r="M41" s="3015"/>
      <c r="N41" s="3015"/>
      <c r="O41" s="3015"/>
      <c r="P41" s="3015"/>
      <c r="Q41" s="3015"/>
      <c r="R41" s="3015"/>
      <c r="S41" s="3015"/>
      <c r="T41" s="3015"/>
      <c r="U41" s="3015"/>
      <c r="V41" s="3015"/>
      <c r="W41" s="3015"/>
      <c r="X41" s="1593"/>
      <c r="Y41" s="1593"/>
      <c r="Z41" s="1593"/>
      <c r="AA41" s="1593"/>
      <c r="AB41" s="1593"/>
      <c r="AC41" s="1593"/>
      <c r="AD41" s="1593"/>
      <c r="AE41" s="1593"/>
      <c r="AF41" s="1593"/>
    </row>
    <row r="42" spans="1:33" s="2230"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3"/>
      <c r="Y42" s="1593"/>
      <c r="Z42" s="1593"/>
      <c r="AA42" s="1593"/>
      <c r="AB42" s="1593"/>
      <c r="AC42" s="1593"/>
      <c r="AD42" s="1593"/>
      <c r="AE42" s="1593"/>
      <c r="AF42" s="1593"/>
    </row>
    <row r="43" spans="1:33" s="2230"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3"/>
      <c r="Y43" s="1593"/>
      <c r="Z43" s="1593"/>
      <c r="AA43" s="1593"/>
      <c r="AB43" s="1593"/>
      <c r="AC43" s="1593"/>
      <c r="AD43" s="1593"/>
      <c r="AE43" s="1593"/>
      <c r="AF43" s="1593"/>
    </row>
    <row r="44" spans="1:33" s="2230"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3"/>
      <c r="Y44" s="1593"/>
      <c r="Z44" s="1593"/>
      <c r="AA44" s="1593"/>
      <c r="AB44" s="1593"/>
      <c r="AC44" s="1593"/>
      <c r="AD44" s="1593"/>
      <c r="AE44" s="1593"/>
      <c r="AF44" s="1593"/>
    </row>
    <row r="45" spans="1:33" s="2230" customFormat="1" ht="15.75" thickBot="1">
      <c r="A45" s="2234" t="s">
        <v>2578</v>
      </c>
      <c r="B45" s="2235"/>
      <c r="C45" s="608"/>
      <c r="D45" s="608"/>
      <c r="E45" s="608"/>
      <c r="F45" s="608"/>
      <c r="G45" s="608"/>
      <c r="H45" s="608"/>
      <c r="I45" s="608"/>
      <c r="J45" s="608"/>
      <c r="K45" s="608"/>
      <c r="L45" s="608"/>
      <c r="M45" s="608"/>
      <c r="N45" s="2065"/>
      <c r="O45" s="1593"/>
      <c r="P45" s="1593"/>
      <c r="Q45" s="3015"/>
      <c r="R45" s="3015"/>
      <c r="S45" s="3015"/>
      <c r="T45" s="3015"/>
      <c r="U45" s="3015"/>
      <c r="V45" s="3015"/>
      <c r="W45" s="3015"/>
      <c r="X45" s="1593"/>
      <c r="Y45" s="1593"/>
      <c r="Z45" s="1593"/>
      <c r="AA45" s="1593"/>
      <c r="AB45" s="1593"/>
      <c r="AC45" s="1593"/>
      <c r="AD45" s="1593"/>
      <c r="AE45" s="1593"/>
      <c r="AF45" s="1593"/>
    </row>
    <row r="46" spans="1:33" s="2230" customFormat="1" ht="15">
      <c r="A46" s="2236" t="s">
        <v>2579</v>
      </c>
      <c r="B46" s="2237">
        <f>1+E48</f>
        <v>1.0646</v>
      </c>
      <c r="C46" s="2238"/>
      <c r="D46" s="2239"/>
      <c r="E46" s="2240"/>
      <c r="F46" s="2241"/>
      <c r="G46" s="608"/>
      <c r="H46" s="608"/>
      <c r="I46" s="608"/>
      <c r="J46" s="608"/>
      <c r="K46" s="608"/>
      <c r="L46" s="608"/>
      <c r="M46" s="2065"/>
      <c r="N46" s="2242"/>
      <c r="O46" s="1593"/>
      <c r="P46" s="1593"/>
      <c r="Q46" s="3015"/>
      <c r="R46" s="3015"/>
      <c r="S46" s="3015"/>
      <c r="T46" s="3015"/>
      <c r="U46" s="3015"/>
      <c r="V46" s="3015"/>
      <c r="W46" s="3015"/>
      <c r="X46" s="1593"/>
      <c r="Y46" s="1593"/>
      <c r="Z46" s="1593"/>
      <c r="AA46" s="1593"/>
      <c r="AB46" s="1593"/>
      <c r="AC46" s="1593"/>
      <c r="AD46" s="1593"/>
      <c r="AE46" s="1593"/>
    </row>
    <row r="47" spans="1:33" s="2230" customFormat="1" ht="24.75">
      <c r="A47" s="2243" t="s">
        <v>2580</v>
      </c>
      <c r="B47" s="2244" t="s">
        <v>2581</v>
      </c>
      <c r="C47" s="2244" t="s">
        <v>2582</v>
      </c>
      <c r="D47" s="2244" t="s">
        <v>2583</v>
      </c>
      <c r="E47" s="2245" t="s">
        <v>2584</v>
      </c>
      <c r="F47" s="2195" t="s">
        <v>2585</v>
      </c>
      <c r="G47" s="2244" t="s">
        <v>2586</v>
      </c>
      <c r="H47" s="2246" t="s">
        <v>2587</v>
      </c>
      <c r="I47" s="2244" t="s">
        <v>2588</v>
      </c>
      <c r="J47" s="1871" t="s">
        <v>2589</v>
      </c>
      <c r="K47" s="1871" t="s">
        <v>2590</v>
      </c>
      <c r="L47" s="1871" t="s">
        <v>2591</v>
      </c>
      <c r="M47" s="1871" t="s">
        <v>2592</v>
      </c>
      <c r="N47" s="1871" t="s">
        <v>2593</v>
      </c>
      <c r="O47" s="1593"/>
      <c r="P47" s="1593"/>
      <c r="Q47" s="3015"/>
      <c r="R47" s="3015"/>
      <c r="S47" s="3015"/>
      <c r="T47" s="3015"/>
      <c r="U47" s="3015"/>
      <c r="V47" s="3015"/>
      <c r="W47" s="3015"/>
      <c r="X47" s="1593"/>
      <c r="Y47" s="1593"/>
      <c r="Z47" s="1593"/>
      <c r="AA47" s="1593"/>
      <c r="AB47" s="1593"/>
      <c r="AC47" s="1593"/>
      <c r="AD47" s="1593"/>
      <c r="AE47" s="1593"/>
      <c r="AF47" s="1593"/>
      <c r="AG47" s="1593"/>
    </row>
    <row r="48" spans="1:33" s="2230" customFormat="1" ht="38.25">
      <c r="A48" s="2243" t="s">
        <v>2594</v>
      </c>
      <c r="B48" s="2247" t="str">
        <f>估价对象房地状况!C16</f>
        <v>估价对象位于XX商圈，周边商业氛围成熟，人流量大，商业繁华度好</v>
      </c>
      <c r="C48" s="2131" t="s">
        <v>29</v>
      </c>
      <c r="D48" s="2248">
        <f t="shared" ref="D48:D56" si="11">SUMIF($J$47:$N$47,C48,J48:N48)</f>
        <v>3.1600000000000003E-2</v>
      </c>
      <c r="E48" s="2249">
        <f>ROUND(SUM(D48:D56),4)</f>
        <v>6.4600000000000005E-2</v>
      </c>
      <c r="F48" s="2250">
        <f>IF(E2="商业",SUMIF(L1:L12,G2,N1:N12),"——")</f>
        <v>9.6000000000000002E-2</v>
      </c>
      <c r="G48" s="2251">
        <v>1.5800000000000002E-2</v>
      </c>
      <c r="H48" s="2252">
        <f t="shared" ref="H48:H56" si="12">IFERROR(ROUNDDOWN($F$48*I48/2,4),"——")</f>
        <v>1.5800000000000002E-2</v>
      </c>
      <c r="I48" s="2253">
        <v>0.33</v>
      </c>
      <c r="J48" s="2254">
        <f t="shared" ref="J48:J56" si="13">K48+$G48</f>
        <v>3.1600000000000003E-2</v>
      </c>
      <c r="K48" s="2254">
        <f t="shared" ref="K48:K56" si="14">$L48+$G48</f>
        <v>1.5800000000000002E-2</v>
      </c>
      <c r="L48" s="2254">
        <v>0</v>
      </c>
      <c r="M48" s="2254">
        <f t="shared" ref="M48:N56" si="15">L48-$G48</f>
        <v>-1.5800000000000002E-2</v>
      </c>
      <c r="N48" s="2254">
        <f t="shared" si="15"/>
        <v>-3.1600000000000003E-2</v>
      </c>
      <c r="O48" s="1593"/>
      <c r="P48" s="1593"/>
      <c r="Q48" s="3015"/>
      <c r="R48" s="3015"/>
      <c r="S48" s="3015"/>
      <c r="T48" s="3015"/>
      <c r="U48" s="3015"/>
      <c r="V48" s="3015"/>
      <c r="W48" s="3015"/>
      <c r="X48" s="1593"/>
      <c r="Y48" s="1593"/>
      <c r="Z48" s="1593"/>
      <c r="AA48" s="1593"/>
      <c r="AB48" s="1593"/>
      <c r="AC48" s="1593"/>
      <c r="AD48" s="1593"/>
      <c r="AE48" s="1593"/>
      <c r="AF48" s="1593"/>
      <c r="AG48" s="1593"/>
    </row>
    <row r="49" spans="1:33" s="2230" customFormat="1" ht="51">
      <c r="A49" s="2243" t="s">
        <v>2595</v>
      </c>
      <c r="B49" s="2255" t="str">
        <f>估价对象房地状况!C18</f>
        <v>估价对象周边道路状况、公共交通通达情况、停车便捷程度，综合评价交通便捷度较好</v>
      </c>
      <c r="C49" s="2131" t="s">
        <v>30</v>
      </c>
      <c r="D49" s="2248">
        <f t="shared" si="11"/>
        <v>1.2E-2</v>
      </c>
      <c r="E49" s="2256"/>
      <c r="F49" s="2250"/>
      <c r="G49" s="2251">
        <v>1.2E-2</v>
      </c>
      <c r="H49" s="2252">
        <f t="shared" si="12"/>
        <v>1.2E-2</v>
      </c>
      <c r="I49" s="2253">
        <v>0.25</v>
      </c>
      <c r="J49" s="2254">
        <f t="shared" si="13"/>
        <v>2.4E-2</v>
      </c>
      <c r="K49" s="2254">
        <f t="shared" si="14"/>
        <v>1.2E-2</v>
      </c>
      <c r="L49" s="2254">
        <v>0</v>
      </c>
      <c r="M49" s="2254">
        <f t="shared" si="15"/>
        <v>-1.2E-2</v>
      </c>
      <c r="N49" s="2254">
        <f t="shared" si="15"/>
        <v>-2.4E-2</v>
      </c>
      <c r="O49" s="1593"/>
      <c r="P49" s="1593"/>
      <c r="Q49" s="3015"/>
      <c r="R49" s="3015"/>
      <c r="S49" s="3015"/>
      <c r="T49" s="3015"/>
      <c r="U49" s="3015"/>
      <c r="V49" s="3015"/>
      <c r="W49" s="3015"/>
      <c r="X49" s="1593"/>
      <c r="Y49" s="1593"/>
      <c r="Z49" s="1593"/>
      <c r="AA49" s="1593"/>
      <c r="AB49" s="1593"/>
      <c r="AC49" s="1593"/>
      <c r="AD49" s="1593"/>
      <c r="AE49" s="1593"/>
      <c r="AF49" s="1593"/>
      <c r="AG49" s="1593"/>
    </row>
    <row r="50" spans="1:33" s="2230" customFormat="1" ht="24">
      <c r="A50" s="2243" t="s">
        <v>2596</v>
      </c>
      <c r="B50" s="2255">
        <f>估价对象房地状况!C19</f>
        <v>0</v>
      </c>
      <c r="C50" s="2131" t="s">
        <v>30</v>
      </c>
      <c r="D50" s="2248">
        <f t="shared" si="11"/>
        <v>2.3999999999999998E-3</v>
      </c>
      <c r="E50" s="2256"/>
      <c r="F50" s="2250"/>
      <c r="G50" s="2251">
        <v>2.3999999999999998E-3</v>
      </c>
      <c r="H50" s="2252">
        <f t="shared" si="12"/>
        <v>2.3999999999999998E-3</v>
      </c>
      <c r="I50" s="2253">
        <v>0.05</v>
      </c>
      <c r="J50" s="2254">
        <f t="shared" si="13"/>
        <v>4.7999999999999996E-3</v>
      </c>
      <c r="K50" s="2254">
        <f t="shared" si="14"/>
        <v>2.3999999999999998E-3</v>
      </c>
      <c r="L50" s="2254">
        <v>0</v>
      </c>
      <c r="M50" s="2254">
        <f t="shared" si="15"/>
        <v>-2.3999999999999998E-3</v>
      </c>
      <c r="N50" s="2254">
        <f t="shared" si="15"/>
        <v>-4.7999999999999996E-3</v>
      </c>
      <c r="O50" s="1593"/>
      <c r="P50" s="1593"/>
      <c r="Q50" s="3015"/>
      <c r="R50" s="3015"/>
      <c r="S50" s="3015"/>
      <c r="T50" s="3015"/>
      <c r="U50" s="3015"/>
      <c r="V50" s="3015"/>
      <c r="W50" s="3015"/>
      <c r="X50" s="1593"/>
      <c r="Y50" s="1593"/>
      <c r="Z50" s="1593"/>
      <c r="AA50" s="1593"/>
      <c r="AB50" s="1593"/>
      <c r="AC50" s="1593"/>
      <c r="AD50" s="1593"/>
      <c r="AE50" s="1593"/>
      <c r="AF50" s="1593"/>
      <c r="AG50" s="1593"/>
    </row>
    <row r="51" spans="1:33" s="2230" customFormat="1" ht="36.75">
      <c r="A51" s="2243" t="s">
        <v>2597</v>
      </c>
      <c r="B51" s="2257" t="s">
        <v>2598</v>
      </c>
      <c r="C51" s="2131" t="s">
        <v>30</v>
      </c>
      <c r="D51" s="2248">
        <f t="shared" si="11"/>
        <v>2.3999999999999998E-3</v>
      </c>
      <c r="E51" s="2256"/>
      <c r="F51" s="2250"/>
      <c r="G51" s="2251">
        <v>2.3999999999999998E-3</v>
      </c>
      <c r="H51" s="2252">
        <f t="shared" si="12"/>
        <v>2.3999999999999998E-3</v>
      </c>
      <c r="I51" s="2253">
        <v>0.05</v>
      </c>
      <c r="J51" s="2254">
        <f t="shared" si="13"/>
        <v>4.7999999999999996E-3</v>
      </c>
      <c r="K51" s="2254">
        <f t="shared" si="14"/>
        <v>2.3999999999999998E-3</v>
      </c>
      <c r="L51" s="2254">
        <v>0</v>
      </c>
      <c r="M51" s="2254">
        <f t="shared" si="15"/>
        <v>-2.3999999999999998E-3</v>
      </c>
      <c r="N51" s="2254">
        <f t="shared" si="15"/>
        <v>-4.7999999999999996E-3</v>
      </c>
      <c r="O51" s="1593"/>
      <c r="P51" s="1593"/>
      <c r="Q51" s="3015"/>
      <c r="R51" s="3015"/>
      <c r="S51" s="3015"/>
      <c r="T51" s="3015"/>
      <c r="U51" s="3015"/>
      <c r="V51" s="3015"/>
      <c r="W51" s="3015"/>
      <c r="X51" s="1593"/>
      <c r="Y51" s="1593"/>
      <c r="Z51" s="1593"/>
      <c r="AA51" s="1593"/>
      <c r="AB51" s="1593"/>
      <c r="AC51" s="1593"/>
      <c r="AD51" s="1593"/>
      <c r="AE51" s="1593"/>
      <c r="AF51" s="1593"/>
      <c r="AG51" s="1593"/>
    </row>
    <row r="52" spans="1:33" s="2230" customFormat="1" ht="24">
      <c r="A52" s="2243" t="s">
        <v>2599</v>
      </c>
      <c r="B52" s="2255">
        <f>估价对象房地状况!C24</f>
        <v>0</v>
      </c>
      <c r="C52" s="2131" t="s">
        <v>31</v>
      </c>
      <c r="D52" s="2248">
        <f t="shared" si="11"/>
        <v>0</v>
      </c>
      <c r="E52" s="2256"/>
      <c r="F52" s="2250"/>
      <c r="G52" s="2251">
        <v>3.8E-3</v>
      </c>
      <c r="H52" s="2252">
        <f t="shared" si="12"/>
        <v>3.8E-3</v>
      </c>
      <c r="I52" s="2253">
        <v>0.08</v>
      </c>
      <c r="J52" s="2254">
        <f t="shared" si="13"/>
        <v>7.6E-3</v>
      </c>
      <c r="K52" s="2254">
        <f t="shared" si="14"/>
        <v>3.8E-3</v>
      </c>
      <c r="L52" s="2254">
        <v>0</v>
      </c>
      <c r="M52" s="2254">
        <f t="shared" si="15"/>
        <v>-3.8E-3</v>
      </c>
      <c r="N52" s="2254">
        <f t="shared" si="15"/>
        <v>-7.6E-3</v>
      </c>
      <c r="O52" s="1593"/>
      <c r="P52" s="1593"/>
      <c r="Q52" s="3015"/>
      <c r="R52" s="3015"/>
      <c r="S52" s="3015"/>
      <c r="T52" s="3015"/>
      <c r="U52" s="3015"/>
      <c r="V52" s="3015"/>
      <c r="W52" s="3015"/>
      <c r="X52" s="1593"/>
      <c r="Y52" s="1593"/>
      <c r="Z52" s="1593"/>
      <c r="AA52" s="1593"/>
      <c r="AB52" s="1593"/>
      <c r="AC52" s="1593"/>
      <c r="AD52" s="1593"/>
      <c r="AE52" s="1593"/>
      <c r="AF52" s="1593"/>
      <c r="AG52" s="1593"/>
    </row>
    <row r="53" spans="1:33" s="2230" customFormat="1" ht="24">
      <c r="A53" s="2243" t="s">
        <v>2600</v>
      </c>
      <c r="B53" s="2258" t="s">
        <v>2601</v>
      </c>
      <c r="C53" s="2131" t="s">
        <v>30</v>
      </c>
      <c r="D53" s="2248">
        <f t="shared" si="11"/>
        <v>1.4E-3</v>
      </c>
      <c r="E53" s="2256"/>
      <c r="F53" s="2250"/>
      <c r="G53" s="2251">
        <v>1.4E-3</v>
      </c>
      <c r="H53" s="2252">
        <f t="shared" si="12"/>
        <v>1.4E-3</v>
      </c>
      <c r="I53" s="2253">
        <v>0.03</v>
      </c>
      <c r="J53" s="2254">
        <f t="shared" si="13"/>
        <v>2.8E-3</v>
      </c>
      <c r="K53" s="2254">
        <f t="shared" si="14"/>
        <v>1.4E-3</v>
      </c>
      <c r="L53" s="2254">
        <v>0</v>
      </c>
      <c r="M53" s="2254">
        <f t="shared" si="15"/>
        <v>-1.4E-3</v>
      </c>
      <c r="N53" s="2254">
        <f t="shared" si="15"/>
        <v>-2.8E-3</v>
      </c>
      <c r="O53" s="1593"/>
      <c r="P53" s="1593"/>
      <c r="Q53" s="3015"/>
      <c r="R53" s="3015"/>
      <c r="S53" s="3015"/>
      <c r="T53" s="3015"/>
      <c r="U53" s="3015"/>
      <c r="V53" s="3015"/>
      <c r="W53" s="3015"/>
      <c r="X53" s="1593"/>
      <c r="Y53" s="1593"/>
      <c r="Z53" s="1593"/>
      <c r="AA53" s="1593"/>
      <c r="AB53" s="1593"/>
      <c r="AC53" s="1593"/>
      <c r="AD53" s="1593"/>
      <c r="AE53" s="1593"/>
      <c r="AF53" s="1593"/>
      <c r="AG53" s="1593"/>
    </row>
    <row r="54" spans="1:33" s="2230" customFormat="1" ht="25.5">
      <c r="A54" s="2259" t="s">
        <v>2602</v>
      </c>
      <c r="B54" s="2260" t="str">
        <f>估价对象房地状况!C21</f>
        <v>估价对象所在区域公共配套设施齐备情况</v>
      </c>
      <c r="C54" s="2131" t="s">
        <v>30</v>
      </c>
      <c r="D54" s="2248">
        <f t="shared" si="11"/>
        <v>2.3999999999999998E-3</v>
      </c>
      <c r="E54" s="2256"/>
      <c r="F54" s="2250"/>
      <c r="G54" s="2251">
        <v>2.3999999999999998E-3</v>
      </c>
      <c r="H54" s="2252">
        <f t="shared" si="12"/>
        <v>2.3999999999999998E-3</v>
      </c>
      <c r="I54" s="2253">
        <v>0.05</v>
      </c>
      <c r="J54" s="2254">
        <f t="shared" si="13"/>
        <v>4.7999999999999996E-3</v>
      </c>
      <c r="K54" s="2254">
        <f t="shared" si="14"/>
        <v>2.3999999999999998E-3</v>
      </c>
      <c r="L54" s="2254">
        <v>0</v>
      </c>
      <c r="M54" s="2254">
        <f t="shared" si="15"/>
        <v>-2.3999999999999998E-3</v>
      </c>
      <c r="N54" s="2254">
        <f t="shared" si="15"/>
        <v>-4.7999999999999996E-3</v>
      </c>
      <c r="O54" s="1593"/>
      <c r="P54" s="1593"/>
      <c r="Q54" s="3015"/>
      <c r="R54" s="3015"/>
      <c r="S54" s="3015"/>
      <c r="T54" s="3015"/>
      <c r="U54" s="3015"/>
      <c r="V54" s="3015"/>
      <c r="W54" s="3015"/>
      <c r="X54" s="1593"/>
      <c r="Y54" s="1593"/>
      <c r="Z54" s="1593"/>
      <c r="AA54" s="1593"/>
      <c r="AB54" s="1593"/>
      <c r="AC54" s="1593"/>
      <c r="AD54" s="1593"/>
      <c r="AE54" s="1593"/>
      <c r="AF54" s="1593"/>
      <c r="AG54" s="1593"/>
    </row>
    <row r="55" spans="1:33" s="2230" customFormat="1" ht="25.5">
      <c r="A55" s="2259" t="s">
        <v>2603</v>
      </c>
      <c r="B55" s="2255" t="str">
        <f>估价对象房地状况!C22</f>
        <v>估价对象所在区域基础设施水平</v>
      </c>
      <c r="C55" s="2131" t="s">
        <v>29</v>
      </c>
      <c r="D55" s="2248">
        <f t="shared" si="11"/>
        <v>9.5999999999999992E-3</v>
      </c>
      <c r="E55" s="2256"/>
      <c r="F55" s="2250"/>
      <c r="G55" s="2251">
        <v>4.7999999999999996E-3</v>
      </c>
      <c r="H55" s="2252">
        <f t="shared" si="12"/>
        <v>4.7999999999999996E-3</v>
      </c>
      <c r="I55" s="2253">
        <v>0.1</v>
      </c>
      <c r="J55" s="2254">
        <f t="shared" si="13"/>
        <v>9.5999999999999992E-3</v>
      </c>
      <c r="K55" s="2254">
        <f t="shared" si="14"/>
        <v>4.7999999999999996E-3</v>
      </c>
      <c r="L55" s="2254">
        <v>0</v>
      </c>
      <c r="M55" s="2254">
        <f t="shared" si="15"/>
        <v>-4.7999999999999996E-3</v>
      </c>
      <c r="N55" s="2254">
        <f t="shared" si="15"/>
        <v>-9.5999999999999992E-3</v>
      </c>
      <c r="O55" s="1593"/>
      <c r="P55" s="1593"/>
      <c r="Q55" s="3015"/>
      <c r="R55" s="3015"/>
      <c r="S55" s="3015"/>
      <c r="T55" s="3015"/>
      <c r="U55" s="3015"/>
      <c r="V55" s="3015"/>
      <c r="W55" s="3015"/>
      <c r="X55" s="1593"/>
      <c r="Y55" s="1593"/>
      <c r="Z55" s="1593"/>
      <c r="AA55" s="1593"/>
      <c r="AB55" s="1593"/>
      <c r="AC55" s="1593"/>
      <c r="AD55" s="1593"/>
      <c r="AE55" s="1593"/>
      <c r="AF55" s="1593"/>
      <c r="AG55" s="1593"/>
    </row>
    <row r="56" spans="1:33" s="2230" customFormat="1" ht="39" thickBot="1">
      <c r="A56" s="2261" t="s">
        <v>2604</v>
      </c>
      <c r="B56" s="2262" t="str">
        <f>估价对象房地状况!C20</f>
        <v>区域自然环境：；人文环境；综合评价环境状况一般</v>
      </c>
      <c r="C56" s="2131" t="s">
        <v>30</v>
      </c>
      <c r="D56" s="2248">
        <f t="shared" si="11"/>
        <v>2.8E-3</v>
      </c>
      <c r="E56" s="2263"/>
      <c r="F56" s="2250"/>
      <c r="G56" s="2251">
        <v>2.8E-3</v>
      </c>
      <c r="H56" s="2252">
        <f t="shared" si="12"/>
        <v>2.8E-3</v>
      </c>
      <c r="I56" s="2264">
        <v>0.06</v>
      </c>
      <c r="J56" s="2254">
        <f t="shared" si="13"/>
        <v>5.5999999999999999E-3</v>
      </c>
      <c r="K56" s="2254">
        <f t="shared" si="14"/>
        <v>2.8E-3</v>
      </c>
      <c r="L56" s="2254">
        <v>0</v>
      </c>
      <c r="M56" s="2254">
        <f t="shared" si="15"/>
        <v>-2.8E-3</v>
      </c>
      <c r="N56" s="2254">
        <f t="shared" si="15"/>
        <v>-5.5999999999999999E-3</v>
      </c>
      <c r="O56" s="1593"/>
      <c r="P56" s="1593"/>
      <c r="Q56" s="3015"/>
      <c r="R56" s="3015"/>
      <c r="S56" s="3015"/>
      <c r="T56" s="3015"/>
      <c r="U56" s="3015"/>
      <c r="V56" s="3015"/>
      <c r="W56" s="3015"/>
      <c r="X56" s="1593"/>
      <c r="Y56" s="1593"/>
      <c r="Z56" s="1593"/>
      <c r="AA56" s="1593"/>
      <c r="AB56" s="1593"/>
      <c r="AC56" s="1593"/>
      <c r="AD56" s="1593"/>
      <c r="AE56" s="1593"/>
      <c r="AF56" s="1593"/>
      <c r="AG56" s="1593"/>
    </row>
    <row r="57" spans="1:33" s="2230" customFormat="1" ht="15">
      <c r="A57" s="2236" t="s">
        <v>2605</v>
      </c>
      <c r="B57" s="2265">
        <f>1+E59</f>
        <v>1</v>
      </c>
      <c r="C57" s="2239"/>
      <c r="D57" s="2239"/>
      <c r="E57" s="2240"/>
      <c r="F57" s="2241"/>
      <c r="G57" s="608"/>
      <c r="H57" s="608"/>
      <c r="I57" s="608"/>
      <c r="J57" s="608"/>
      <c r="K57" s="608"/>
      <c r="L57" s="608"/>
      <c r="M57" s="608"/>
      <c r="N57" s="608"/>
      <c r="O57" s="1593"/>
      <c r="P57" s="1593"/>
      <c r="Q57" s="3015"/>
      <c r="R57" s="3015"/>
      <c r="S57" s="3015"/>
      <c r="T57" s="3015"/>
      <c r="U57" s="3015"/>
      <c r="V57" s="3015"/>
      <c r="W57" s="3015"/>
      <c r="X57" s="1593"/>
      <c r="Y57" s="1593"/>
      <c r="Z57" s="1593"/>
      <c r="AA57" s="1593"/>
      <c r="AB57" s="1593"/>
      <c r="AC57" s="1593"/>
      <c r="AD57" s="1593"/>
      <c r="AE57" s="1593"/>
      <c r="AF57" s="1593"/>
      <c r="AG57" s="1593"/>
    </row>
    <row r="58" spans="1:33" s="2230" customFormat="1" ht="24.75">
      <c r="A58" s="2243" t="s">
        <v>2580</v>
      </c>
      <c r="B58" s="2255"/>
      <c r="C58" s="2244" t="s">
        <v>2582</v>
      </c>
      <c r="D58" s="2244" t="s">
        <v>2583</v>
      </c>
      <c r="E58" s="2245" t="s">
        <v>2584</v>
      </c>
      <c r="F58" s="2195" t="s">
        <v>2585</v>
      </c>
      <c r="G58" s="2244" t="s">
        <v>2606</v>
      </c>
      <c r="H58" s="2246" t="s">
        <v>2607</v>
      </c>
      <c r="I58" s="2244" t="s">
        <v>2608</v>
      </c>
      <c r="J58" s="1871" t="s">
        <v>2252</v>
      </c>
      <c r="K58" s="1871" t="s">
        <v>2253</v>
      </c>
      <c r="L58" s="1871" t="s">
        <v>2254</v>
      </c>
      <c r="M58" s="1871" t="s">
        <v>2255</v>
      </c>
      <c r="N58" s="1871" t="s">
        <v>2256</v>
      </c>
      <c r="O58" s="1593"/>
      <c r="P58" s="1593"/>
      <c r="Q58" s="3015"/>
      <c r="R58" s="3015"/>
      <c r="S58" s="3015"/>
      <c r="T58" s="3015"/>
      <c r="U58" s="3015"/>
      <c r="V58" s="3015"/>
      <c r="W58" s="3015"/>
      <c r="X58" s="1593"/>
      <c r="Y58" s="1593"/>
      <c r="Z58" s="1593"/>
      <c r="AA58" s="1593"/>
      <c r="AB58" s="1593"/>
      <c r="AC58" s="1593"/>
      <c r="AD58" s="1593"/>
      <c r="AE58" s="1593"/>
      <c r="AF58" s="1593"/>
      <c r="AG58" s="1593"/>
    </row>
    <row r="59" spans="1:33" s="2230" customFormat="1" ht="38.25">
      <c r="A59" s="2243" t="s">
        <v>2609</v>
      </c>
      <c r="B59" s="2247" t="str">
        <f>估价对象房地状况!C17</f>
        <v>估价对象位于XX商圈，周边办公楼项目较多，入驻率高，办公集聚程度较好</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93"/>
      <c r="P59" s="1593"/>
      <c r="Q59" s="3015"/>
      <c r="R59" s="3015"/>
      <c r="S59" s="3015"/>
      <c r="T59" s="3015"/>
      <c r="U59" s="3015"/>
      <c r="V59" s="3015"/>
      <c r="W59" s="3015"/>
      <c r="X59" s="1593"/>
      <c r="Y59" s="1593"/>
      <c r="Z59" s="1593"/>
      <c r="AA59" s="1593"/>
      <c r="AB59" s="1593"/>
      <c r="AC59" s="1593"/>
      <c r="AD59" s="1593"/>
      <c r="AE59" s="1593"/>
      <c r="AF59" s="1593"/>
      <c r="AG59" s="1593"/>
    </row>
    <row r="60" spans="1:33" s="2230" customFormat="1" ht="51">
      <c r="A60" s="2243" t="s">
        <v>2595</v>
      </c>
      <c r="B60" s="2255" t="str">
        <f>估价对象房地状况!C18</f>
        <v>估价对象周边道路状况、公共交通通达情况、停车便捷程度，综合评价交通便捷度较好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93"/>
      <c r="P60" s="1593"/>
      <c r="Q60" s="3015"/>
      <c r="R60" s="3015"/>
      <c r="S60" s="3015"/>
      <c r="T60" s="3015"/>
      <c r="U60" s="3015"/>
      <c r="V60" s="3015"/>
      <c r="W60" s="3015"/>
      <c r="X60" s="1593"/>
      <c r="Y60" s="1593"/>
      <c r="Z60" s="1593"/>
      <c r="AA60" s="1593"/>
      <c r="AB60" s="1593"/>
      <c r="AC60" s="1593"/>
      <c r="AD60" s="1593"/>
      <c r="AE60" s="1593"/>
      <c r="AF60" s="1593"/>
      <c r="AG60" s="1593"/>
    </row>
    <row r="61" spans="1:33" s="2230" customFormat="1" ht="24">
      <c r="A61" s="2243" t="s">
        <v>2596</v>
      </c>
      <c r="B61" s="2255">
        <f>估价对象房地状况!C19</f>
        <v>0</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93"/>
      <c r="P61" s="1593"/>
      <c r="Q61" s="3015"/>
      <c r="R61" s="3015"/>
      <c r="S61" s="3015"/>
      <c r="T61" s="3015"/>
      <c r="U61" s="3015"/>
      <c r="V61" s="3015"/>
      <c r="W61" s="3015"/>
      <c r="X61" s="1593"/>
      <c r="Y61" s="1593"/>
      <c r="Z61" s="1593"/>
      <c r="AA61" s="1593"/>
      <c r="AB61" s="1593"/>
      <c r="AC61" s="1593"/>
      <c r="AD61" s="1593"/>
      <c r="AE61" s="1593"/>
      <c r="AF61" s="1593"/>
      <c r="AG61" s="1593"/>
    </row>
    <row r="62" spans="1:33" s="2230" customFormat="1" ht="36.75">
      <c r="A62" s="2243" t="s">
        <v>2597</v>
      </c>
      <c r="B62" s="2257" t="s">
        <v>2598</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93"/>
      <c r="P62" s="1593"/>
      <c r="Q62" s="3015"/>
      <c r="R62" s="3015"/>
      <c r="S62" s="3015"/>
      <c r="T62" s="3015"/>
      <c r="U62" s="3015"/>
      <c r="V62" s="3015"/>
      <c r="W62" s="3015"/>
      <c r="X62" s="1593"/>
      <c r="Y62" s="1593"/>
      <c r="Z62" s="1593"/>
      <c r="AA62" s="1593"/>
      <c r="AB62" s="1593"/>
      <c r="AC62" s="1593"/>
      <c r="AD62" s="1593"/>
      <c r="AE62" s="1593"/>
      <c r="AF62" s="1593"/>
      <c r="AG62" s="1593"/>
    </row>
    <row r="63" spans="1:33" s="2230" customFormat="1" ht="24">
      <c r="A63" s="2243" t="s">
        <v>2599</v>
      </c>
      <c r="B63" s="2255">
        <f>估价对象房地状况!C24</f>
        <v>0</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93"/>
      <c r="P63" s="1593"/>
      <c r="Q63" s="3015"/>
      <c r="R63" s="3015"/>
      <c r="S63" s="3015"/>
      <c r="T63" s="3015"/>
      <c r="U63" s="3015"/>
      <c r="V63" s="3015"/>
      <c r="W63" s="3015"/>
      <c r="X63" s="1593"/>
      <c r="Y63" s="1593"/>
      <c r="Z63" s="1593"/>
      <c r="AA63" s="1593"/>
      <c r="AB63" s="1593"/>
      <c r="AC63" s="1593"/>
      <c r="AD63" s="1593"/>
      <c r="AE63" s="1593"/>
      <c r="AF63" s="1593"/>
      <c r="AG63" s="1593"/>
    </row>
    <row r="64" spans="1:33" s="2230" customFormat="1" ht="24">
      <c r="A64" s="2243" t="s">
        <v>2600</v>
      </c>
      <c r="B64" s="2258" t="s">
        <v>2601</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93"/>
      <c r="P64" s="1593"/>
      <c r="Q64" s="3015"/>
      <c r="R64" s="3015"/>
      <c r="S64" s="3015"/>
      <c r="T64" s="3015"/>
      <c r="U64" s="3015"/>
      <c r="V64" s="3015"/>
      <c r="W64" s="3015"/>
      <c r="X64" s="1593"/>
      <c r="Y64" s="1593"/>
      <c r="Z64" s="1593"/>
      <c r="AA64" s="1593"/>
      <c r="AB64" s="1593"/>
      <c r="AC64" s="1593"/>
      <c r="AD64" s="1593"/>
      <c r="AE64" s="1593"/>
      <c r="AF64" s="1593"/>
      <c r="AG64" s="1593"/>
    </row>
    <row r="65" spans="1:33" s="2230" customFormat="1" ht="25.5">
      <c r="A65" s="2243" t="s">
        <v>2602</v>
      </c>
      <c r="B65" s="2260" t="str">
        <f>估价对象房地状况!C21</f>
        <v>估价对象所在区域公共配套设施齐备情况</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93"/>
      <c r="P65" s="1593"/>
      <c r="Q65" s="3015"/>
      <c r="R65" s="3015"/>
      <c r="S65" s="3015"/>
      <c r="T65" s="3015"/>
      <c r="U65" s="3015"/>
      <c r="V65" s="3015"/>
      <c r="W65" s="3015"/>
      <c r="X65" s="1593"/>
      <c r="Y65" s="1593"/>
      <c r="Z65" s="1593"/>
      <c r="AA65" s="1593"/>
      <c r="AB65" s="1593"/>
      <c r="AC65" s="1593"/>
      <c r="AD65" s="1593"/>
      <c r="AE65" s="1593"/>
      <c r="AF65" s="1593"/>
      <c r="AG65" s="1593"/>
    </row>
    <row r="66" spans="1:33" s="2230" customFormat="1" ht="25.5">
      <c r="A66" s="2243" t="s">
        <v>2603</v>
      </c>
      <c r="B66" s="2260" t="str">
        <f>估价对象房地状况!C22</f>
        <v>估价对象所在区域基础设施水平</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93"/>
      <c r="P66" s="1593"/>
      <c r="Q66" s="3015"/>
      <c r="R66" s="3015"/>
      <c r="S66" s="3015"/>
      <c r="T66" s="3015"/>
      <c r="U66" s="3015"/>
      <c r="V66" s="3015"/>
      <c r="W66" s="3015"/>
      <c r="X66" s="1593"/>
      <c r="Y66" s="1593"/>
      <c r="Z66" s="1593"/>
      <c r="AA66" s="1593"/>
      <c r="AB66" s="1593"/>
      <c r="AC66" s="1593"/>
      <c r="AD66" s="1593"/>
      <c r="AE66" s="1593"/>
      <c r="AF66" s="1593"/>
      <c r="AG66" s="1593"/>
    </row>
    <row r="67" spans="1:33" s="2230" customFormat="1" ht="39" thickBot="1">
      <c r="A67" s="2261" t="s">
        <v>2604</v>
      </c>
      <c r="B67" s="2266" t="str">
        <f>估价对象房地状况!C20</f>
        <v>区域自然环境：；人文环境；综合评价环境状况一般</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93"/>
      <c r="P67" s="1593"/>
      <c r="Q67" s="3015"/>
      <c r="R67" s="3015"/>
      <c r="S67" s="3015"/>
      <c r="T67" s="3015"/>
      <c r="U67" s="3015"/>
      <c r="V67" s="3015"/>
      <c r="W67" s="3015"/>
      <c r="X67" s="1593"/>
      <c r="Y67" s="1593"/>
      <c r="Z67" s="1593"/>
      <c r="AA67" s="1593"/>
      <c r="AB67" s="1593"/>
      <c r="AC67" s="1593"/>
      <c r="AD67" s="1593"/>
      <c r="AE67" s="1593"/>
      <c r="AF67" s="1593"/>
      <c r="AG67" s="1593"/>
    </row>
    <row r="68" spans="1:33" s="2230" customFormat="1" ht="15">
      <c r="A68" s="2236" t="s">
        <v>2610</v>
      </c>
      <c r="B68" s="2265">
        <f>1+E70</f>
        <v>1.0625</v>
      </c>
      <c r="C68" s="2239"/>
      <c r="D68" s="2239"/>
      <c r="E68" s="2240"/>
      <c r="F68" s="2241"/>
      <c r="G68" s="608"/>
      <c r="H68" s="608"/>
      <c r="I68" s="608"/>
      <c r="J68" s="608"/>
      <c r="K68" s="608"/>
      <c r="L68" s="608"/>
      <c r="M68" s="608"/>
      <c r="N68" s="608"/>
      <c r="O68" s="1593"/>
      <c r="P68" s="1593"/>
      <c r="Q68" s="3015"/>
      <c r="R68" s="3015"/>
      <c r="S68" s="3015"/>
      <c r="T68" s="3015"/>
      <c r="U68" s="3015"/>
      <c r="V68" s="3015"/>
      <c r="W68" s="3015"/>
      <c r="X68" s="1593"/>
      <c r="Y68" s="1593"/>
      <c r="Z68" s="1593"/>
      <c r="AA68" s="1593"/>
      <c r="AB68" s="1593"/>
      <c r="AC68" s="1593"/>
      <c r="AD68" s="1593"/>
      <c r="AE68" s="1593"/>
      <c r="AF68" s="1593"/>
      <c r="AG68" s="1593"/>
    </row>
    <row r="69" spans="1:33" s="2230" customFormat="1" ht="24.75">
      <c r="A69" s="2243" t="s">
        <v>2580</v>
      </c>
      <c r="B69" s="2255"/>
      <c r="C69" s="2244" t="s">
        <v>2582</v>
      </c>
      <c r="D69" s="2244" t="s">
        <v>2583</v>
      </c>
      <c r="E69" s="2245" t="s">
        <v>2584</v>
      </c>
      <c r="F69" s="2195" t="s">
        <v>2585</v>
      </c>
      <c r="G69" s="2244" t="s">
        <v>2606</v>
      </c>
      <c r="H69" s="2246" t="s">
        <v>2607</v>
      </c>
      <c r="I69" s="2244" t="s">
        <v>2608</v>
      </c>
      <c r="J69" s="1871" t="s">
        <v>2252</v>
      </c>
      <c r="K69" s="1871" t="s">
        <v>2253</v>
      </c>
      <c r="L69" s="1871" t="s">
        <v>2254</v>
      </c>
      <c r="M69" s="1871" t="s">
        <v>2255</v>
      </c>
      <c r="N69" s="1871" t="s">
        <v>2256</v>
      </c>
      <c r="O69" s="1593"/>
      <c r="P69" s="1593"/>
      <c r="Q69" s="3015"/>
      <c r="R69" s="3015"/>
      <c r="S69" s="3015"/>
      <c r="T69" s="3015"/>
      <c r="U69" s="3015"/>
      <c r="V69" s="3015"/>
      <c r="W69" s="3015"/>
      <c r="X69" s="1593"/>
      <c r="Y69" s="1593"/>
      <c r="Z69" s="1593"/>
      <c r="AA69" s="1593"/>
      <c r="AB69" s="1593"/>
      <c r="AC69" s="1593"/>
      <c r="AD69" s="1593"/>
      <c r="AE69" s="1593"/>
      <c r="AF69" s="1593"/>
      <c r="AG69" s="1593"/>
    </row>
    <row r="70" spans="1:33" s="2230" customFormat="1" ht="51">
      <c r="A70" s="2243" t="s">
        <v>2611</v>
      </c>
      <c r="B70" s="2247" t="str">
        <f>估价对象房地状况!C15</f>
        <v>估价对象周边居住用地比例、居住小区规模和社区发展完善程度，综合评价居住社区成熟度一般</v>
      </c>
      <c r="C70" s="2131" t="s">
        <v>30</v>
      </c>
      <c r="D70" s="2248">
        <f t="shared" ref="D70:D78" si="21">SUMIF($J$69:$N$69,C70,J70:N70)</f>
        <v>8.3999999999999995E-3</v>
      </c>
      <c r="E70" s="2249">
        <f>ROUND(SUM(D70:D78),4)</f>
        <v>6.25E-2</v>
      </c>
      <c r="F70" s="2250" t="str">
        <f>IF(E2="住宅",SUMIF(L1:L12,G2,N1:N12),"——")</f>
        <v>——</v>
      </c>
      <c r="G70" s="2251">
        <v>8.3999999999999995E-3</v>
      </c>
      <c r="H70" s="2252" t="str">
        <f t="shared" ref="H70:H78" si="22">IFERROR(ROUNDDOWN($F$70*I70/2,4),"——")</f>
        <v>——</v>
      </c>
      <c r="I70" s="2253">
        <v>0.14000000000000001</v>
      </c>
      <c r="J70" s="2254">
        <f t="shared" ref="J70:J78" si="23">K70+$G70</f>
        <v>1.6799999999999999E-2</v>
      </c>
      <c r="K70" s="2254">
        <f t="shared" ref="K70:K78" si="24">$L70+$G70</f>
        <v>8.3999999999999995E-3</v>
      </c>
      <c r="L70" s="2254">
        <v>0</v>
      </c>
      <c r="M70" s="2254">
        <f t="shared" ref="M70:N78" si="25">L70-$G70</f>
        <v>-8.3999999999999995E-3</v>
      </c>
      <c r="N70" s="2254">
        <f t="shared" si="25"/>
        <v>-1.6799999999999999E-2</v>
      </c>
      <c r="O70" s="1593"/>
      <c r="P70" s="1593"/>
      <c r="Q70" s="3015"/>
      <c r="R70" s="3015"/>
      <c r="S70" s="3015"/>
      <c r="T70" s="3015"/>
      <c r="U70" s="3015"/>
      <c r="V70" s="3015"/>
      <c r="W70" s="3015"/>
      <c r="X70" s="1593"/>
      <c r="Y70" s="1593"/>
      <c r="Z70" s="1593"/>
      <c r="AA70" s="1593"/>
      <c r="AB70" s="1593"/>
      <c r="AC70" s="1593"/>
      <c r="AD70" s="1593"/>
      <c r="AE70" s="1593"/>
      <c r="AF70" s="1593"/>
      <c r="AG70" s="1593"/>
    </row>
    <row r="71" spans="1:33" s="2230" customFormat="1" ht="51">
      <c r="A71" s="2243" t="s">
        <v>2595</v>
      </c>
      <c r="B71" s="2255" t="str">
        <f>估价对象房地状况!C18</f>
        <v>估价对象周边道路状况、公共交通通达情况、停车便捷程度，综合评价交通便捷度较好</v>
      </c>
      <c r="C71" s="2131" t="s">
        <v>30</v>
      </c>
      <c r="D71" s="2248">
        <f t="shared" si="21"/>
        <v>1.8100000000000002E-2</v>
      </c>
      <c r="E71" s="2256"/>
      <c r="F71" s="2250"/>
      <c r="G71" s="2251">
        <v>1.8100000000000002E-2</v>
      </c>
      <c r="H71" s="2252" t="str">
        <f t="shared" si="22"/>
        <v>——</v>
      </c>
      <c r="I71" s="2253">
        <v>0.3</v>
      </c>
      <c r="J71" s="2254">
        <f t="shared" si="23"/>
        <v>3.6200000000000003E-2</v>
      </c>
      <c r="K71" s="2254">
        <f t="shared" si="24"/>
        <v>1.8100000000000002E-2</v>
      </c>
      <c r="L71" s="2254">
        <v>0</v>
      </c>
      <c r="M71" s="2254">
        <f t="shared" si="25"/>
        <v>-1.8100000000000002E-2</v>
      </c>
      <c r="N71" s="2254">
        <f t="shared" si="25"/>
        <v>-3.6200000000000003E-2</v>
      </c>
      <c r="O71" s="1593"/>
      <c r="P71" s="1593"/>
      <c r="Q71" s="3015"/>
      <c r="R71" s="3015"/>
      <c r="S71" s="3015"/>
      <c r="T71" s="3015"/>
      <c r="U71" s="3015"/>
      <c r="V71" s="3015"/>
      <c r="W71" s="3015"/>
      <c r="X71" s="1593"/>
      <c r="Y71" s="1593"/>
      <c r="Z71" s="1593"/>
      <c r="AA71" s="1593"/>
      <c r="AB71" s="1593"/>
      <c r="AC71" s="1593"/>
      <c r="AD71" s="1593"/>
      <c r="AE71" s="1593"/>
      <c r="AF71" s="1593"/>
      <c r="AG71" s="1593"/>
    </row>
    <row r="72" spans="1:33" s="2230" customFormat="1" ht="24">
      <c r="A72" s="2243" t="s">
        <v>2596</v>
      </c>
      <c r="B72" s="2255">
        <f>估价对象房地状况!C19</f>
        <v>0</v>
      </c>
      <c r="C72" s="2131" t="s">
        <v>30</v>
      </c>
      <c r="D72" s="2248">
        <f t="shared" si="21"/>
        <v>4.7999999999999996E-3</v>
      </c>
      <c r="E72" s="2256"/>
      <c r="F72" s="2250"/>
      <c r="G72" s="2251">
        <v>4.7999999999999996E-3</v>
      </c>
      <c r="H72" s="2252" t="str">
        <f t="shared" si="22"/>
        <v>——</v>
      </c>
      <c r="I72" s="2253">
        <v>0.08</v>
      </c>
      <c r="J72" s="2254">
        <f t="shared" si="23"/>
        <v>9.5999999999999992E-3</v>
      </c>
      <c r="K72" s="2254">
        <f t="shared" si="24"/>
        <v>4.7999999999999996E-3</v>
      </c>
      <c r="L72" s="2254">
        <v>0</v>
      </c>
      <c r="M72" s="2254">
        <f t="shared" si="25"/>
        <v>-4.7999999999999996E-3</v>
      </c>
      <c r="N72" s="2254">
        <f t="shared" si="25"/>
        <v>-9.5999999999999992E-3</v>
      </c>
      <c r="O72" s="1593"/>
      <c r="P72" s="1593"/>
      <c r="Q72" s="3015"/>
      <c r="R72" s="3015"/>
      <c r="S72" s="3015"/>
      <c r="T72" s="3015"/>
      <c r="U72" s="3015"/>
      <c r="V72" s="3015"/>
      <c r="W72" s="3015"/>
      <c r="X72" s="1593"/>
      <c r="Y72" s="1593"/>
      <c r="Z72" s="1593"/>
      <c r="AA72" s="1593"/>
      <c r="AB72" s="1593"/>
      <c r="AC72" s="1593"/>
      <c r="AD72" s="1593"/>
      <c r="AE72" s="1593"/>
      <c r="AF72" s="1593"/>
      <c r="AG72" s="1593"/>
    </row>
    <row r="73" spans="1:33" s="2230" customFormat="1" ht="14.25">
      <c r="A73" s="2243" t="s">
        <v>2612</v>
      </c>
      <c r="B73" s="2255">
        <f>估价对象房地状况!C24</f>
        <v>0</v>
      </c>
      <c r="C73" s="2131" t="s">
        <v>31</v>
      </c>
      <c r="D73" s="2248">
        <f t="shared" si="21"/>
        <v>0</v>
      </c>
      <c r="E73" s="2256"/>
      <c r="F73" s="2250"/>
      <c r="G73" s="2251">
        <v>2.3999999999999998E-3</v>
      </c>
      <c r="H73" s="2252" t="str">
        <f t="shared" si="22"/>
        <v>——</v>
      </c>
      <c r="I73" s="2253">
        <v>0.04</v>
      </c>
      <c r="J73" s="2254">
        <f t="shared" si="23"/>
        <v>4.7999999999999996E-3</v>
      </c>
      <c r="K73" s="2254">
        <f t="shared" si="24"/>
        <v>2.3999999999999998E-3</v>
      </c>
      <c r="L73" s="2254">
        <v>0</v>
      </c>
      <c r="M73" s="2254">
        <f t="shared" si="25"/>
        <v>-2.3999999999999998E-3</v>
      </c>
      <c r="N73" s="2254">
        <f t="shared" si="25"/>
        <v>-4.7999999999999996E-3</v>
      </c>
      <c r="O73" s="1593"/>
      <c r="P73" s="1593"/>
      <c r="Q73" s="3015"/>
      <c r="R73" s="3015"/>
      <c r="S73" s="3015"/>
      <c r="T73" s="3015"/>
      <c r="U73" s="3015"/>
      <c r="V73" s="3015"/>
      <c r="W73" s="3015"/>
      <c r="X73" s="1593"/>
      <c r="Y73" s="1593"/>
      <c r="Z73" s="1593"/>
      <c r="AA73" s="1593"/>
      <c r="AB73" s="1593"/>
      <c r="AC73" s="1593"/>
      <c r="AD73" s="1593"/>
      <c r="AE73" s="1593"/>
      <c r="AF73" s="1593"/>
      <c r="AG73" s="1593"/>
    </row>
    <row r="74" spans="1:33" s="2230" customFormat="1" ht="25.5">
      <c r="A74" s="2243" t="s">
        <v>2602</v>
      </c>
      <c r="B74" s="2260" t="str">
        <f>估价对象房地状况!C21</f>
        <v>估价对象所在区域公共配套设施齐备情况</v>
      </c>
      <c r="C74" s="2131" t="s">
        <v>30</v>
      </c>
      <c r="D74" s="2248">
        <f t="shared" si="21"/>
        <v>4.7999999999999996E-3</v>
      </c>
      <c r="E74" s="2256"/>
      <c r="F74" s="2250"/>
      <c r="G74" s="2251">
        <v>4.7999999999999996E-3</v>
      </c>
      <c r="H74" s="2252" t="str">
        <f t="shared" si="22"/>
        <v>——</v>
      </c>
      <c r="I74" s="2253">
        <v>0.08</v>
      </c>
      <c r="J74" s="2254">
        <f t="shared" si="23"/>
        <v>9.5999999999999992E-3</v>
      </c>
      <c r="K74" s="2254">
        <f t="shared" si="24"/>
        <v>4.7999999999999996E-3</v>
      </c>
      <c r="L74" s="2254">
        <v>0</v>
      </c>
      <c r="M74" s="2254">
        <f t="shared" si="25"/>
        <v>-4.7999999999999996E-3</v>
      </c>
      <c r="N74" s="2254">
        <f t="shared" si="25"/>
        <v>-9.5999999999999992E-3</v>
      </c>
      <c r="O74" s="1593"/>
      <c r="P74" s="1593"/>
      <c r="Q74" s="3015"/>
      <c r="R74" s="3015"/>
      <c r="S74" s="3015"/>
      <c r="T74" s="3015"/>
      <c r="U74" s="3015"/>
      <c r="V74" s="3015"/>
      <c r="W74" s="3015"/>
      <c r="X74" s="1593"/>
      <c r="Y74" s="1593"/>
      <c r="Z74" s="1593"/>
      <c r="AA74" s="1593"/>
      <c r="AB74" s="1593"/>
      <c r="AC74" s="1593"/>
      <c r="AD74" s="1593"/>
      <c r="AE74" s="1593"/>
      <c r="AF74" s="1593"/>
      <c r="AG74" s="1593"/>
    </row>
    <row r="75" spans="1:33" s="2230" customFormat="1" ht="25.5">
      <c r="A75" s="2243" t="s">
        <v>2603</v>
      </c>
      <c r="B75" s="2260" t="str">
        <f>估价对象房地状况!C22</f>
        <v>估价对象所在区域基础设施水平</v>
      </c>
      <c r="C75" s="2131" t="s">
        <v>29</v>
      </c>
      <c r="D75" s="2248">
        <f t="shared" si="21"/>
        <v>1.44E-2</v>
      </c>
      <c r="E75" s="2256"/>
      <c r="F75" s="2250"/>
      <c r="G75" s="2251">
        <v>7.1999999999999998E-3</v>
      </c>
      <c r="H75" s="2252" t="str">
        <f t="shared" si="22"/>
        <v>——</v>
      </c>
      <c r="I75" s="2253">
        <v>0.12</v>
      </c>
      <c r="J75" s="2254">
        <f t="shared" si="23"/>
        <v>1.44E-2</v>
      </c>
      <c r="K75" s="2254">
        <f t="shared" si="24"/>
        <v>7.1999999999999998E-3</v>
      </c>
      <c r="L75" s="2254">
        <v>0</v>
      </c>
      <c r="M75" s="2254">
        <f t="shared" si="25"/>
        <v>-7.1999999999999998E-3</v>
      </c>
      <c r="N75" s="2254">
        <f t="shared" si="25"/>
        <v>-1.44E-2</v>
      </c>
      <c r="O75" s="1593"/>
      <c r="P75" s="1593"/>
      <c r="Q75" s="3015"/>
      <c r="R75" s="3015"/>
      <c r="S75" s="3015"/>
      <c r="T75" s="3015"/>
      <c r="U75" s="3015"/>
      <c r="V75" s="3015"/>
      <c r="W75" s="3015"/>
      <c r="X75" s="1593"/>
      <c r="Y75" s="1593"/>
      <c r="Z75" s="1593"/>
      <c r="AA75" s="1593"/>
      <c r="AB75" s="1593"/>
      <c r="AC75" s="1593"/>
      <c r="AD75" s="1593"/>
      <c r="AE75" s="1593"/>
      <c r="AF75" s="1593"/>
      <c r="AG75" s="1593"/>
    </row>
    <row r="76" spans="1:33" ht="24">
      <c r="A76" s="2243" t="s">
        <v>2600</v>
      </c>
      <c r="B76" s="2258" t="s">
        <v>2601</v>
      </c>
      <c r="C76" s="2131" t="s">
        <v>30</v>
      </c>
      <c r="D76" s="2248">
        <f t="shared" si="21"/>
        <v>3.0000000000000001E-3</v>
      </c>
      <c r="E76" s="2256"/>
      <c r="F76" s="2250"/>
      <c r="G76" s="2251">
        <v>3.0000000000000001E-3</v>
      </c>
      <c r="H76" s="2252" t="str">
        <f t="shared" si="22"/>
        <v>——</v>
      </c>
      <c r="I76" s="2253">
        <v>0.05</v>
      </c>
      <c r="J76" s="2254">
        <f t="shared" si="23"/>
        <v>6.0000000000000001E-3</v>
      </c>
      <c r="K76" s="2254">
        <f t="shared" si="24"/>
        <v>3.0000000000000001E-3</v>
      </c>
      <c r="L76" s="2254">
        <v>0</v>
      </c>
      <c r="M76" s="2254">
        <f t="shared" si="25"/>
        <v>-3.0000000000000001E-3</v>
      </c>
      <c r="N76" s="2254">
        <f t="shared" si="25"/>
        <v>-6.0000000000000001E-3</v>
      </c>
      <c r="Q76" s="3023"/>
      <c r="R76" s="3023"/>
      <c r="S76" s="3023"/>
      <c r="T76" s="3023"/>
      <c r="U76" s="3023"/>
      <c r="V76" s="3023"/>
      <c r="W76" s="3023"/>
      <c r="AA76" s="1594"/>
      <c r="AG76" s="2230"/>
    </row>
    <row r="77" spans="1:33" ht="38.25">
      <c r="A77" s="2243" t="s">
        <v>2604</v>
      </c>
      <c r="B77" s="2247" t="str">
        <f>估价对象房地状况!C20</f>
        <v>区域自然环境：；人文环境；综合评价环境状况一般</v>
      </c>
      <c r="C77" s="2131" t="s">
        <v>30</v>
      </c>
      <c r="D77" s="2248">
        <f t="shared" si="21"/>
        <v>8.9999999999999993E-3</v>
      </c>
      <c r="E77" s="2256"/>
      <c r="F77" s="2250"/>
      <c r="G77" s="2251">
        <v>8.9999999999999993E-3</v>
      </c>
      <c r="H77" s="2252" t="str">
        <f t="shared" si="22"/>
        <v>——</v>
      </c>
      <c r="I77" s="2253">
        <v>0.15</v>
      </c>
      <c r="J77" s="2254">
        <f t="shared" si="23"/>
        <v>1.7999999999999999E-2</v>
      </c>
      <c r="K77" s="2254">
        <f t="shared" si="24"/>
        <v>8.9999999999999993E-3</v>
      </c>
      <c r="L77" s="2254">
        <v>0</v>
      </c>
      <c r="M77" s="2254">
        <f t="shared" si="25"/>
        <v>-8.9999999999999993E-3</v>
      </c>
      <c r="N77" s="2254">
        <f t="shared" si="25"/>
        <v>-1.7999999999999999E-2</v>
      </c>
      <c r="Q77" s="3023"/>
      <c r="R77" s="3023"/>
      <c r="S77" s="3023"/>
      <c r="T77" s="3023"/>
      <c r="U77" s="3023"/>
      <c r="V77" s="3023"/>
      <c r="W77" s="3023"/>
      <c r="AA77" s="1594"/>
      <c r="AG77" s="2230"/>
    </row>
    <row r="78" spans="1:33" ht="24.75" thickBot="1">
      <c r="A78" s="2261" t="s">
        <v>2613</v>
      </c>
      <c r="B78" s="2267"/>
      <c r="C78" s="2131" t="s">
        <v>31</v>
      </c>
      <c r="D78" s="2248">
        <f t="shared" si="21"/>
        <v>0</v>
      </c>
      <c r="E78" s="2263"/>
      <c r="F78" s="2250"/>
      <c r="G78" s="2251">
        <v>2.3999999999999998E-3</v>
      </c>
      <c r="H78" s="2252" t="str">
        <f t="shared" si="22"/>
        <v>——</v>
      </c>
      <c r="I78" s="2264">
        <v>0.04</v>
      </c>
      <c r="J78" s="2254">
        <f t="shared" si="23"/>
        <v>4.7999999999999996E-3</v>
      </c>
      <c r="K78" s="2254">
        <f t="shared" si="24"/>
        <v>2.3999999999999998E-3</v>
      </c>
      <c r="L78" s="2254">
        <v>0</v>
      </c>
      <c r="M78" s="2254">
        <f t="shared" si="25"/>
        <v>-2.3999999999999998E-3</v>
      </c>
      <c r="N78" s="2254">
        <f t="shared" si="25"/>
        <v>-4.7999999999999996E-3</v>
      </c>
      <c r="Q78" s="3023"/>
      <c r="R78" s="3023"/>
      <c r="S78" s="3023"/>
      <c r="T78" s="3023"/>
      <c r="U78" s="3023"/>
      <c r="V78" s="3023"/>
      <c r="W78" s="3023"/>
      <c r="AA78" s="1594"/>
      <c r="AG78" s="2230"/>
    </row>
    <row r="79" spans="1:33" ht="15">
      <c r="A79" s="2236" t="s">
        <v>2614</v>
      </c>
      <c r="B79" s="2265">
        <f>1+E81</f>
        <v>1</v>
      </c>
      <c r="C79" s="2239"/>
      <c r="D79" s="2239"/>
      <c r="E79" s="2240"/>
      <c r="F79" s="2241"/>
      <c r="G79" s="608"/>
      <c r="H79" s="608"/>
      <c r="I79" s="608"/>
      <c r="J79" s="608"/>
      <c r="K79" s="608"/>
      <c r="L79" s="608"/>
      <c r="M79" s="608"/>
      <c r="N79" s="608"/>
      <c r="Q79" s="3023"/>
      <c r="R79" s="3023"/>
      <c r="S79" s="3023"/>
      <c r="T79" s="3023"/>
      <c r="U79" s="3023"/>
      <c r="V79" s="3023"/>
      <c r="W79" s="3023"/>
      <c r="AA79" s="1594"/>
      <c r="AG79" s="2230"/>
    </row>
    <row r="80" spans="1:33" ht="24.75">
      <c r="A80" s="2243" t="s">
        <v>2580</v>
      </c>
      <c r="B80" s="2255"/>
      <c r="C80" s="2244" t="s">
        <v>2582</v>
      </c>
      <c r="D80" s="2244" t="s">
        <v>2583</v>
      </c>
      <c r="E80" s="2245" t="s">
        <v>2584</v>
      </c>
      <c r="F80" s="2195" t="s">
        <v>2585</v>
      </c>
      <c r="G80" s="2244" t="s">
        <v>2606</v>
      </c>
      <c r="H80" s="2246" t="s">
        <v>2607</v>
      </c>
      <c r="I80" s="2244" t="s">
        <v>2608</v>
      </c>
      <c r="J80" s="1871" t="s">
        <v>2252</v>
      </c>
      <c r="K80" s="1871" t="s">
        <v>2253</v>
      </c>
      <c r="L80" s="1871" t="s">
        <v>2254</v>
      </c>
      <c r="M80" s="1871" t="s">
        <v>2255</v>
      </c>
      <c r="N80" s="1871" t="s">
        <v>2256</v>
      </c>
      <c r="Q80" s="3023"/>
      <c r="R80" s="3023"/>
      <c r="S80" s="3023"/>
      <c r="T80" s="3023"/>
      <c r="U80" s="3023"/>
      <c r="V80" s="3023"/>
      <c r="W80" s="3023"/>
      <c r="AA80" s="1594"/>
      <c r="AG80" s="2230"/>
    </row>
    <row r="81" spans="1:33" ht="38.25">
      <c r="A81" s="2243" t="s">
        <v>2615</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23"/>
      <c r="R81" s="3023"/>
      <c r="S81" s="3023"/>
      <c r="T81" s="3023"/>
      <c r="U81" s="3023"/>
      <c r="V81" s="3023"/>
      <c r="W81" s="3023"/>
      <c r="AA81" s="1594"/>
      <c r="AG81" s="2230"/>
    </row>
    <row r="82" spans="1:33" ht="51">
      <c r="A82" s="2243" t="s">
        <v>2595</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23"/>
      <c r="R82" s="3023"/>
      <c r="S82" s="3023"/>
      <c r="T82" s="3023"/>
      <c r="U82" s="3023"/>
      <c r="V82" s="3023"/>
      <c r="W82" s="3023"/>
      <c r="AA82" s="1594"/>
      <c r="AG82" s="2230"/>
    </row>
    <row r="83" spans="1:33" ht="24">
      <c r="A83" s="2243" t="s">
        <v>2596</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23"/>
      <c r="R83" s="3023"/>
      <c r="S83" s="3023"/>
      <c r="T83" s="3023"/>
      <c r="U83" s="3023"/>
      <c r="V83" s="3023"/>
      <c r="W83" s="3023"/>
      <c r="AA83" s="1594"/>
      <c r="AG83" s="2230"/>
    </row>
    <row r="84" spans="1:33" ht="14.25">
      <c r="A84" s="2243" t="s">
        <v>2612</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23"/>
      <c r="R84" s="3023"/>
      <c r="S84" s="3023"/>
      <c r="T84" s="3023"/>
      <c r="U84" s="3023"/>
      <c r="V84" s="3023"/>
      <c r="W84" s="3023"/>
      <c r="AA84" s="1594"/>
      <c r="AG84" s="2230"/>
    </row>
    <row r="85" spans="1:33" ht="25.5">
      <c r="A85" s="2243" t="s">
        <v>2602</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23"/>
      <c r="R85" s="3023"/>
      <c r="S85" s="3023"/>
      <c r="T85" s="3023"/>
      <c r="U85" s="3023"/>
      <c r="V85" s="3023"/>
      <c r="W85" s="3023"/>
      <c r="AA85" s="1594"/>
      <c r="AG85" s="2230"/>
    </row>
    <row r="86" spans="1:33" ht="25.5">
      <c r="A86" s="2243" t="s">
        <v>2603</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23"/>
      <c r="R86" s="3023"/>
      <c r="S86" s="3023"/>
      <c r="T86" s="3023"/>
      <c r="U86" s="3023"/>
      <c r="V86" s="3023"/>
      <c r="W86" s="3023"/>
      <c r="AA86" s="1594"/>
      <c r="AG86" s="2230"/>
    </row>
    <row r="87" spans="1:33" ht="24">
      <c r="A87" s="2243" t="s">
        <v>2600</v>
      </c>
      <c r="B87" s="2258" t="s">
        <v>2601</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23"/>
      <c r="R87" s="3023"/>
      <c r="S87" s="3023"/>
      <c r="T87" s="3023"/>
      <c r="U87" s="3023"/>
      <c r="V87" s="3023"/>
      <c r="W87" s="3023"/>
      <c r="AA87" s="1594"/>
      <c r="AG87" s="2230"/>
    </row>
    <row r="88" spans="1:33" ht="39" thickBot="1">
      <c r="A88" s="2261" t="s">
        <v>2616</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23"/>
      <c r="R88" s="3023"/>
      <c r="S88" s="3023"/>
      <c r="T88" s="3023"/>
      <c r="U88" s="3023"/>
      <c r="V88" s="3023"/>
      <c r="W88" s="3023"/>
      <c r="AA88" s="1594"/>
      <c r="AG88" s="2230"/>
    </row>
    <row r="89" spans="1:33">
      <c r="Q89" s="3023"/>
      <c r="R89" s="3023"/>
      <c r="S89" s="3023"/>
      <c r="T89" s="3023"/>
      <c r="U89" s="3023"/>
      <c r="V89" s="3023"/>
      <c r="W89" s="3023"/>
    </row>
    <row r="90" spans="1:33">
      <c r="A90" s="3716" t="s">
        <v>2617</v>
      </c>
      <c r="B90" s="3716"/>
      <c r="C90" s="3716"/>
      <c r="D90" s="3716"/>
      <c r="E90" s="3716"/>
      <c r="F90" s="3716"/>
      <c r="G90" s="3716"/>
      <c r="H90" s="3716"/>
      <c r="I90" s="3716"/>
      <c r="J90" s="3716"/>
      <c r="K90" s="2271"/>
      <c r="L90" s="2271"/>
      <c r="M90" s="2271"/>
      <c r="N90" s="2271"/>
      <c r="Q90" s="3023"/>
      <c r="R90" s="3023"/>
      <c r="S90" s="3023"/>
      <c r="T90" s="3023"/>
      <c r="U90" s="3023"/>
      <c r="V90" s="3023"/>
      <c r="W90" s="3023"/>
    </row>
    <row r="91" spans="1:33">
      <c r="A91" s="3718" t="s">
        <v>2618</v>
      </c>
      <c r="B91" s="3718" t="s">
        <v>2619</v>
      </c>
      <c r="C91" s="2210" t="s">
        <v>2620</v>
      </c>
      <c r="D91" s="2211"/>
      <c r="E91" s="2211"/>
      <c r="F91" s="2211"/>
      <c r="G91" s="2211"/>
      <c r="H91" s="2211"/>
      <c r="I91" s="2211"/>
      <c r="J91" s="2273"/>
      <c r="K91" s="2033"/>
      <c r="L91" s="2033"/>
      <c r="M91" s="2033"/>
      <c r="N91" s="2033"/>
      <c r="Q91" s="3023"/>
      <c r="R91" s="3023"/>
      <c r="S91" s="3023"/>
      <c r="T91" s="3023"/>
      <c r="U91" s="3023"/>
      <c r="V91" s="3023"/>
      <c r="W91" s="3023"/>
    </row>
    <row r="92" spans="1:33">
      <c r="A92" s="3718"/>
      <c r="B92" s="3718"/>
      <c r="C92" s="1996" t="s">
        <v>2477</v>
      </c>
      <c r="D92" s="1996" t="s">
        <v>2478</v>
      </c>
      <c r="E92" s="1996" t="s">
        <v>2479</v>
      </c>
      <c r="F92" s="1996" t="s">
        <v>2480</v>
      </c>
      <c r="G92" s="1996" t="s">
        <v>2481</v>
      </c>
      <c r="H92" s="1996" t="s">
        <v>2482</v>
      </c>
      <c r="I92" s="1996" t="s">
        <v>2483</v>
      </c>
      <c r="J92" s="1996" t="s">
        <v>2484</v>
      </c>
      <c r="K92" s="1996" t="s">
        <v>2485</v>
      </c>
      <c r="L92" s="1996" t="s">
        <v>2486</v>
      </c>
      <c r="M92" s="1996" t="s">
        <v>2487</v>
      </c>
      <c r="N92" s="1996" t="s">
        <v>2488</v>
      </c>
      <c r="Q92" s="3023"/>
      <c r="R92" s="3023"/>
      <c r="S92" s="3023"/>
      <c r="T92" s="3023"/>
      <c r="U92" s="3023"/>
      <c r="V92" s="3023"/>
      <c r="W92" s="3023"/>
    </row>
    <row r="93" spans="1:33">
      <c r="A93" s="3719" t="s">
        <v>2621</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23"/>
      <c r="R93" s="3023"/>
      <c r="S93" s="3023"/>
      <c r="T93" s="3023"/>
      <c r="U93" s="3023"/>
      <c r="V93" s="3023"/>
      <c r="W93" s="3023"/>
    </row>
    <row r="94" spans="1:33">
      <c r="A94" s="3720"/>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23"/>
      <c r="R94" s="3023"/>
      <c r="S94" s="3023"/>
      <c r="T94" s="3023"/>
      <c r="U94" s="3023"/>
      <c r="V94" s="3023"/>
      <c r="W94" s="3023"/>
    </row>
    <row r="95" spans="1:33">
      <c r="A95" s="3720"/>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23"/>
      <c r="R95" s="3023"/>
      <c r="S95" s="3023"/>
      <c r="T95" s="3023"/>
      <c r="U95" s="3023"/>
      <c r="V95" s="3023"/>
      <c r="W95" s="3023"/>
    </row>
    <row r="96" spans="1:33">
      <c r="A96" s="3720"/>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23"/>
      <c r="R96" s="3023"/>
      <c r="S96" s="3023"/>
      <c r="T96" s="3023"/>
      <c r="U96" s="3023"/>
      <c r="V96" s="3023"/>
      <c r="W96" s="3023"/>
    </row>
    <row r="97" spans="1:23">
      <c r="A97" s="3720"/>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23"/>
      <c r="R97" s="3023"/>
      <c r="S97" s="3023"/>
      <c r="T97" s="3023"/>
      <c r="U97" s="3023"/>
      <c r="V97" s="3023"/>
      <c r="W97" s="3023"/>
    </row>
    <row r="98" spans="1:23">
      <c r="A98" s="3720"/>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23"/>
      <c r="R98" s="3023"/>
      <c r="S98" s="3023"/>
      <c r="T98" s="3023"/>
      <c r="U98" s="3023"/>
      <c r="V98" s="3023"/>
      <c r="W98" s="3023"/>
    </row>
    <row r="99" spans="1:23">
      <c r="A99" s="3720"/>
      <c r="B99" s="2274" t="s">
        <v>2493</v>
      </c>
      <c r="C99" s="2276">
        <f>$I$3</f>
        <v>1</v>
      </c>
      <c r="D99" s="2276">
        <f t="shared" ref="D99:M99" si="31">$I$3</f>
        <v>1</v>
      </c>
      <c r="E99" s="2276">
        <f t="shared" si="31"/>
        <v>1</v>
      </c>
      <c r="F99" s="2276">
        <f t="shared" si="31"/>
        <v>1</v>
      </c>
      <c r="G99" s="2276">
        <f t="shared" si="31"/>
        <v>1</v>
      </c>
      <c r="H99" s="2276">
        <f t="shared" si="31"/>
        <v>1</v>
      </c>
      <c r="I99" s="2276">
        <f t="shared" si="31"/>
        <v>1</v>
      </c>
      <c r="J99" s="2276">
        <f t="shared" si="31"/>
        <v>1</v>
      </c>
      <c r="K99" s="2276">
        <f t="shared" si="31"/>
        <v>1</v>
      </c>
      <c r="L99" s="2276">
        <f t="shared" si="31"/>
        <v>1</v>
      </c>
      <c r="M99" s="2276">
        <f t="shared" si="31"/>
        <v>1</v>
      </c>
      <c r="N99" s="2276">
        <f>$I$3</f>
        <v>1</v>
      </c>
      <c r="Q99" s="3023"/>
      <c r="R99" s="3023"/>
      <c r="S99" s="3023"/>
      <c r="T99" s="3023"/>
      <c r="U99" s="3023"/>
      <c r="V99" s="3023"/>
      <c r="W99" s="3023"/>
    </row>
    <row r="100" spans="1:23">
      <c r="A100" s="3721"/>
      <c r="B100" s="2274">
        <v>7</v>
      </c>
      <c r="C100" s="2277">
        <f>(-0.163*(C99^2)-0.59*C99+7617)*(10^(-4))</f>
        <v>0.76162470000000004</v>
      </c>
      <c r="D100" s="2277">
        <f>(-0.163*(D99^2)-0.59*D99+7617)*(10^(-4))</f>
        <v>0.76162470000000004</v>
      </c>
      <c r="E100" s="2277">
        <f>(-0.161*(E99^2)-7.509*E99+6533)*(10^(-4))</f>
        <v>0.65253300000000003</v>
      </c>
      <c r="F100" s="2277">
        <f>(-0.161*(F99^2)-7.509*F99+6533)*(10^(-4))</f>
        <v>0.65253300000000003</v>
      </c>
      <c r="G100" s="2277">
        <f>(-0.161*(G99^2)-7.509*G99+6533)*(10^(-4))</f>
        <v>0.65253300000000003</v>
      </c>
      <c r="H100" s="2277">
        <f>(-0.161*(H99^2)-7.509*H99+6533)*(10^(-4))</f>
        <v>0.65253300000000003</v>
      </c>
      <c r="I100" s="2277">
        <f>(-0.161*(I99^2)-7.509*I99+6533)*(10^(-4))</f>
        <v>0.65253300000000003</v>
      </c>
      <c r="J100" s="2277">
        <f>(-0.214*(J99^2)-21.991*J99+4665)*(10^(-4))</f>
        <v>0.46427950000000001</v>
      </c>
      <c r="K100" s="2277">
        <f>(-0.214*(K99^2)-21.991*K99+4665)*(10^(-4))</f>
        <v>0.46427950000000001</v>
      </c>
      <c r="L100" s="2277">
        <f>(-0.214*(L99^2)-21.991*L99+4665)*(10^(-4))</f>
        <v>0.46427950000000001</v>
      </c>
      <c r="M100" s="2277">
        <f>(-0.214*(M99^2)-21.991*M99+4665)*(10^(-4))</f>
        <v>0.46427950000000001</v>
      </c>
      <c r="N100" s="2277">
        <f>(-0.214*(N99^2)-21.991*N99+4665)*(10^(-4))</f>
        <v>0.46427950000000001</v>
      </c>
      <c r="Q100" s="3023"/>
      <c r="R100" s="3023"/>
      <c r="S100" s="3023"/>
      <c r="T100" s="3023"/>
      <c r="U100" s="3023"/>
      <c r="V100" s="3023"/>
      <c r="W100" s="3023"/>
    </row>
    <row r="101" spans="1:23">
      <c r="A101" s="3719" t="s">
        <v>2622</v>
      </c>
      <c r="B101" s="2278" t="s">
        <v>2623</v>
      </c>
      <c r="C101" s="2279">
        <f>$G$3</f>
        <v>2.5</v>
      </c>
      <c r="D101" s="2279">
        <f t="shared" ref="D101:N101" si="32">$G$3</f>
        <v>2.5</v>
      </c>
      <c r="E101" s="2279">
        <f t="shared" si="32"/>
        <v>2.5</v>
      </c>
      <c r="F101" s="2279">
        <f t="shared" si="32"/>
        <v>2.5</v>
      </c>
      <c r="G101" s="2279">
        <f t="shared" si="32"/>
        <v>2.5</v>
      </c>
      <c r="H101" s="2279">
        <f t="shared" si="32"/>
        <v>2.5</v>
      </c>
      <c r="I101" s="2279">
        <f t="shared" si="32"/>
        <v>2.5</v>
      </c>
      <c r="J101" s="2279">
        <f t="shared" si="32"/>
        <v>2.5</v>
      </c>
      <c r="K101" s="2279">
        <f t="shared" si="32"/>
        <v>2.5</v>
      </c>
      <c r="L101" s="2279">
        <f t="shared" si="32"/>
        <v>2.5</v>
      </c>
      <c r="M101" s="2279">
        <f t="shared" si="32"/>
        <v>2.5</v>
      </c>
      <c r="N101" s="2279">
        <f t="shared" si="32"/>
        <v>2.5</v>
      </c>
      <c r="Q101" s="3023"/>
      <c r="R101" s="3023"/>
      <c r="S101" s="3023"/>
      <c r="T101" s="3023"/>
      <c r="U101" s="3023"/>
      <c r="V101" s="3023"/>
      <c r="W101" s="3023"/>
    </row>
    <row r="102" spans="1:23">
      <c r="A102" s="3720"/>
      <c r="B102" s="2274">
        <v>1</v>
      </c>
      <c r="C102" s="2275">
        <f>1.9362/C101</f>
        <v>0.77447999999999995</v>
      </c>
      <c r="D102" s="2275">
        <f>1.9362/D101</f>
        <v>0.77447999999999995</v>
      </c>
      <c r="E102" s="2275">
        <f>1.8629/E101</f>
        <v>0.74516000000000004</v>
      </c>
      <c r="F102" s="2275">
        <f>1.8629/F101</f>
        <v>0.74516000000000004</v>
      </c>
      <c r="G102" s="2275">
        <f>1.8629/G101</f>
        <v>0.74516000000000004</v>
      </c>
      <c r="H102" s="2275">
        <f>1.8629/H101</f>
        <v>0.74516000000000004</v>
      </c>
      <c r="I102" s="2275">
        <f>1.8629/I101</f>
        <v>0.74516000000000004</v>
      </c>
      <c r="J102" s="2275">
        <f>1.942/J101</f>
        <v>0.77679999999999993</v>
      </c>
      <c r="K102" s="2275">
        <f>1.942/K101</f>
        <v>0.77679999999999993</v>
      </c>
      <c r="L102" s="2275">
        <f>1.942/L101</f>
        <v>0.77679999999999993</v>
      </c>
      <c r="M102" s="2275">
        <f>1.942/M101</f>
        <v>0.77679999999999993</v>
      </c>
      <c r="N102" s="2275">
        <f>1.942/N101</f>
        <v>0.77679999999999993</v>
      </c>
      <c r="Q102" s="3023"/>
      <c r="R102" s="3023"/>
      <c r="S102" s="3023"/>
      <c r="T102" s="3023"/>
      <c r="U102" s="3023"/>
      <c r="V102" s="3023"/>
      <c r="W102" s="3023"/>
    </row>
    <row r="103" spans="1:23">
      <c r="A103" s="3720"/>
      <c r="B103" s="2274">
        <v>2</v>
      </c>
      <c r="C103" s="2275">
        <f>1.4198/C101</f>
        <v>0.56791999999999998</v>
      </c>
      <c r="D103" s="2275">
        <f>1.4198/D101</f>
        <v>0.56791999999999998</v>
      </c>
      <c r="E103" s="2275">
        <f>1.3372/E101</f>
        <v>0.53488000000000002</v>
      </c>
      <c r="F103" s="2275">
        <f>1.3372/F101</f>
        <v>0.53488000000000002</v>
      </c>
      <c r="G103" s="2275">
        <f>1.3372/G101</f>
        <v>0.53488000000000002</v>
      </c>
      <c r="H103" s="2275">
        <f>1.3372/H101</f>
        <v>0.53488000000000002</v>
      </c>
      <c r="I103" s="2275">
        <f>1.3372/I101</f>
        <v>0.53488000000000002</v>
      </c>
      <c r="J103" s="2275">
        <f>1.2799/J101</f>
        <v>0.51195999999999997</v>
      </c>
      <c r="K103" s="2275">
        <f>1.2799/K101</f>
        <v>0.51195999999999997</v>
      </c>
      <c r="L103" s="2275">
        <f>1.2799/L101</f>
        <v>0.51195999999999997</v>
      </c>
      <c r="M103" s="2275">
        <f>1.2799/M101</f>
        <v>0.51195999999999997</v>
      </c>
      <c r="N103" s="2275">
        <f>1.2799/N101</f>
        <v>0.51195999999999997</v>
      </c>
      <c r="Q103" s="3023"/>
      <c r="R103" s="3023"/>
      <c r="S103" s="3023"/>
      <c r="T103" s="3023"/>
      <c r="U103" s="3023"/>
      <c r="V103" s="3023"/>
      <c r="W103" s="3023"/>
    </row>
    <row r="104" spans="1:23">
      <c r="A104" s="3720"/>
      <c r="B104" s="2274">
        <v>3</v>
      </c>
      <c r="C104" s="2275">
        <f>1.1594/C101</f>
        <v>0.46376000000000001</v>
      </c>
      <c r="D104" s="2275">
        <f>1.1594/D101</f>
        <v>0.46376000000000001</v>
      </c>
      <c r="E104" s="2275">
        <f>1.0788/E101</f>
        <v>0.43152000000000001</v>
      </c>
      <c r="F104" s="2275">
        <f>1.0788/F101</f>
        <v>0.43152000000000001</v>
      </c>
      <c r="G104" s="2275">
        <f>1.0788/G101</f>
        <v>0.43152000000000001</v>
      </c>
      <c r="H104" s="2275">
        <f>1.0788/H101</f>
        <v>0.43152000000000001</v>
      </c>
      <c r="I104" s="2275">
        <f>1.0788/I101</f>
        <v>0.43152000000000001</v>
      </c>
      <c r="J104" s="2275">
        <f>1.0072/J101</f>
        <v>0.40288000000000002</v>
      </c>
      <c r="K104" s="2275">
        <f>1.0072/K101</f>
        <v>0.40288000000000002</v>
      </c>
      <c r="L104" s="2275">
        <f>1.0072/L101</f>
        <v>0.40288000000000002</v>
      </c>
      <c r="M104" s="2275">
        <f>1.0072/M101</f>
        <v>0.40288000000000002</v>
      </c>
      <c r="N104" s="2275">
        <f>1.0072/N101</f>
        <v>0.40288000000000002</v>
      </c>
      <c r="Q104" s="3023"/>
      <c r="R104" s="3023"/>
      <c r="S104" s="3023"/>
      <c r="T104" s="3023"/>
      <c r="U104" s="3023"/>
      <c r="V104" s="3023"/>
      <c r="W104" s="3023"/>
    </row>
    <row r="105" spans="1:23">
      <c r="A105" s="3720"/>
      <c r="B105" s="2274">
        <v>4</v>
      </c>
      <c r="C105" s="2275">
        <f>0.9622/C101</f>
        <v>0.38488</v>
      </c>
      <c r="D105" s="2275">
        <f>0.9622/D101</f>
        <v>0.38488</v>
      </c>
      <c r="E105" s="2275">
        <f>0.8656/E101</f>
        <v>0.34623999999999999</v>
      </c>
      <c r="F105" s="2275">
        <f>0.8656/F101</f>
        <v>0.34623999999999999</v>
      </c>
      <c r="G105" s="2275">
        <f>0.8656/G101</f>
        <v>0.34623999999999999</v>
      </c>
      <c r="H105" s="2275">
        <f>0.8656/H101</f>
        <v>0.34623999999999999</v>
      </c>
      <c r="I105" s="2275">
        <f>0.8656/I101</f>
        <v>0.34623999999999999</v>
      </c>
      <c r="J105" s="2275">
        <f>0.7525/J101</f>
        <v>0.30099999999999999</v>
      </c>
      <c r="K105" s="2275">
        <f>0.7525/K101</f>
        <v>0.30099999999999999</v>
      </c>
      <c r="L105" s="2275">
        <f>0.7525/L101</f>
        <v>0.30099999999999999</v>
      </c>
      <c r="M105" s="2275">
        <f>0.7525/M101</f>
        <v>0.30099999999999999</v>
      </c>
      <c r="N105" s="2275">
        <f>0.7525/N101</f>
        <v>0.30099999999999999</v>
      </c>
      <c r="Q105" s="3023"/>
      <c r="R105" s="3023"/>
      <c r="S105" s="3023"/>
      <c r="T105" s="3023"/>
      <c r="U105" s="3023"/>
      <c r="V105" s="3023"/>
      <c r="W105" s="3023"/>
    </row>
    <row r="106" spans="1:23">
      <c r="A106" s="3720"/>
      <c r="B106" s="2274">
        <v>5</v>
      </c>
      <c r="C106" s="2275">
        <f>0.8417/C101</f>
        <v>0.33667999999999998</v>
      </c>
      <c r="D106" s="2275">
        <f>0.8417/D101</f>
        <v>0.33667999999999998</v>
      </c>
      <c r="E106" s="2275">
        <f>0.7371/E101</f>
        <v>0.29483999999999999</v>
      </c>
      <c r="F106" s="2275">
        <f>0.7371/F101</f>
        <v>0.29483999999999999</v>
      </c>
      <c r="G106" s="2275">
        <f>0.7371/G101</f>
        <v>0.29483999999999999</v>
      </c>
      <c r="H106" s="2275">
        <f>0.7371/H101</f>
        <v>0.29483999999999999</v>
      </c>
      <c r="I106" s="2275">
        <f>0.7371/I101</f>
        <v>0.29483999999999999</v>
      </c>
      <c r="J106" s="2275">
        <f>0.5659/J101</f>
        <v>0.22635999999999998</v>
      </c>
      <c r="K106" s="2275">
        <f>0.5659/K101</f>
        <v>0.22635999999999998</v>
      </c>
      <c r="L106" s="2275">
        <f>0.5659/L101</f>
        <v>0.22635999999999998</v>
      </c>
      <c r="M106" s="2275">
        <f>0.5659/M101</f>
        <v>0.22635999999999998</v>
      </c>
      <c r="N106" s="2275">
        <f>0.5659/N101</f>
        <v>0.22635999999999998</v>
      </c>
      <c r="Q106" s="3023"/>
      <c r="R106" s="3023"/>
      <c r="S106" s="3023"/>
      <c r="T106" s="3023"/>
      <c r="U106" s="3023"/>
      <c r="V106" s="3023"/>
      <c r="W106" s="3023"/>
    </row>
    <row r="107" spans="1:23">
      <c r="A107" s="3720"/>
      <c r="B107" s="2274">
        <v>6</v>
      </c>
      <c r="C107" s="2275">
        <f>0.7608/C101</f>
        <v>0.30432000000000003</v>
      </c>
      <c r="D107" s="2275">
        <f>0.7608/D101</f>
        <v>0.30432000000000003</v>
      </c>
      <c r="E107" s="2275">
        <f>0.6482/E101</f>
        <v>0.25928000000000001</v>
      </c>
      <c r="F107" s="2275">
        <f>0.6482/F101</f>
        <v>0.25928000000000001</v>
      </c>
      <c r="G107" s="2275">
        <f>0.6482/G101</f>
        <v>0.25928000000000001</v>
      </c>
      <c r="H107" s="2275">
        <f>0.6482/H101</f>
        <v>0.25928000000000001</v>
      </c>
      <c r="I107" s="2275">
        <f>0.6482/I101</f>
        <v>0.25928000000000001</v>
      </c>
      <c r="J107" s="2275">
        <f>0.4525/J101</f>
        <v>0.18099999999999999</v>
      </c>
      <c r="K107" s="2275">
        <f>0.4525/K101</f>
        <v>0.18099999999999999</v>
      </c>
      <c r="L107" s="2275">
        <f>0.4525/L101</f>
        <v>0.18099999999999999</v>
      </c>
      <c r="M107" s="2275">
        <f>0.4525/M101</f>
        <v>0.18099999999999999</v>
      </c>
      <c r="N107" s="2275">
        <f>0.4525/N101</f>
        <v>0.18099999999999999</v>
      </c>
      <c r="Q107" s="3023"/>
      <c r="R107" s="3023"/>
      <c r="S107" s="3023"/>
      <c r="T107" s="3023"/>
      <c r="U107" s="3023"/>
      <c r="V107" s="3023"/>
      <c r="W107" s="3023"/>
    </row>
    <row r="108" spans="1:23">
      <c r="A108" s="3720"/>
      <c r="B108" s="3722" t="s">
        <v>2624</v>
      </c>
      <c r="C108" s="2276">
        <f>C99</f>
        <v>1</v>
      </c>
      <c r="D108" s="2276">
        <f t="shared" ref="D108:N108" si="33">D99</f>
        <v>1</v>
      </c>
      <c r="E108" s="2276">
        <f t="shared" si="33"/>
        <v>1</v>
      </c>
      <c r="F108" s="2276">
        <f t="shared" si="33"/>
        <v>1</v>
      </c>
      <c r="G108" s="2276">
        <f t="shared" si="33"/>
        <v>1</v>
      </c>
      <c r="H108" s="2276">
        <f t="shared" si="33"/>
        <v>1</v>
      </c>
      <c r="I108" s="2276">
        <f t="shared" si="33"/>
        <v>1</v>
      </c>
      <c r="J108" s="2276">
        <f t="shared" si="33"/>
        <v>1</v>
      </c>
      <c r="K108" s="2276">
        <f t="shared" si="33"/>
        <v>1</v>
      </c>
      <c r="L108" s="2276">
        <f t="shared" si="33"/>
        <v>1</v>
      </c>
      <c r="M108" s="2276">
        <f t="shared" si="33"/>
        <v>1</v>
      </c>
      <c r="N108" s="2276">
        <f t="shared" si="33"/>
        <v>1</v>
      </c>
      <c r="Q108" s="3023"/>
      <c r="R108" s="3023"/>
      <c r="S108" s="3023"/>
      <c r="T108" s="3023"/>
      <c r="U108" s="3023"/>
      <c r="V108" s="3023"/>
      <c r="W108" s="3023"/>
    </row>
    <row r="109" spans="1:23">
      <c r="A109" s="3721"/>
      <c r="B109" s="3723"/>
      <c r="C109" s="2277">
        <f>(-0.163*(C108^2)-0.59*C108+7617)*(10^(-4))/C101</f>
        <v>0.30464988000000004</v>
      </c>
      <c r="D109" s="2277">
        <f>(-0.163*(D108^2)-0.59*D108+7617)*(10^(-4))/D101</f>
        <v>0.30464988000000004</v>
      </c>
      <c r="E109" s="2277">
        <f>(-0.161*(E108^2)-7.509*E108+6533)*(10^(-4))/E101</f>
        <v>0.2610132</v>
      </c>
      <c r="F109" s="2277">
        <f>(-0.161*(F108^2)-7.509*F108+6533)*(10^(-4))/F101</f>
        <v>0.2610132</v>
      </c>
      <c r="G109" s="2277">
        <f>(-0.161*(G108^2)-7.509*G108+6533)*(10^(-4))/G101</f>
        <v>0.2610132</v>
      </c>
      <c r="H109" s="2277">
        <f>(-0.161*(H108^2)-7.509*H108+6533)*(10^(-4))/H101</f>
        <v>0.2610132</v>
      </c>
      <c r="I109" s="2277">
        <f>(-0.161*(I108^2)-7.509*I108+6533)*(10^(-4))/I101</f>
        <v>0.2610132</v>
      </c>
      <c r="J109" s="2277">
        <f>(-0.214*(J108^2)-21.991*J108+4665)*(10^(-4))/J101</f>
        <v>0.18571180000000001</v>
      </c>
      <c r="K109" s="2277">
        <f>(-0.214*(K108^2)-21.991*K108+4665)*(10^(-4))/K101</f>
        <v>0.18571180000000001</v>
      </c>
      <c r="L109" s="2277">
        <f>(-0.214*(L108^2)-21.991*L108+4665)*(10^(-4))/L101</f>
        <v>0.18571180000000001</v>
      </c>
      <c r="M109" s="2277">
        <f>(-0.214*(M108^2)-21.991*M108+4665)*(10^(-4))/M101</f>
        <v>0.18571180000000001</v>
      </c>
      <c r="N109" s="2277">
        <f>(-0.214*(N108^2)-21.991*N108+4665)*(10^(-4))/N101</f>
        <v>0.18571180000000001</v>
      </c>
      <c r="Q109" s="3023"/>
      <c r="R109" s="3023"/>
      <c r="S109" s="3023"/>
      <c r="T109" s="3023"/>
      <c r="U109" s="3023"/>
      <c r="V109" s="3023"/>
      <c r="W109" s="3023"/>
    </row>
    <row r="110" spans="1:23">
      <c r="A110" s="3717" t="s">
        <v>2625</v>
      </c>
      <c r="B110" s="3717"/>
      <c r="C110" s="3717"/>
      <c r="D110" s="3717"/>
      <c r="E110" s="3717"/>
      <c r="F110" s="3717"/>
      <c r="G110" s="3717"/>
      <c r="H110" s="3717"/>
      <c r="I110" s="3717"/>
      <c r="J110" s="3717"/>
      <c r="K110" s="2045"/>
      <c r="L110" s="2045"/>
      <c r="M110" s="2045"/>
      <c r="N110" s="2045"/>
      <c r="Q110" s="3023"/>
      <c r="R110" s="3023"/>
      <c r="S110" s="3023"/>
      <c r="T110" s="3023"/>
      <c r="U110" s="3023"/>
      <c r="V110" s="3023"/>
      <c r="W110" s="3023"/>
    </row>
    <row r="112" spans="1:23" ht="13.5" thickBot="1"/>
    <row r="113" spans="1:13" ht="25.5" thickBot="1">
      <c r="A113" s="2280" t="s">
        <v>2626</v>
      </c>
      <c r="B113" s="2281">
        <f>G3</f>
        <v>2.5</v>
      </c>
      <c r="C113" s="2282" t="s">
        <v>2627</v>
      </c>
      <c r="D113" s="2283">
        <f>SUMPRODUCT((A115:A118=F113)*(B114:M114=H113)*B115:M118)</f>
        <v>0.80589999999999995</v>
      </c>
      <c r="E113" s="1572" t="s">
        <v>2514</v>
      </c>
      <c r="F113" s="2284" t="str">
        <f>E2</f>
        <v>商业</v>
      </c>
      <c r="G113" s="1572" t="s">
        <v>2451</v>
      </c>
      <c r="H113" s="2284" t="str">
        <f>G2</f>
        <v>四级</v>
      </c>
      <c r="I113" s="1572"/>
      <c r="J113" s="2285"/>
      <c r="K113" s="2285"/>
      <c r="L113" s="2285"/>
      <c r="M113" s="2285"/>
    </row>
    <row r="114" spans="1:13">
      <c r="A114" s="2286"/>
      <c r="B114" s="2287" t="s">
        <v>2628</v>
      </c>
      <c r="C114" s="2287" t="s">
        <v>2629</v>
      </c>
      <c r="D114" s="2287" t="s">
        <v>2630</v>
      </c>
      <c r="E114" s="2288" t="s">
        <v>2631</v>
      </c>
      <c r="F114" s="2288" t="s">
        <v>2632</v>
      </c>
      <c r="G114" s="2288" t="s">
        <v>2633</v>
      </c>
      <c r="H114" s="2289" t="s">
        <v>2634</v>
      </c>
      <c r="I114" s="2289" t="s">
        <v>2635</v>
      </c>
      <c r="J114" s="2290" t="s">
        <v>2636</v>
      </c>
      <c r="K114" s="2290" t="s">
        <v>2637</v>
      </c>
      <c r="L114" s="2290" t="s">
        <v>2638</v>
      </c>
      <c r="M114" s="2291" t="s">
        <v>2639</v>
      </c>
    </row>
    <row r="115" spans="1:13">
      <c r="A115" s="2292" t="s">
        <v>2515</v>
      </c>
      <c r="B115" s="2293">
        <f>ROUND(0.9335-0.0094*B113,4)</f>
        <v>0.91</v>
      </c>
      <c r="C115" s="2293">
        <f>B115</f>
        <v>0.91</v>
      </c>
      <c r="D115" s="2293">
        <f>ROUND(0.8331-0.0109*B113,4)</f>
        <v>0.80589999999999995</v>
      </c>
      <c r="E115" s="2293">
        <f>D115</f>
        <v>0.80589999999999995</v>
      </c>
      <c r="F115" s="2293">
        <f>E115</f>
        <v>0.80589999999999995</v>
      </c>
      <c r="G115" s="2293">
        <f>F115</f>
        <v>0.80589999999999995</v>
      </c>
      <c r="H115" s="2293">
        <f>G115</f>
        <v>0.80589999999999995</v>
      </c>
      <c r="I115" s="2293">
        <f>ROUND(0.689-0.0155*B113,4)</f>
        <v>0.65029999999999999</v>
      </c>
      <c r="J115" s="2293">
        <f t="shared" ref="J115:M118" si="34">I115</f>
        <v>0.65029999999999999</v>
      </c>
      <c r="K115" s="2293">
        <f t="shared" si="34"/>
        <v>0.65029999999999999</v>
      </c>
      <c r="L115" s="2293">
        <f t="shared" si="34"/>
        <v>0.65029999999999999</v>
      </c>
      <c r="M115" s="2294">
        <f t="shared" si="34"/>
        <v>0.65029999999999999</v>
      </c>
    </row>
    <row r="116" spans="1:13">
      <c r="A116" s="2292" t="s">
        <v>2516</v>
      </c>
      <c r="B116" s="2293">
        <f>ROUND(0.949-0.012*B113,4)</f>
        <v>0.91900000000000004</v>
      </c>
      <c r="C116" s="2293">
        <f>B116</f>
        <v>0.91900000000000004</v>
      </c>
      <c r="D116" s="2293">
        <f>ROUND(0.8567-0.013*B113,4)</f>
        <v>0.82420000000000004</v>
      </c>
      <c r="E116" s="2293">
        <f t="shared" ref="E116:H117" si="35">D116</f>
        <v>0.82420000000000004</v>
      </c>
      <c r="F116" s="2293">
        <f t="shared" si="35"/>
        <v>0.82420000000000004</v>
      </c>
      <c r="G116" s="2293">
        <f t="shared" si="35"/>
        <v>0.82420000000000004</v>
      </c>
      <c r="H116" s="2293">
        <f t="shared" si="35"/>
        <v>0.82420000000000004</v>
      </c>
      <c r="I116" s="2293">
        <f>ROUND(0.7694-0.014*B113,4)</f>
        <v>0.73440000000000005</v>
      </c>
      <c r="J116" s="2293">
        <f t="shared" si="34"/>
        <v>0.73440000000000005</v>
      </c>
      <c r="K116" s="2293">
        <f t="shared" si="34"/>
        <v>0.73440000000000005</v>
      </c>
      <c r="L116" s="2293">
        <f t="shared" si="34"/>
        <v>0.73440000000000005</v>
      </c>
      <c r="M116" s="2294">
        <f t="shared" si="34"/>
        <v>0.73440000000000005</v>
      </c>
    </row>
    <row r="117" spans="1:13">
      <c r="A117" s="2292" t="s">
        <v>2517</v>
      </c>
      <c r="B117" s="2293">
        <f>ROUND(0.8808-0.006*B113,4)</f>
        <v>0.86580000000000001</v>
      </c>
      <c r="C117" s="2293">
        <f>B117</f>
        <v>0.86580000000000001</v>
      </c>
      <c r="D117" s="2293">
        <f>ROUND(0.8748-0.008*B113,4)</f>
        <v>0.8548</v>
      </c>
      <c r="E117" s="2293">
        <f t="shared" si="35"/>
        <v>0.8548</v>
      </c>
      <c r="F117" s="2293">
        <f t="shared" si="35"/>
        <v>0.8548</v>
      </c>
      <c r="G117" s="2293">
        <f t="shared" si="35"/>
        <v>0.8548</v>
      </c>
      <c r="H117" s="2293">
        <f t="shared" si="35"/>
        <v>0.8548</v>
      </c>
      <c r="I117" s="2293">
        <f>ROUND(0.7412-0.0095*B113,4)</f>
        <v>0.71750000000000003</v>
      </c>
      <c r="J117" s="2293">
        <f t="shared" si="34"/>
        <v>0.71750000000000003</v>
      </c>
      <c r="K117" s="2293">
        <f t="shared" si="34"/>
        <v>0.71750000000000003</v>
      </c>
      <c r="L117" s="2293">
        <f t="shared" si="34"/>
        <v>0.71750000000000003</v>
      </c>
      <c r="M117" s="2294">
        <f t="shared" si="34"/>
        <v>0.71750000000000003</v>
      </c>
    </row>
    <row r="118" spans="1:13" ht="13.5" thickBot="1">
      <c r="A118" s="2295" t="s">
        <v>2518</v>
      </c>
      <c r="B118" s="2296">
        <f>ROUND(0.7275-0.01*B113,4)</f>
        <v>0.70250000000000001</v>
      </c>
      <c r="C118" s="2296">
        <f>B118</f>
        <v>0.70250000000000001</v>
      </c>
      <c r="D118" s="2296">
        <f>ROUND(0.7043-0.012*B113,4)</f>
        <v>0.67430000000000001</v>
      </c>
      <c r="E118" s="2296">
        <f>D118</f>
        <v>0.67430000000000001</v>
      </c>
      <c r="F118" s="2296">
        <f>E118</f>
        <v>0.67430000000000001</v>
      </c>
      <c r="G118" s="2296">
        <f>ROUND(0.6299-0.0122*B113,4)</f>
        <v>0.59940000000000004</v>
      </c>
      <c r="H118" s="2296">
        <f>G118</f>
        <v>0.59940000000000004</v>
      </c>
      <c r="I118" s="2296">
        <f>ROUND(0.5667-0.0136*B113,4)</f>
        <v>0.53269999999999995</v>
      </c>
      <c r="J118" s="2296">
        <f t="shared" si="34"/>
        <v>0.53269999999999995</v>
      </c>
      <c r="K118" s="2296">
        <f t="shared" si="34"/>
        <v>0.53269999999999995</v>
      </c>
      <c r="L118" s="2296">
        <f t="shared" si="34"/>
        <v>0.53269999999999995</v>
      </c>
      <c r="M118" s="2297">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N88"/>
  <sheetViews>
    <sheetView topLeftCell="A172" workbookViewId="0">
      <selection activeCell="O10" sqref="O10"/>
    </sheetView>
  </sheetViews>
  <sheetFormatPr defaultRowHeight="13.5"/>
  <cols>
    <col min="1" max="16384" width="9" style="3342"/>
  </cols>
  <sheetData>
    <row r="4" spans="14:14">
      <c r="N4" s="3342">
        <v>8</v>
      </c>
    </row>
    <row r="14" spans="14:14">
      <c r="N14" s="3342">
        <v>4</v>
      </c>
    </row>
    <row r="26" spans="14:14">
      <c r="N26" s="3342">
        <v>8.8000000000000007</v>
      </c>
    </row>
    <row r="36" spans="14:14">
      <c r="N36" s="3342">
        <v>11</v>
      </c>
    </row>
    <row r="77" spans="7:8">
      <c r="G77" s="3343" t="s">
        <v>3057</v>
      </c>
      <c r="H77" s="3343" t="s">
        <v>3058</v>
      </c>
    </row>
    <row r="78" spans="7:8">
      <c r="G78" s="3342">
        <f>1800/239*10000</f>
        <v>75313.807531380749</v>
      </c>
      <c r="H78" s="3342">
        <f>100/365/239*10000</f>
        <v>11.463288817561757</v>
      </c>
    </row>
    <row r="79" spans="7:8">
      <c r="G79" s="3342">
        <f>3400/474*10000</f>
        <v>71729.957805907179</v>
      </c>
      <c r="H79" s="3342">
        <f>234/474/365*10000</f>
        <v>13.525229755505462</v>
      </c>
    </row>
    <row r="80" spans="7:8">
      <c r="G80" s="3342">
        <f>850/98*10000</f>
        <v>86734.693877551021</v>
      </c>
      <c r="H80" s="3342">
        <f>43/365/98*10000</f>
        <v>12.021246854906346</v>
      </c>
    </row>
    <row r="81" spans="7:8">
      <c r="G81" s="3342">
        <f>2500/1070*10000</f>
        <v>23364.485981308411</v>
      </c>
      <c r="H81" s="3342">
        <f>120/1070/365*10000</f>
        <v>3.0725899372679555</v>
      </c>
    </row>
    <row r="85" spans="7:8">
      <c r="G85" s="3342">
        <f>750/95*10000</f>
        <v>78947.368421052626</v>
      </c>
      <c r="H85" s="3342">
        <f>35/95/365*10000</f>
        <v>10.093727469358328</v>
      </c>
    </row>
    <row r="86" spans="7:8">
      <c r="G86" s="3342">
        <f>670/135*10000</f>
        <v>49629.629629629628</v>
      </c>
      <c r="H86" s="3342">
        <f>38/135/365*10000</f>
        <v>7.7118214104515479</v>
      </c>
    </row>
    <row r="87" spans="7:8">
      <c r="G87" s="3342">
        <f>3300/330*10000</f>
        <v>100000</v>
      </c>
      <c r="H87" s="3342">
        <f>210/330/365*10000</f>
        <v>17.434620174346204</v>
      </c>
    </row>
    <row r="88" spans="7:8">
      <c r="G88" s="3342">
        <f>1200/107*10000</f>
        <v>112149.53271028037</v>
      </c>
      <c r="H88" s="3342">
        <f>60/107/365*10000</f>
        <v>15.362949686339777</v>
      </c>
    </row>
  </sheetData>
  <phoneticPr fontId="146" type="noConversion"/>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29" t="s">
        <v>779</v>
      </c>
      <c r="B1" s="372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9.6000000000000002E-2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29" t="s">
        <v>105</v>
      </c>
      <c r="B1" s="3729"/>
      <c r="C1" s="3729"/>
      <c r="D1" s="3729"/>
      <c r="E1" s="3729"/>
      <c r="F1" s="372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0" t="s">
        <v>118</v>
      </c>
      <c r="B2" s="3730"/>
      <c r="C2" s="3730"/>
      <c r="D2" s="3730"/>
      <c r="E2" s="3730"/>
      <c r="F2" s="373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3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17610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2659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33" t="s">
        <v>132</v>
      </c>
      <c r="B18" s="768" t="s">
        <v>517</v>
      </c>
      <c r="C18" s="769" t="s">
        <v>518</v>
      </c>
      <c r="D18" s="770"/>
      <c r="E18" s="768">
        <v>1</v>
      </c>
      <c r="F18" s="771" t="s">
        <v>519</v>
      </c>
      <c r="G18" s="772"/>
      <c r="H18" s="764"/>
      <c r="I18" s="764"/>
    </row>
    <row r="19" spans="1:9" s="773" customFormat="1" ht="19.5" customHeight="1">
      <c r="A19" s="3733"/>
      <c r="B19" s="3733" t="s">
        <v>520</v>
      </c>
      <c r="C19" s="769" t="s">
        <v>521</v>
      </c>
      <c r="D19" s="770"/>
      <c r="E19" s="768">
        <v>0.9</v>
      </c>
      <c r="F19" s="771" t="s">
        <v>522</v>
      </c>
      <c r="G19" s="772"/>
      <c r="H19" s="764"/>
      <c r="I19" s="764"/>
    </row>
    <row r="20" spans="1:9" s="773" customFormat="1" ht="19.5" customHeight="1">
      <c r="A20" s="3733"/>
      <c r="B20" s="3733"/>
      <c r="C20" s="769" t="s">
        <v>523</v>
      </c>
      <c r="D20" s="770"/>
      <c r="E20" s="768">
        <v>1.1000000000000001</v>
      </c>
      <c r="F20" s="771" t="s">
        <v>524</v>
      </c>
      <c r="G20" s="772"/>
      <c r="H20" s="764"/>
      <c r="I20" s="764"/>
    </row>
    <row r="21" spans="1:9" s="773" customFormat="1" ht="19.5" customHeight="1">
      <c r="A21" s="3733"/>
      <c r="B21" s="3733"/>
      <c r="C21" s="769" t="s">
        <v>525</v>
      </c>
      <c r="D21" s="770"/>
      <c r="E21" s="768">
        <v>0.8</v>
      </c>
      <c r="F21" s="771" t="s">
        <v>526</v>
      </c>
      <c r="G21" s="772"/>
      <c r="H21" s="764"/>
      <c r="I21" s="764"/>
    </row>
    <row r="22" spans="1:9" s="773" customFormat="1" ht="19.5" customHeight="1">
      <c r="A22" s="3733"/>
      <c r="B22" s="3733"/>
      <c r="C22" s="769" t="s">
        <v>527</v>
      </c>
      <c r="D22" s="770"/>
      <c r="E22" s="768">
        <v>0.5</v>
      </c>
      <c r="F22" s="771"/>
      <c r="G22" s="772"/>
      <c r="H22" s="764"/>
      <c r="I22" s="764"/>
    </row>
    <row r="23" spans="1:9" s="773" customFormat="1" ht="19.5" customHeight="1">
      <c r="A23" s="3733" t="s">
        <v>133</v>
      </c>
      <c r="B23" s="768" t="s">
        <v>517</v>
      </c>
      <c r="C23" s="769" t="s">
        <v>528</v>
      </c>
      <c r="D23" s="770"/>
      <c r="E23" s="768">
        <v>1</v>
      </c>
      <c r="F23" s="771" t="s">
        <v>529</v>
      </c>
      <c r="G23" s="772"/>
      <c r="H23" s="764"/>
      <c r="I23" s="764"/>
    </row>
    <row r="24" spans="1:9" s="773" customFormat="1" ht="19.5" customHeight="1">
      <c r="A24" s="3733"/>
      <c r="B24" s="3733" t="s">
        <v>520</v>
      </c>
      <c r="C24" s="769" t="s">
        <v>530</v>
      </c>
      <c r="D24" s="770"/>
      <c r="E24" s="768">
        <v>0.5</v>
      </c>
      <c r="F24" s="771"/>
      <c r="G24" s="772"/>
      <c r="H24" s="764"/>
      <c r="I24" s="764"/>
    </row>
    <row r="25" spans="1:9" s="773" customFormat="1" ht="19.5" customHeight="1">
      <c r="A25" s="3733"/>
      <c r="B25" s="3733"/>
      <c r="C25" s="769" t="s">
        <v>531</v>
      </c>
      <c r="D25" s="770"/>
      <c r="E25" s="768">
        <v>1.1000000000000001</v>
      </c>
      <c r="F25" s="771"/>
      <c r="G25" s="772"/>
      <c r="H25" s="764"/>
      <c r="I25" s="764"/>
    </row>
    <row r="26" spans="1:9" s="773" customFormat="1" ht="19.5" customHeight="1">
      <c r="A26" s="3733"/>
      <c r="B26" s="3733"/>
      <c r="C26" s="769" t="s">
        <v>532</v>
      </c>
      <c r="D26" s="770"/>
      <c r="E26" s="768">
        <v>1.1000000000000001</v>
      </c>
      <c r="F26" s="771"/>
      <c r="G26" s="772"/>
      <c r="H26" s="764"/>
      <c r="I26" s="764"/>
    </row>
    <row r="27" spans="1:9" s="773" customFormat="1" ht="19.5" customHeight="1">
      <c r="A27" s="3733"/>
      <c r="B27" s="3733"/>
      <c r="C27" s="769" t="s">
        <v>533</v>
      </c>
      <c r="D27" s="770"/>
      <c r="E27" s="768">
        <v>0.9</v>
      </c>
      <c r="F27" s="771" t="s">
        <v>534</v>
      </c>
      <c r="G27" s="772"/>
      <c r="H27" s="764"/>
      <c r="I27" s="764"/>
    </row>
    <row r="28" spans="1:9" s="773" customFormat="1" ht="19.5" customHeight="1">
      <c r="A28" s="3733"/>
      <c r="B28" s="3733"/>
      <c r="C28" s="769" t="s">
        <v>535</v>
      </c>
      <c r="D28" s="770"/>
      <c r="E28" s="768">
        <v>0.9</v>
      </c>
      <c r="F28" s="771" t="s">
        <v>536</v>
      </c>
      <c r="G28" s="772"/>
      <c r="H28" s="764"/>
      <c r="I28" s="764"/>
    </row>
    <row r="29" spans="1:9" s="773" customFormat="1" ht="19.5" customHeight="1">
      <c r="A29" s="3733"/>
      <c r="B29" s="3733"/>
      <c r="C29" s="769" t="s">
        <v>537</v>
      </c>
      <c r="D29" s="770"/>
      <c r="E29" s="768">
        <v>0.9</v>
      </c>
      <c r="F29" s="771" t="s">
        <v>538</v>
      </c>
      <c r="G29" s="772"/>
      <c r="H29" s="764"/>
      <c r="I29" s="764"/>
    </row>
    <row r="30" spans="1:9" s="773" customFormat="1" ht="19.5" customHeight="1">
      <c r="A30" s="3733"/>
      <c r="B30" s="3733"/>
      <c r="C30" s="769" t="s">
        <v>539</v>
      </c>
      <c r="D30" s="770"/>
      <c r="E30" s="768">
        <v>0.9</v>
      </c>
      <c r="F30" s="771" t="s">
        <v>540</v>
      </c>
      <c r="G30" s="772"/>
      <c r="H30" s="764"/>
      <c r="I30" s="764"/>
    </row>
    <row r="31" spans="1:9" s="773" customFormat="1" ht="19.5" customHeight="1">
      <c r="A31" s="3733"/>
      <c r="B31" s="3733"/>
      <c r="C31" s="769" t="s">
        <v>541</v>
      </c>
      <c r="D31" s="770"/>
      <c r="E31" s="768">
        <v>0.8</v>
      </c>
      <c r="F31" s="771" t="s">
        <v>542</v>
      </c>
      <c r="G31" s="772"/>
      <c r="H31" s="764"/>
      <c r="I31" s="764"/>
    </row>
    <row r="32" spans="1:9" s="773" customFormat="1" ht="19.5" customHeight="1">
      <c r="A32" s="3733"/>
      <c r="B32" s="3733"/>
      <c r="C32" s="769" t="s">
        <v>543</v>
      </c>
      <c r="D32" s="770"/>
      <c r="E32" s="768">
        <v>0.8</v>
      </c>
      <c r="F32" s="771" t="s">
        <v>544</v>
      </c>
      <c r="G32" s="772"/>
      <c r="H32" s="764"/>
      <c r="I32" s="764"/>
    </row>
    <row r="33" spans="1:9" s="773" customFormat="1" ht="19.5" customHeight="1">
      <c r="A33" s="3733" t="s">
        <v>134</v>
      </c>
      <c r="B33" s="768" t="s">
        <v>517</v>
      </c>
      <c r="C33" s="769" t="s">
        <v>545</v>
      </c>
      <c r="D33" s="770"/>
      <c r="E33" s="768">
        <v>1</v>
      </c>
      <c r="F33" s="771" t="s">
        <v>546</v>
      </c>
      <c r="G33" s="772"/>
      <c r="H33" s="764"/>
      <c r="I33" s="764"/>
    </row>
    <row r="34" spans="1:9" s="773" customFormat="1" ht="19.5" customHeight="1">
      <c r="A34" s="3733"/>
      <c r="B34" s="768" t="s">
        <v>520</v>
      </c>
      <c r="C34" s="769" t="s">
        <v>547</v>
      </c>
      <c r="D34" s="770"/>
      <c r="E34" s="768">
        <v>1.5</v>
      </c>
      <c r="F34" s="771" t="s">
        <v>548</v>
      </c>
      <c r="G34" s="772"/>
      <c r="H34" s="764"/>
      <c r="I34" s="764"/>
    </row>
    <row r="35" spans="1:9" s="773" customFormat="1" ht="19.5" customHeight="1">
      <c r="A35" s="3733" t="s">
        <v>135</v>
      </c>
      <c r="B35" s="768" t="s">
        <v>517</v>
      </c>
      <c r="C35" s="769" t="s">
        <v>549</v>
      </c>
      <c r="D35" s="770"/>
      <c r="E35" s="768">
        <v>1</v>
      </c>
      <c r="F35" s="771" t="s">
        <v>550</v>
      </c>
      <c r="G35" s="772"/>
      <c r="H35" s="764"/>
      <c r="I35" s="764"/>
    </row>
    <row r="36" spans="1:9" s="773" customFormat="1" ht="19.5" customHeight="1">
      <c r="A36" s="3733"/>
      <c r="B36" s="3733" t="s">
        <v>520</v>
      </c>
      <c r="C36" s="769" t="s">
        <v>551</v>
      </c>
      <c r="D36" s="770"/>
      <c r="E36" s="768">
        <v>1</v>
      </c>
      <c r="F36" s="771" t="s">
        <v>552</v>
      </c>
      <c r="G36" s="772"/>
      <c r="H36" s="764"/>
      <c r="I36" s="764"/>
    </row>
    <row r="37" spans="1:9" s="773" customFormat="1" ht="19.5" customHeight="1">
      <c r="A37" s="3733"/>
      <c r="B37" s="3733"/>
      <c r="C37" s="769" t="s">
        <v>553</v>
      </c>
      <c r="D37" s="770"/>
      <c r="E37" s="768">
        <v>1.5</v>
      </c>
      <c r="F37" s="771" t="s">
        <v>554</v>
      </c>
      <c r="G37" s="772"/>
      <c r="H37" s="764"/>
      <c r="I37" s="764"/>
    </row>
    <row r="38" spans="1:9" s="773" customFormat="1" ht="19.5" customHeight="1">
      <c r="A38" s="3733"/>
      <c r="B38" s="3733"/>
      <c r="C38" s="769" t="s">
        <v>555</v>
      </c>
      <c r="D38" s="770"/>
      <c r="E38" s="768">
        <v>1</v>
      </c>
      <c r="F38" s="771" t="s">
        <v>556</v>
      </c>
      <c r="G38" s="772"/>
      <c r="H38" s="764"/>
      <c r="I38" s="764"/>
    </row>
    <row r="39" spans="1:9" s="773" customFormat="1" ht="19.5" customHeight="1">
      <c r="A39" s="3733"/>
      <c r="B39" s="373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33" t="s">
        <v>571</v>
      </c>
      <c r="C61" s="682" t="s">
        <v>572</v>
      </c>
      <c r="D61" s="682" t="s">
        <v>573</v>
      </c>
      <c r="E61" s="781">
        <v>0.5</v>
      </c>
      <c r="F61" s="768">
        <v>80</v>
      </c>
    </row>
    <row r="62" spans="1:8" s="764" customFormat="1" ht="24">
      <c r="A62" s="768">
        <v>2</v>
      </c>
      <c r="B62" s="3733"/>
      <c r="C62" s="682" t="s">
        <v>574</v>
      </c>
      <c r="D62" s="682" t="s">
        <v>575</v>
      </c>
      <c r="E62" s="781">
        <v>0.5</v>
      </c>
      <c r="F62" s="768">
        <v>80</v>
      </c>
    </row>
    <row r="63" spans="1:8" s="764" customFormat="1" ht="36">
      <c r="A63" s="768">
        <v>3</v>
      </c>
      <c r="B63" s="3733"/>
      <c r="C63" s="682" t="s">
        <v>576</v>
      </c>
      <c r="D63" s="682" t="s">
        <v>577</v>
      </c>
      <c r="E63" s="781">
        <v>0.5</v>
      </c>
      <c r="F63" s="768">
        <v>80</v>
      </c>
    </row>
    <row r="64" spans="1:8" s="764" customFormat="1" ht="36">
      <c r="A64" s="768">
        <v>4</v>
      </c>
      <c r="B64" s="3733"/>
      <c r="C64" s="682" t="s">
        <v>578</v>
      </c>
      <c r="D64" s="682" t="s">
        <v>579</v>
      </c>
      <c r="E64" s="781">
        <v>0.4</v>
      </c>
      <c r="F64" s="768">
        <v>60</v>
      </c>
    </row>
    <row r="65" spans="1:6" s="764" customFormat="1" ht="36">
      <c r="A65" s="768">
        <v>5</v>
      </c>
      <c r="B65" s="3733"/>
      <c r="C65" s="682" t="s">
        <v>580</v>
      </c>
      <c r="D65" s="682" t="s">
        <v>581</v>
      </c>
      <c r="E65" s="781">
        <v>0.2</v>
      </c>
      <c r="F65" s="768">
        <v>30</v>
      </c>
    </row>
    <row r="66" spans="1:6" s="764" customFormat="1" ht="36">
      <c r="A66" s="768">
        <v>6</v>
      </c>
      <c r="B66" s="3733"/>
      <c r="C66" s="682" t="s">
        <v>582</v>
      </c>
      <c r="D66" s="682" t="s">
        <v>583</v>
      </c>
      <c r="E66" s="781">
        <v>0.3</v>
      </c>
      <c r="F66" s="768">
        <v>50</v>
      </c>
    </row>
    <row r="67" spans="1:6" s="764" customFormat="1" ht="36">
      <c r="A67" s="768">
        <v>7</v>
      </c>
      <c r="B67" s="3733"/>
      <c r="C67" s="682" t="s">
        <v>584</v>
      </c>
      <c r="D67" s="682" t="s">
        <v>585</v>
      </c>
      <c r="E67" s="781">
        <v>0.2</v>
      </c>
      <c r="F67" s="768">
        <v>30</v>
      </c>
    </row>
    <row r="68" spans="1:6" s="764" customFormat="1" ht="36">
      <c r="A68" s="768">
        <v>8</v>
      </c>
      <c r="B68" s="3733"/>
      <c r="C68" s="682" t="s">
        <v>586</v>
      </c>
      <c r="D68" s="682" t="s">
        <v>587</v>
      </c>
      <c r="E68" s="781">
        <v>0.2</v>
      </c>
      <c r="F68" s="768">
        <v>30</v>
      </c>
    </row>
    <row r="69" spans="1:6" s="764" customFormat="1" ht="36">
      <c r="A69" s="768">
        <v>9</v>
      </c>
      <c r="B69" s="3733"/>
      <c r="C69" s="682" t="s">
        <v>588</v>
      </c>
      <c r="D69" s="682" t="s">
        <v>589</v>
      </c>
      <c r="E69" s="781">
        <v>0.2</v>
      </c>
      <c r="F69" s="768">
        <v>30</v>
      </c>
    </row>
    <row r="70" spans="1:6" s="764" customFormat="1" ht="48">
      <c r="A70" s="768">
        <v>10</v>
      </c>
      <c r="B70" s="3733"/>
      <c r="C70" s="682" t="s">
        <v>590</v>
      </c>
      <c r="D70" s="682" t="s">
        <v>591</v>
      </c>
      <c r="E70" s="781">
        <v>0.2</v>
      </c>
      <c r="F70" s="768">
        <v>30</v>
      </c>
    </row>
    <row r="71" spans="1:6" s="764" customFormat="1" ht="48">
      <c r="A71" s="768">
        <v>11</v>
      </c>
      <c r="B71" s="3733"/>
      <c r="C71" s="682" t="s">
        <v>592</v>
      </c>
      <c r="D71" s="682" t="s">
        <v>593</v>
      </c>
      <c r="E71" s="781">
        <v>0.2</v>
      </c>
      <c r="F71" s="768">
        <v>30</v>
      </c>
    </row>
    <row r="72" spans="1:6" s="764" customFormat="1" ht="36">
      <c r="A72" s="768">
        <v>12</v>
      </c>
      <c r="B72" s="3733"/>
      <c r="C72" s="682" t="s">
        <v>594</v>
      </c>
      <c r="D72" s="682" t="s">
        <v>595</v>
      </c>
      <c r="E72" s="781">
        <v>0.5</v>
      </c>
      <c r="F72" s="768">
        <v>80</v>
      </c>
    </row>
    <row r="73" spans="1:6" s="764" customFormat="1" ht="24">
      <c r="A73" s="768">
        <v>13</v>
      </c>
      <c r="B73" s="3733"/>
      <c r="C73" s="682" t="s">
        <v>596</v>
      </c>
      <c r="D73" s="682" t="s">
        <v>597</v>
      </c>
      <c r="E73" s="781">
        <v>0.4</v>
      </c>
      <c r="F73" s="768">
        <v>60</v>
      </c>
    </row>
    <row r="74" spans="1:6" s="764" customFormat="1" ht="24">
      <c r="A74" s="768">
        <v>14</v>
      </c>
      <c r="B74" s="3733"/>
      <c r="C74" s="682" t="s">
        <v>598</v>
      </c>
      <c r="D74" s="682" t="s">
        <v>599</v>
      </c>
      <c r="E74" s="781">
        <v>0.2</v>
      </c>
      <c r="F74" s="768">
        <v>30</v>
      </c>
    </row>
    <row r="75" spans="1:6" s="764" customFormat="1" ht="24">
      <c r="A75" s="768">
        <v>15</v>
      </c>
      <c r="B75" s="3733"/>
      <c r="C75" s="682" t="s">
        <v>600</v>
      </c>
      <c r="D75" s="682" t="s">
        <v>601</v>
      </c>
      <c r="E75" s="781">
        <v>0.2</v>
      </c>
      <c r="F75" s="768">
        <v>30</v>
      </c>
    </row>
    <row r="76" spans="1:6" s="764" customFormat="1" ht="24">
      <c r="A76" s="768">
        <v>16</v>
      </c>
      <c r="B76" s="3733" t="s">
        <v>602</v>
      </c>
      <c r="C76" s="682" t="s">
        <v>603</v>
      </c>
      <c r="D76" s="682" t="s">
        <v>604</v>
      </c>
      <c r="E76" s="781">
        <v>0.5</v>
      </c>
      <c r="F76" s="768">
        <v>80</v>
      </c>
    </row>
    <row r="77" spans="1:6" s="764" customFormat="1" ht="24">
      <c r="A77" s="768">
        <v>17</v>
      </c>
      <c r="B77" s="3733"/>
      <c r="C77" s="682" t="s">
        <v>605</v>
      </c>
      <c r="D77" s="682" t="s">
        <v>606</v>
      </c>
      <c r="E77" s="781">
        <v>0.5</v>
      </c>
      <c r="F77" s="768">
        <v>80</v>
      </c>
    </row>
    <row r="78" spans="1:6" s="764" customFormat="1" ht="24">
      <c r="A78" s="768">
        <v>18</v>
      </c>
      <c r="B78" s="3733"/>
      <c r="C78" s="682" t="s">
        <v>607</v>
      </c>
      <c r="D78" s="682" t="s">
        <v>608</v>
      </c>
      <c r="E78" s="781">
        <v>0.2</v>
      </c>
      <c r="F78" s="768">
        <v>30</v>
      </c>
    </row>
    <row r="79" spans="1:6" s="764" customFormat="1" ht="24">
      <c r="A79" s="768">
        <v>19</v>
      </c>
      <c r="B79" s="3733"/>
      <c r="C79" s="682" t="s">
        <v>609</v>
      </c>
      <c r="D79" s="682" t="s">
        <v>610</v>
      </c>
      <c r="E79" s="781">
        <v>0.5</v>
      </c>
      <c r="F79" s="768">
        <v>80</v>
      </c>
    </row>
    <row r="80" spans="1:6" s="764" customFormat="1" ht="36">
      <c r="A80" s="768">
        <v>20</v>
      </c>
      <c r="B80" s="3733"/>
      <c r="C80" s="682" t="s">
        <v>611</v>
      </c>
      <c r="D80" s="682" t="s">
        <v>612</v>
      </c>
      <c r="E80" s="781">
        <v>0.2</v>
      </c>
      <c r="F80" s="768">
        <v>30</v>
      </c>
    </row>
    <row r="81" spans="1:6" s="764" customFormat="1" ht="36">
      <c r="A81" s="768">
        <v>21</v>
      </c>
      <c r="B81" s="3733"/>
      <c r="C81" s="682" t="s">
        <v>613</v>
      </c>
      <c r="D81" s="682" t="s">
        <v>614</v>
      </c>
      <c r="E81" s="781">
        <v>0.2</v>
      </c>
      <c r="F81" s="768">
        <v>30</v>
      </c>
    </row>
    <row r="82" spans="1:6" s="764" customFormat="1" ht="48">
      <c r="A82" s="768">
        <v>22</v>
      </c>
      <c r="B82" s="3733"/>
      <c r="C82" s="682" t="s">
        <v>615</v>
      </c>
      <c r="D82" s="682" t="s">
        <v>616</v>
      </c>
      <c r="E82" s="781">
        <v>0.2</v>
      </c>
      <c r="F82" s="768">
        <v>30</v>
      </c>
    </row>
    <row r="83" spans="1:6" s="764" customFormat="1" ht="48">
      <c r="A83" s="768">
        <v>23</v>
      </c>
      <c r="B83" s="3733"/>
      <c r="C83" s="682" t="s">
        <v>617</v>
      </c>
      <c r="D83" s="682" t="s">
        <v>618</v>
      </c>
      <c r="E83" s="781">
        <v>0.2</v>
      </c>
      <c r="F83" s="768">
        <v>30</v>
      </c>
    </row>
    <row r="84" spans="1:6" s="764" customFormat="1" ht="36">
      <c r="A84" s="768">
        <v>24</v>
      </c>
      <c r="B84" s="3733"/>
      <c r="C84" s="682" t="s">
        <v>619</v>
      </c>
      <c r="D84" s="682" t="s">
        <v>620</v>
      </c>
      <c r="E84" s="781">
        <v>0.2</v>
      </c>
      <c r="F84" s="768">
        <v>30</v>
      </c>
    </row>
    <row r="85" spans="1:6" s="764" customFormat="1" ht="36">
      <c r="A85" s="768">
        <v>25</v>
      </c>
      <c r="B85" s="3733"/>
      <c r="C85" s="682" t="s">
        <v>621</v>
      </c>
      <c r="D85" s="682" t="s">
        <v>622</v>
      </c>
      <c r="E85" s="781">
        <v>0.5</v>
      </c>
      <c r="F85" s="768">
        <v>80</v>
      </c>
    </row>
    <row r="86" spans="1:6" s="764" customFormat="1" ht="36">
      <c r="A86" s="768">
        <v>26</v>
      </c>
      <c r="B86" s="3733"/>
      <c r="C86" s="682" t="s">
        <v>623</v>
      </c>
      <c r="D86" s="682" t="s">
        <v>624</v>
      </c>
      <c r="E86" s="781">
        <v>0.2</v>
      </c>
      <c r="F86" s="768">
        <v>30</v>
      </c>
    </row>
    <row r="87" spans="1:6" s="764" customFormat="1" ht="36">
      <c r="A87" s="768">
        <v>27</v>
      </c>
      <c r="B87" s="3733"/>
      <c r="C87" s="682" t="s">
        <v>625</v>
      </c>
      <c r="D87" s="682" t="s">
        <v>626</v>
      </c>
      <c r="E87" s="781">
        <v>0.2</v>
      </c>
      <c r="F87" s="768">
        <v>30</v>
      </c>
    </row>
    <row r="88" spans="1:6" s="764" customFormat="1" ht="36">
      <c r="A88" s="768">
        <v>28</v>
      </c>
      <c r="B88" s="3733"/>
      <c r="C88" s="682" t="s">
        <v>627</v>
      </c>
      <c r="D88" s="682" t="s">
        <v>628</v>
      </c>
      <c r="E88" s="781">
        <v>0.2</v>
      </c>
      <c r="F88" s="768">
        <v>30</v>
      </c>
    </row>
    <row r="89" spans="1:6" s="764" customFormat="1" ht="24">
      <c r="A89" s="768">
        <v>29</v>
      </c>
      <c r="B89" s="3733"/>
      <c r="C89" s="682" t="s">
        <v>629</v>
      </c>
      <c r="D89" s="682" t="s">
        <v>630</v>
      </c>
      <c r="E89" s="781">
        <v>0.2</v>
      </c>
      <c r="F89" s="768">
        <v>30</v>
      </c>
    </row>
    <row r="90" spans="1:6" s="764" customFormat="1" ht="24">
      <c r="A90" s="768">
        <v>30</v>
      </c>
      <c r="B90" s="3733"/>
      <c r="C90" s="682" t="s">
        <v>631</v>
      </c>
      <c r="D90" s="682" t="s">
        <v>632</v>
      </c>
      <c r="E90" s="781">
        <v>0.2</v>
      </c>
      <c r="F90" s="768">
        <v>30</v>
      </c>
    </row>
    <row r="91" spans="1:6" s="764" customFormat="1" ht="36">
      <c r="A91" s="768">
        <v>31</v>
      </c>
      <c r="B91" s="3733"/>
      <c r="C91" s="682" t="s">
        <v>633</v>
      </c>
      <c r="D91" s="682" t="s">
        <v>634</v>
      </c>
      <c r="E91" s="781">
        <v>0.2</v>
      </c>
      <c r="F91" s="768">
        <v>30</v>
      </c>
    </row>
    <row r="92" spans="1:6" s="764" customFormat="1" ht="24">
      <c r="A92" s="768">
        <v>32</v>
      </c>
      <c r="B92" s="3733" t="s">
        <v>635</v>
      </c>
      <c r="C92" s="768" t="s">
        <v>636</v>
      </c>
      <c r="D92" s="682" t="s">
        <v>637</v>
      </c>
      <c r="E92" s="781">
        <v>0.2</v>
      </c>
      <c r="F92" s="768">
        <v>30</v>
      </c>
    </row>
    <row r="93" spans="1:6" s="764" customFormat="1" ht="36">
      <c r="A93" s="768">
        <v>33</v>
      </c>
      <c r="B93" s="3733"/>
      <c r="C93" s="768" t="s">
        <v>638</v>
      </c>
      <c r="D93" s="682" t="s">
        <v>639</v>
      </c>
      <c r="E93" s="781">
        <v>0.2</v>
      </c>
      <c r="F93" s="768">
        <v>30</v>
      </c>
    </row>
    <row r="94" spans="1:6" s="764" customFormat="1" ht="48">
      <c r="A94" s="768">
        <v>34</v>
      </c>
      <c r="B94" s="3733"/>
      <c r="C94" s="768" t="s">
        <v>640</v>
      </c>
      <c r="D94" s="682" t="s">
        <v>641</v>
      </c>
      <c r="E94" s="781">
        <v>0.2</v>
      </c>
      <c r="F94" s="768">
        <v>30</v>
      </c>
    </row>
    <row r="95" spans="1:6" s="764" customFormat="1" ht="36">
      <c r="A95" s="768">
        <v>35</v>
      </c>
      <c r="B95" s="3733"/>
      <c r="C95" s="768" t="s">
        <v>642</v>
      </c>
      <c r="D95" s="682" t="s">
        <v>643</v>
      </c>
      <c r="E95" s="781">
        <v>0.2</v>
      </c>
      <c r="F95" s="768">
        <v>30</v>
      </c>
    </row>
    <row r="96" spans="1:6" s="764" customFormat="1" ht="48">
      <c r="A96" s="768">
        <v>36</v>
      </c>
      <c r="B96" s="3733"/>
      <c r="C96" s="682" t="s">
        <v>644</v>
      </c>
      <c r="D96" s="682" t="s">
        <v>645</v>
      </c>
      <c r="E96" s="781">
        <v>0.2</v>
      </c>
      <c r="F96" s="768">
        <v>30</v>
      </c>
    </row>
    <row r="97" spans="1:6" s="764" customFormat="1" ht="36">
      <c r="A97" s="768">
        <v>37</v>
      </c>
      <c r="B97" s="3733"/>
      <c r="C97" s="768" t="s">
        <v>646</v>
      </c>
      <c r="D97" s="682" t="s">
        <v>647</v>
      </c>
      <c r="E97" s="781">
        <v>0.2</v>
      </c>
      <c r="F97" s="768">
        <v>30</v>
      </c>
    </row>
    <row r="98" spans="1:6" s="764" customFormat="1" ht="36">
      <c r="A98" s="768">
        <v>38</v>
      </c>
      <c r="B98" s="3733"/>
      <c r="C98" s="768" t="s">
        <v>648</v>
      </c>
      <c r="D98" s="682" t="s">
        <v>649</v>
      </c>
      <c r="E98" s="781">
        <v>0.2</v>
      </c>
      <c r="F98" s="768">
        <v>30</v>
      </c>
    </row>
    <row r="99" spans="1:6" s="764" customFormat="1" ht="36">
      <c r="A99" s="768">
        <v>39</v>
      </c>
      <c r="B99" s="3733" t="s">
        <v>650</v>
      </c>
      <c r="C99" s="768" t="s">
        <v>651</v>
      </c>
      <c r="D99" s="682" t="s">
        <v>652</v>
      </c>
      <c r="E99" s="781">
        <v>0.3</v>
      </c>
      <c r="F99" s="768">
        <v>50</v>
      </c>
    </row>
    <row r="100" spans="1:6" s="764" customFormat="1" ht="24">
      <c r="A100" s="768">
        <v>40</v>
      </c>
      <c r="B100" s="3733"/>
      <c r="C100" s="768" t="s">
        <v>653</v>
      </c>
      <c r="D100" s="682" t="s">
        <v>654</v>
      </c>
      <c r="E100" s="781">
        <v>0.2</v>
      </c>
      <c r="F100" s="768">
        <v>30</v>
      </c>
    </row>
    <row r="101" spans="1:6" s="764" customFormat="1" ht="36">
      <c r="A101" s="768">
        <v>41</v>
      </c>
      <c r="B101" s="373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33" t="s">
        <v>665</v>
      </c>
      <c r="C105" s="768" t="s">
        <v>666</v>
      </c>
      <c r="D105" s="682" t="s">
        <v>667</v>
      </c>
      <c r="E105" s="781">
        <v>0.2</v>
      </c>
      <c r="F105" s="768">
        <v>30</v>
      </c>
    </row>
    <row r="106" spans="1:6" s="764" customFormat="1" ht="36">
      <c r="A106" s="768">
        <v>46</v>
      </c>
      <c r="B106" s="3733"/>
      <c r="C106" s="768" t="s">
        <v>668</v>
      </c>
      <c r="D106" s="682" t="s">
        <v>669</v>
      </c>
      <c r="E106" s="781">
        <v>0.2</v>
      </c>
      <c r="F106" s="768">
        <v>30</v>
      </c>
    </row>
    <row r="107" spans="1:6" s="764" customFormat="1" ht="36">
      <c r="A107" s="768">
        <v>47</v>
      </c>
      <c r="B107" s="3733" t="s">
        <v>670</v>
      </c>
      <c r="C107" s="768" t="s">
        <v>671</v>
      </c>
      <c r="D107" s="682" t="s">
        <v>672</v>
      </c>
      <c r="E107" s="781">
        <v>0.3</v>
      </c>
      <c r="F107" s="768">
        <v>50</v>
      </c>
    </row>
    <row r="108" spans="1:6" s="764" customFormat="1" ht="36">
      <c r="A108" s="768">
        <v>48</v>
      </c>
      <c r="B108" s="373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33" t="s">
        <v>681</v>
      </c>
      <c r="C111" s="768" t="s">
        <v>682</v>
      </c>
      <c r="D111" s="682" t="s">
        <v>683</v>
      </c>
      <c r="E111" s="781">
        <v>0.2</v>
      </c>
      <c r="F111" s="768">
        <v>30</v>
      </c>
    </row>
    <row r="112" spans="1:6" s="764" customFormat="1" ht="24">
      <c r="A112" s="768">
        <v>52</v>
      </c>
      <c r="B112" s="3733"/>
      <c r="C112" s="768" t="s">
        <v>684</v>
      </c>
      <c r="D112" s="682" t="s">
        <v>685</v>
      </c>
      <c r="E112" s="781">
        <v>0.2</v>
      </c>
      <c r="F112" s="768">
        <v>30</v>
      </c>
    </row>
    <row r="113" spans="1:6" s="764" customFormat="1" ht="24">
      <c r="A113" s="768">
        <v>53</v>
      </c>
      <c r="B113" s="373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33" t="s">
        <v>694</v>
      </c>
      <c r="C116" s="768" t="s">
        <v>695</v>
      </c>
      <c r="D116" s="682" t="s">
        <v>696</v>
      </c>
      <c r="E116" s="781">
        <v>0.2</v>
      </c>
      <c r="F116" s="768">
        <v>30</v>
      </c>
    </row>
    <row r="117" spans="1:6" ht="36">
      <c r="A117" s="768">
        <v>57</v>
      </c>
      <c r="B117" s="373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0"/>
    <col min="2" max="6" width="9" style="2320" customWidth="1"/>
    <col min="7" max="7" width="9" style="2363"/>
    <col min="8" max="8" width="9" style="2320"/>
    <col min="9" max="12" width="9" style="2320" customWidth="1"/>
    <col min="13" max="13" width="2.25" style="2320" customWidth="1"/>
    <col min="14" max="14" width="9" style="2363" customWidth="1"/>
    <col min="15" max="17" width="9" style="2320" customWidth="1"/>
    <col min="18" max="18" width="2.375" style="2320" customWidth="1"/>
    <col min="19" max="19" width="7.125" style="2363" customWidth="1"/>
    <col min="20" max="22" width="7.125" style="2320" customWidth="1"/>
    <col min="23" max="23" width="23.875" style="2320" customWidth="1"/>
    <col min="24" max="25" width="9" style="2320"/>
    <col min="26" max="27" width="11.625" style="2320" customWidth="1"/>
    <col min="28" max="28" width="9" style="2320"/>
    <col min="29" max="29" width="2" style="2320" customWidth="1"/>
    <col min="30" max="16384" width="9" style="2320"/>
  </cols>
  <sheetData>
    <row r="1" spans="1:34" s="2298" customFormat="1">
      <c r="B1" s="3739" t="s">
        <v>964</v>
      </c>
      <c r="C1" s="3739"/>
      <c r="D1" s="3739"/>
      <c r="E1" s="3739"/>
      <c r="F1" s="3739"/>
      <c r="G1" s="3735" t="s">
        <v>965</v>
      </c>
      <c r="H1" s="3735"/>
      <c r="I1" s="3735"/>
      <c r="J1" s="3735"/>
      <c r="K1" s="3735"/>
      <c r="L1" s="3735"/>
      <c r="N1" s="3735" t="s">
        <v>966</v>
      </c>
      <c r="O1" s="3735"/>
      <c r="P1" s="3735"/>
      <c r="Q1" s="3735"/>
      <c r="S1" s="3735" t="s">
        <v>967</v>
      </c>
      <c r="T1" s="3735"/>
      <c r="U1" s="3735"/>
      <c r="V1" s="3735"/>
      <c r="X1" s="3734" t="s">
        <v>968</v>
      </c>
      <c r="Y1" s="3735"/>
      <c r="Z1" s="3735"/>
      <c r="AA1" s="3735"/>
      <c r="AB1" s="3735"/>
      <c r="AD1" s="3734" t="s">
        <v>969</v>
      </c>
      <c r="AE1" s="3735"/>
      <c r="AF1" s="3735"/>
      <c r="AG1" s="3735"/>
      <c r="AH1" s="3735"/>
    </row>
    <row r="2" spans="1:34" s="2299" customFormat="1" ht="14.25" thickBot="1">
      <c r="B2" s="2300" t="s">
        <v>970</v>
      </c>
      <c r="C2" s="2300" t="s">
        <v>971</v>
      </c>
      <c r="D2" s="2301" t="s">
        <v>972</v>
      </c>
      <c r="E2" s="2301" t="s">
        <v>973</v>
      </c>
      <c r="F2" s="2300" t="s">
        <v>974</v>
      </c>
      <c r="G2" s="2302"/>
      <c r="I2" s="2300" t="s">
        <v>1190</v>
      </c>
      <c r="J2" s="2301" t="s">
        <v>1191</v>
      </c>
      <c r="K2" s="2301" t="s">
        <v>1192</v>
      </c>
      <c r="L2" s="2300" t="s">
        <v>1193</v>
      </c>
      <c r="N2" s="2300" t="s">
        <v>970</v>
      </c>
      <c r="O2" s="2301" t="s">
        <v>1194</v>
      </c>
      <c r="P2" s="2301" t="s">
        <v>728</v>
      </c>
      <c r="Q2" s="2300" t="s">
        <v>974</v>
      </c>
      <c r="S2" s="2300" t="s">
        <v>970</v>
      </c>
      <c r="T2" s="2301" t="s">
        <v>1194</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25">
      <c r="A3" s="2303" t="s">
        <v>2645</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25">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2978</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11">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2644</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5" customHeight="1">
      <c r="A6" s="2334" t="s">
        <v>2977</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11">
        <v>2021</v>
      </c>
      <c r="H6" s="2336">
        <v>4</v>
      </c>
      <c r="I6" s="3126">
        <v>0</v>
      </c>
      <c r="J6" s="3126">
        <v>0</v>
      </c>
      <c r="K6" s="3126">
        <v>0</v>
      </c>
      <c r="L6" s="3127">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5" customHeight="1">
      <c r="A7" s="2334" t="s">
        <v>2831</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8">
        <v>2021</v>
      </c>
      <c r="H7" s="2336">
        <v>3</v>
      </c>
      <c r="I7" s="3126">
        <v>0.47</v>
      </c>
      <c r="J7" s="3126">
        <v>0.41</v>
      </c>
      <c r="K7" s="3126">
        <v>0.48</v>
      </c>
      <c r="L7" s="3127">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5" customHeight="1">
      <c r="A8" s="2334" t="s">
        <v>2830</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25">
        <v>2021</v>
      </c>
      <c r="H8" s="2336">
        <v>2</v>
      </c>
      <c r="I8" s="3126">
        <v>0.92</v>
      </c>
      <c r="J8" s="3126">
        <v>0.72</v>
      </c>
      <c r="K8" s="3126">
        <v>0.95</v>
      </c>
      <c r="L8" s="3127">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5" customHeight="1">
      <c r="A9" s="2334" t="s">
        <v>2829</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24">
        <v>2021</v>
      </c>
      <c r="H9" s="2336">
        <v>1</v>
      </c>
      <c r="I9" s="3126">
        <v>0.97</v>
      </c>
      <c r="J9" s="3126">
        <v>0.16</v>
      </c>
      <c r="K9" s="3126">
        <v>1.1100000000000001</v>
      </c>
      <c r="L9" s="3127">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5" customHeight="1">
      <c r="A10" s="2334" t="s">
        <v>2825</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15">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5" customHeight="1">
      <c r="A11" s="2334" t="s">
        <v>2824</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14">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5" customHeight="1">
      <c r="A12" s="2334" t="s">
        <v>2677</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5" customHeight="1">
      <c r="A13" s="2334" t="s">
        <v>2674</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5" customHeight="1">
      <c r="A14" s="2334" t="s">
        <v>2672</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5" customHeight="1" thickBot="1">
      <c r="A15" s="2334" t="s">
        <v>2669</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5" customHeight="1">
      <c r="A16" s="2334" t="s">
        <v>2663</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5" customHeight="1" thickBot="1">
      <c r="A17" s="2334" t="s">
        <v>2664</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2658</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37">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5" customHeight="1">
      <c r="A19" s="2334" t="s">
        <v>2653</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37"/>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5" customHeight="1">
      <c r="A20" s="2334" t="s">
        <v>2652</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37"/>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2649</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44"/>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2646</v>
      </c>
      <c r="B22" s="2344">
        <v>439</v>
      </c>
      <c r="C22" s="2344">
        <v>327</v>
      </c>
      <c r="D22" s="2344">
        <f t="shared" si="169"/>
        <v>327</v>
      </c>
      <c r="E22" s="2344">
        <v>627</v>
      </c>
      <c r="F22" s="2345">
        <v>283</v>
      </c>
      <c r="G22" s="3740">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5" customHeight="1">
      <c r="A23" s="2334" t="s">
        <v>2643</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37"/>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5" customHeight="1">
      <c r="A24" s="2334" t="s">
        <v>1189</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37"/>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44"/>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40">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37"/>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37"/>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5"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38"/>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5" thickBot="1">
      <c r="A30" s="2334" t="s">
        <v>101</v>
      </c>
      <c r="B30" s="2344">
        <v>333</v>
      </c>
      <c r="C30" s="2344">
        <v>277</v>
      </c>
      <c r="D30" s="2344">
        <f t="shared" si="194"/>
        <v>277</v>
      </c>
      <c r="E30" s="2344">
        <v>459</v>
      </c>
      <c r="F30" s="2345">
        <v>249</v>
      </c>
      <c r="G30" s="3736">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37"/>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37"/>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38"/>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5" thickBot="1">
      <c r="A34" s="2334" t="s">
        <v>97</v>
      </c>
      <c r="B34" s="2366">
        <v>318</v>
      </c>
      <c r="C34" s="2366">
        <v>268</v>
      </c>
      <c r="D34" s="2366">
        <f t="shared" si="194"/>
        <v>268</v>
      </c>
      <c r="E34" s="2366">
        <v>437</v>
      </c>
      <c r="F34" s="2367">
        <v>237</v>
      </c>
      <c r="G34" s="3736">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37"/>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5"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37"/>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5"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38"/>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5" thickBot="1">
      <c r="A38" s="2334" t="s">
        <v>982</v>
      </c>
      <c r="B38" s="2344">
        <v>299</v>
      </c>
      <c r="C38" s="2344">
        <v>252</v>
      </c>
      <c r="D38" s="2344">
        <f t="shared" si="194"/>
        <v>252</v>
      </c>
      <c r="E38" s="2344">
        <v>409</v>
      </c>
      <c r="F38" s="2345">
        <v>227</v>
      </c>
      <c r="G38" s="3741">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42"/>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42"/>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43"/>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5" thickBot="1">
      <c r="A42" s="2334" t="s">
        <v>986</v>
      </c>
      <c r="B42" s="2387">
        <v>278</v>
      </c>
      <c r="C42" s="2387">
        <v>234</v>
      </c>
      <c r="D42" s="2387">
        <f t="shared" si="194"/>
        <v>234</v>
      </c>
      <c r="E42" s="2387">
        <v>379</v>
      </c>
      <c r="F42" s="2388">
        <v>220</v>
      </c>
      <c r="G42" s="3736">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37"/>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37"/>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5" thickBot="1">
      <c r="A45" s="2334" t="s">
        <v>989</v>
      </c>
      <c r="B45" s="2351">
        <f>B44/(1+N44)</f>
        <v>275.19025476197027</v>
      </c>
      <c r="C45" s="2389">
        <v>232</v>
      </c>
      <c r="D45" s="2389">
        <f t="shared" si="194"/>
        <v>232</v>
      </c>
      <c r="E45" s="2351">
        <f t="shared" si="205"/>
        <v>375.65990977608692</v>
      </c>
      <c r="F45" s="2351">
        <f t="shared" si="205"/>
        <v>214.12518283971252</v>
      </c>
      <c r="G45" s="3738"/>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5" thickBot="1">
      <c r="A46" s="2334" t="s">
        <v>990</v>
      </c>
      <c r="B46" s="2344">
        <v>275</v>
      </c>
      <c r="C46" s="2344">
        <v>232</v>
      </c>
      <c r="D46" s="2344">
        <f t="shared" si="194"/>
        <v>232</v>
      </c>
      <c r="E46" s="2344">
        <v>376</v>
      </c>
      <c r="F46" s="2345">
        <v>213</v>
      </c>
      <c r="G46" s="3736">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37">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37">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5"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38">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5" thickBot="1">
      <c r="A50" s="2334" t="s">
        <v>994</v>
      </c>
      <c r="B50" s="2344">
        <v>269</v>
      </c>
      <c r="C50" s="2344">
        <v>221</v>
      </c>
      <c r="D50" s="2344">
        <f t="shared" si="194"/>
        <v>221</v>
      </c>
      <c r="E50" s="2344">
        <v>373</v>
      </c>
      <c r="F50" s="2345">
        <v>196</v>
      </c>
      <c r="G50" s="3736">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37">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37">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5"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38">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5" thickBot="1">
      <c r="A54" s="2334" t="s">
        <v>998</v>
      </c>
      <c r="B54" s="2344">
        <v>220</v>
      </c>
      <c r="C54" s="2344">
        <v>187</v>
      </c>
      <c r="D54" s="2344">
        <f t="shared" si="194"/>
        <v>187</v>
      </c>
      <c r="E54" s="2344">
        <v>301</v>
      </c>
      <c r="F54" s="2345">
        <v>168</v>
      </c>
      <c r="G54" s="3736">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37">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37">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38">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5" thickBot="1">
      <c r="A58" s="2334" t="s">
        <v>1002</v>
      </c>
      <c r="B58" s="2387">
        <v>214</v>
      </c>
      <c r="C58" s="2387">
        <v>188</v>
      </c>
      <c r="D58" s="2387">
        <f t="shared" si="194"/>
        <v>188</v>
      </c>
      <c r="E58" s="2387">
        <v>289</v>
      </c>
      <c r="F58" s="2388">
        <v>166</v>
      </c>
      <c r="G58" s="3736">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37">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37">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5"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38">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5" thickBot="1">
      <c r="A62" s="2334" t="s">
        <v>1006</v>
      </c>
      <c r="B62" s="2344">
        <v>188</v>
      </c>
      <c r="C62" s="2344">
        <v>165</v>
      </c>
      <c r="D62" s="2344">
        <f t="shared" si="194"/>
        <v>165</v>
      </c>
      <c r="E62" s="2344">
        <v>254</v>
      </c>
      <c r="F62" s="2345">
        <v>148</v>
      </c>
      <c r="G62" s="3736">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37">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37">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38">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5" thickBot="1">
      <c r="A66" s="2334" t="s">
        <v>1010</v>
      </c>
      <c r="B66" s="2366">
        <v>159</v>
      </c>
      <c r="C66" s="2366">
        <v>141</v>
      </c>
      <c r="D66" s="2366">
        <f t="shared" si="194"/>
        <v>141</v>
      </c>
      <c r="E66" s="2366">
        <v>195</v>
      </c>
      <c r="F66" s="2367">
        <v>122</v>
      </c>
      <c r="G66" s="3736">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37">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37">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38">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5" thickBot="1">
      <c r="A70" s="2334" t="s">
        <v>1014</v>
      </c>
      <c r="B70" s="2366">
        <v>138</v>
      </c>
      <c r="C70" s="2366">
        <v>131</v>
      </c>
      <c r="D70" s="2366">
        <f t="shared" si="194"/>
        <v>131</v>
      </c>
      <c r="E70" s="2366">
        <v>155</v>
      </c>
      <c r="F70" s="2367">
        <v>114</v>
      </c>
      <c r="G70" s="3736">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37">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37">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38">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5" thickBot="1">
      <c r="A74" s="2334" t="s">
        <v>1018</v>
      </c>
      <c r="B74" s="2387">
        <v>121</v>
      </c>
      <c r="C74" s="2387">
        <v>122</v>
      </c>
      <c r="D74" s="2387">
        <f t="shared" si="194"/>
        <v>122</v>
      </c>
      <c r="E74" s="2387">
        <v>124</v>
      </c>
      <c r="F74" s="2388">
        <v>107</v>
      </c>
      <c r="G74" s="3736">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37">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37">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5"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38">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5" thickBot="1">
      <c r="A78" s="2334" t="s">
        <v>1022</v>
      </c>
      <c r="B78" s="2407">
        <v>111</v>
      </c>
      <c r="C78" s="2407">
        <v>114</v>
      </c>
      <c r="D78" s="2407">
        <f t="shared" si="194"/>
        <v>114</v>
      </c>
      <c r="E78" s="2407">
        <v>108</v>
      </c>
      <c r="F78" s="2408">
        <v>104</v>
      </c>
      <c r="G78" s="3736">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37">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37">
        <v>2003</v>
      </c>
      <c r="H80" s="2354">
        <v>2</v>
      </c>
      <c r="I80" s="2409"/>
      <c r="J80" s="2409"/>
      <c r="K80" s="2409"/>
      <c r="L80" s="2409"/>
      <c r="X80" s="2401"/>
      <c r="Y80" s="2401"/>
      <c r="Z80" s="2401"/>
    </row>
    <row r="81" spans="1:26" ht="13.5" thickBot="1">
      <c r="A81" s="2334" t="s">
        <v>1025</v>
      </c>
      <c r="B81" s="2411">
        <f t="shared" si="230"/>
        <v>107.25</v>
      </c>
      <c r="C81" s="2411">
        <f t="shared" si="230"/>
        <v>108.75</v>
      </c>
      <c r="D81" s="2411">
        <f t="shared" si="194"/>
        <v>108.75</v>
      </c>
      <c r="E81" s="2411">
        <f t="shared" si="231"/>
        <v>105.75</v>
      </c>
      <c r="F81" s="2411">
        <f t="shared" si="231"/>
        <v>102.5</v>
      </c>
      <c r="G81" s="3738">
        <v>2003</v>
      </c>
      <c r="H81" s="2412">
        <v>1</v>
      </c>
      <c r="I81" s="2409"/>
      <c r="J81" s="2409"/>
      <c r="K81" s="2409"/>
      <c r="L81" s="2409"/>
      <c r="S81" s="2352"/>
      <c r="T81" s="2321"/>
      <c r="U81" s="2321"/>
      <c r="X81" s="2401"/>
      <c r="Y81" s="2401"/>
      <c r="Z81" s="2401"/>
    </row>
    <row r="82" spans="1:26" ht="13.5" thickBot="1">
      <c r="A82" s="2334" t="s">
        <v>1026</v>
      </c>
      <c r="B82" s="2413">
        <v>106</v>
      </c>
      <c r="C82" s="2413">
        <v>107</v>
      </c>
      <c r="D82" s="2413">
        <f t="shared" si="194"/>
        <v>107</v>
      </c>
      <c r="E82" s="2413">
        <v>105</v>
      </c>
      <c r="F82" s="2414">
        <v>102</v>
      </c>
      <c r="G82" s="3736">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37">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37">
        <v>2002</v>
      </c>
      <c r="H84" s="2354">
        <v>2</v>
      </c>
      <c r="I84" s="2409"/>
      <c r="J84" s="2409"/>
      <c r="K84" s="2409"/>
      <c r="L84" s="2409"/>
      <c r="X84" s="2401"/>
      <c r="Y84" s="2401"/>
      <c r="Z84" s="2401"/>
    </row>
    <row r="85" spans="1:26" s="2374" customFormat="1" ht="13.5" thickBot="1">
      <c r="A85" s="2370" t="s">
        <v>1029</v>
      </c>
      <c r="B85" s="2377">
        <f t="shared" si="232"/>
        <v>103</v>
      </c>
      <c r="C85" s="2377">
        <f t="shared" si="232"/>
        <v>104</v>
      </c>
      <c r="D85" s="2377">
        <f t="shared" si="194"/>
        <v>104</v>
      </c>
      <c r="E85" s="2377">
        <f t="shared" si="233"/>
        <v>103.5</v>
      </c>
      <c r="F85" s="2377">
        <f t="shared" si="233"/>
        <v>100.5</v>
      </c>
      <c r="G85" s="3738">
        <v>2002</v>
      </c>
      <c r="H85" s="2415">
        <v>1</v>
      </c>
      <c r="I85" s="2416"/>
      <c r="J85" s="2416"/>
      <c r="K85" s="2416"/>
      <c r="L85" s="2416"/>
      <c r="N85" s="2417"/>
      <c r="S85" s="2417"/>
      <c r="X85" s="2418"/>
      <c r="Y85" s="2418"/>
      <c r="Z85" s="2418"/>
    </row>
    <row r="86" spans="1:26" ht="13.5"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5"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5"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44616</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4.25">
      <c r="A19" s="3116"/>
      <c r="B19" s="1251" t="s">
        <v>2826</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1"/>
      <c r="C2" s="3361"/>
      <c r="D2" s="3361"/>
      <c r="E2" s="3361"/>
    </row>
    <row r="3" spans="1:5" ht="13.5" customHeight="1">
      <c r="A3" s="1332"/>
      <c r="B3" s="1332"/>
      <c r="C3" s="1332"/>
      <c r="D3" s="1332"/>
      <c r="E3" s="1332"/>
    </row>
    <row r="4" spans="1:5" ht="19.5" thickBot="1">
      <c r="A4" s="3362" t="str">
        <f>IF(项目基本情况!D5="房地产市场价值","估价结果一览表（市场价值不需本页表格)","估价结果一览表")</f>
        <v>估价结果一览表</v>
      </c>
      <c r="B4" s="3362"/>
      <c r="C4" s="3362"/>
      <c r="D4" s="3362"/>
      <c r="E4" s="3362"/>
    </row>
    <row r="5" spans="1:5" ht="14.25" customHeight="1" thickTop="1">
      <c r="A5" s="1329"/>
      <c r="B5" s="1333" t="s">
        <v>742</v>
      </c>
      <c r="C5" s="3363" t="s">
        <v>775</v>
      </c>
      <c r="D5" s="3364"/>
      <c r="E5" s="1329"/>
    </row>
    <row r="6" spans="1:5" ht="14.25">
      <c r="A6" s="1329"/>
      <c r="B6" s="1334" t="str">
        <f>项目基本情况!I1</f>
        <v>北京市房地产</v>
      </c>
      <c r="C6" s="3365">
        <f>项目基本情况!C12</f>
        <v>362.84</v>
      </c>
      <c r="D6" s="3365"/>
      <c r="E6" s="1329"/>
    </row>
    <row r="7" spans="1:5" ht="14.25">
      <c r="A7" s="1329"/>
      <c r="B7" s="3359" t="s">
        <v>776</v>
      </c>
      <c r="C7" s="1335" t="str">
        <f>IF('数据-取费表'!B3="万元","总价（万元）","总价（元）")</f>
        <v>总价（万元）</v>
      </c>
      <c r="D7" s="1336">
        <f ca="1">IF('数据-取费表'!E3="否",结果表!I102,'结果表 (1修多)'!I104)</f>
        <v>1701</v>
      </c>
      <c r="E7" s="1329"/>
    </row>
    <row r="8" spans="1:5" ht="14.25">
      <c r="A8" s="1329"/>
      <c r="B8" s="3359"/>
      <c r="C8" s="1337" t="s">
        <v>1106</v>
      </c>
      <c r="D8" s="1338" t="str">
        <f ca="1">IF('数据-取费表'!B3="万元",NUMBERSTRING(INT(D7*10000),2)&amp;"元整",NUMBERSTRING(INT(D7),2)&amp;"元整")</f>
        <v>壹仟柒佰零壹万元整</v>
      </c>
      <c r="E8" s="1329"/>
    </row>
    <row r="9" spans="1:5" ht="14.25">
      <c r="A9" s="1329"/>
      <c r="B9" s="3359"/>
      <c r="C9" s="1339" t="s">
        <v>1203</v>
      </c>
      <c r="D9" s="1336">
        <f ca="1">IF('数据-取费表'!E3="否",结果表!I103,'结果表 (1修多)'!I105)</f>
        <v>46880</v>
      </c>
      <c r="E9" s="1329"/>
    </row>
    <row r="10" spans="1:5" ht="14.25">
      <c r="A10" s="1329"/>
      <c r="B10" s="3366"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66"/>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66" t="str">
        <f>IF('数据-取费表'!E3="否",结果表!F110,'结果表 (1修多)'!F112)</f>
        <v>3.房地产抵押价值</v>
      </c>
      <c r="C15" s="1330" t="str">
        <f>C7</f>
        <v>总价（万元）</v>
      </c>
      <c r="D15" s="1336">
        <f ca="1">IF('数据-取费表'!E3="否",结果表!I110,'结果表 (1修多)'!I112)</f>
        <v>1701</v>
      </c>
      <c r="E15" s="1329"/>
    </row>
    <row r="16" spans="1:5" ht="14.25">
      <c r="A16" s="1329"/>
      <c r="B16" s="3366"/>
      <c r="C16" s="1337" t="s">
        <v>1106</v>
      </c>
      <c r="D16" s="1336" t="str">
        <f ca="1">IF('数据-取费表'!B3="万元",NUMBERSTRING(INT(D15*10000),2)&amp;"元整",NUMBERSTRING(INT(D15),2)&amp;"元整")</f>
        <v>壹仟柒佰零壹万元整</v>
      </c>
      <c r="E16" s="1329"/>
    </row>
    <row r="17" spans="1:5" ht="14.25">
      <c r="A17" s="1329"/>
      <c r="B17" s="3366"/>
      <c r="C17" s="1339" t="s">
        <v>1203</v>
      </c>
      <c r="D17" s="1336">
        <f ca="1">IF('数据-取费表'!E3="否",结果表!I111,'结果表 (1修多)'!I113)</f>
        <v>46880</v>
      </c>
      <c r="E17" s="1329"/>
    </row>
    <row r="18" spans="1:5" ht="14.25">
      <c r="A18" s="1329"/>
      <c r="B18" s="3366" t="str">
        <f>IF('数据-取费表'!E3="否",结果表!F112,'结果表 (1修多)'!F114)</f>
        <v>——</v>
      </c>
      <c r="C18" s="1330" t="str">
        <f>C7</f>
        <v>总价（万元）</v>
      </c>
      <c r="D18" s="1336" t="str">
        <f>IF('数据-取费表'!E3="否",结果表!I112,'结果表 (1修多)'!I114)</f>
        <v>——</v>
      </c>
      <c r="E18" s="1329"/>
    </row>
    <row r="19" spans="1:5" ht="14.25">
      <c r="A19" s="1329"/>
      <c r="B19" s="3366"/>
      <c r="C19" s="1337" t="s">
        <v>1106</v>
      </c>
      <c r="D19" s="1336" t="e">
        <f>IF('数据-取费表'!B3="万元",NUMBERSTRING(INT(D18*10000),2)&amp;"元整",NUMBERSTRING(INT(D18),2)&amp;"元整")</f>
        <v>#VALUE!</v>
      </c>
      <c r="E19" s="1329"/>
    </row>
    <row r="20" spans="1:5" ht="14.25">
      <c r="A20" s="1329"/>
      <c r="B20" s="3366"/>
      <c r="C20" s="1339" t="s">
        <v>1203</v>
      </c>
      <c r="D20" s="1336" t="str">
        <f>IF('数据-取费表'!E3="否",结果表!I113,'结果表 (1修多)'!I115)</f>
        <v>——</v>
      </c>
      <c r="E20" s="1329"/>
    </row>
    <row r="21" spans="1:5" ht="14.25">
      <c r="A21" s="1329"/>
      <c r="B21" s="3359" t="str">
        <f>IF('数据-取费表'!E3="否",结果表!F114,'结果表 (1修多)'!F116)</f>
        <v>4.抵押净值</v>
      </c>
      <c r="C21" s="1335" t="str">
        <f>C7</f>
        <v>总价（万元）</v>
      </c>
      <c r="D21" s="1336">
        <f ca="1">IF('数据-取费表'!E3="否",结果表!I114,'结果表 (1修多)'!I116)</f>
        <v>1616</v>
      </c>
      <c r="E21" s="1329"/>
    </row>
    <row r="22" spans="1:5" ht="14.25">
      <c r="A22" s="1329"/>
      <c r="B22" s="3359"/>
      <c r="C22" s="1337" t="s">
        <v>1106</v>
      </c>
      <c r="D22" s="1338" t="str">
        <f ca="1">IF('数据-取费表'!B3="万元",NUMBERSTRING(INT(D21*10000),2)&amp;"元整",NUMBERSTRING(INT(D21),2)&amp;"元整")</f>
        <v>壹仟陆佰壹拾陆万元整</v>
      </c>
      <c r="E22" s="1329"/>
    </row>
    <row r="23" spans="1:5" ht="15" thickBot="1">
      <c r="A23" s="1329"/>
      <c r="B23" s="3360"/>
      <c r="C23" s="1344" t="s">
        <v>1203</v>
      </c>
      <c r="D23" s="1345">
        <f ca="1">IF('数据-取费表'!E3="否",结果表!I115,'结果表 (1修多)'!I117)</f>
        <v>44538</v>
      </c>
      <c r="E23" s="1329"/>
    </row>
    <row r="24" spans="1:5" ht="14.25" thickTop="1">
      <c r="A24" s="1329"/>
      <c r="B24" s="1329"/>
      <c r="C24" s="1329"/>
      <c r="D24" s="1329"/>
      <c r="E24" s="1329"/>
    </row>
    <row r="25" spans="1:5" ht="18.75" customHeight="1" thickBot="1">
      <c r="A25" s="1329"/>
      <c r="B25" s="3351" t="s">
        <v>1204</v>
      </c>
      <c r="C25" s="3351"/>
      <c r="D25" s="3351"/>
      <c r="E25" s="1329"/>
    </row>
    <row r="26" spans="1:5" ht="18.75" customHeight="1" thickTop="1">
      <c r="A26" s="1329"/>
      <c r="B26" s="3354" t="s">
        <v>1105</v>
      </c>
      <c r="C26" s="3355"/>
      <c r="D26" s="3352" t="s">
        <v>1104</v>
      </c>
      <c r="E26" s="1329"/>
    </row>
    <row r="27" spans="1:5" ht="18.75" customHeight="1">
      <c r="A27" s="1329"/>
      <c r="B27" s="3356"/>
      <c r="C27" s="3357"/>
      <c r="D27" s="3353"/>
      <c r="E27" s="1329"/>
    </row>
    <row r="28" spans="1:5" ht="14.25">
      <c r="A28" s="1329"/>
      <c r="B28" s="3344" t="s">
        <v>776</v>
      </c>
      <c r="C28" s="1346" t="s">
        <v>1107</v>
      </c>
      <c r="D28" s="1347">
        <f ca="1">IF('数据-取费表'!E3="否",结果表!I102,'结果表 (1修多)'!I104)</f>
        <v>1701</v>
      </c>
      <c r="E28" s="1329"/>
    </row>
    <row r="29" spans="1:5" ht="14.25">
      <c r="A29" s="1329"/>
      <c r="B29" s="3345"/>
      <c r="C29" s="1348" t="s">
        <v>1106</v>
      </c>
      <c r="D29" s="1349" t="str">
        <f ca="1">IF('数据-取费表'!B3="万元",NUMBERSTRING(INT(D28*10000),2)&amp;"元整",NUMBERSTRING(INT(D28),2)&amp;"元整")</f>
        <v>壹仟柒佰零壹万元整</v>
      </c>
      <c r="E29" s="1329"/>
    </row>
    <row r="30" spans="1:5" ht="14.25">
      <c r="A30" s="1329"/>
      <c r="B30" s="3346"/>
      <c r="C30" s="1339" t="s">
        <v>1109</v>
      </c>
      <c r="D30" s="1350">
        <f ca="1">IF('数据-取费表'!E3="否",结果表!I103,'结果表 (1修多)'!I105)</f>
        <v>46880</v>
      </c>
      <c r="E30" s="1329"/>
    </row>
    <row r="31" spans="1:5" ht="14.25">
      <c r="A31" s="1329"/>
      <c r="B31" s="3349" t="str">
        <f>B10</f>
        <v>2.估价师所知悉的法定优先受偿款</v>
      </c>
      <c r="C31" s="1351" t="s">
        <v>1108</v>
      </c>
      <c r="D31" s="1352">
        <f>IF('数据-取费表'!E3="否",结果表!I105,'结果表 (1修多)'!I107)</f>
        <v>0</v>
      </c>
      <c r="E31" s="1329"/>
    </row>
    <row r="32" spans="1:5" ht="14.25">
      <c r="A32" s="1329"/>
      <c r="B32" s="335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47" t="str">
        <f>B15</f>
        <v>3.房地产抵押价值</v>
      </c>
      <c r="C36" s="1351" t="str">
        <f>C28</f>
        <v>总价</v>
      </c>
      <c r="D36" s="1352">
        <f ca="1">IF('数据-取费表'!E3="否",结果表!I110,'结果表 (1修多)'!I112)</f>
        <v>1701</v>
      </c>
      <c r="E36" s="1329"/>
    </row>
    <row r="37" spans="1:5" ht="14.25">
      <c r="A37" s="1329"/>
      <c r="B37" s="3347"/>
      <c r="C37" s="1348" t="s">
        <v>1106</v>
      </c>
      <c r="D37" s="1353" t="str">
        <f ca="1">IF('数据-取费表'!B3="万元",NUMBERSTRING(INT(D36*10000),2)&amp;"元整",NUMBERSTRING(INT(D36),2)&amp;"元整")</f>
        <v>壹仟柒佰零壹万元整</v>
      </c>
      <c r="E37" s="1329"/>
    </row>
    <row r="38" spans="1:5" ht="14.25">
      <c r="A38" s="1329"/>
      <c r="B38" s="3347"/>
      <c r="C38" s="1339" t="s">
        <v>1110</v>
      </c>
      <c r="D38" s="1350">
        <f ca="1">IF('数据-取费表'!E3="否",结果表!D113,'结果表 (1修多)'!D117)</f>
        <v>46880</v>
      </c>
      <c r="E38" s="1329"/>
    </row>
    <row r="39" spans="1:5" ht="14.25">
      <c r="A39" s="1329"/>
      <c r="B39" s="3348" t="str">
        <f>B18</f>
        <v>——</v>
      </c>
      <c r="C39" s="1351" t="str">
        <f>C28</f>
        <v>总价</v>
      </c>
      <c r="D39" s="1352" t="str">
        <f>IF('数据-取费表'!E3="否",结果表!I112,'结果表 (1修多)'!I114)</f>
        <v>——</v>
      </c>
      <c r="E39" s="1329"/>
    </row>
    <row r="40" spans="1:5" ht="14.25">
      <c r="A40" s="1329"/>
      <c r="B40" s="3348"/>
      <c r="C40" s="1348" t="s">
        <v>1106</v>
      </c>
      <c r="D40" s="1353" t="e">
        <f>IF('数据-取费表'!B3="万元",NUMBERSTRING(INT(D39*10000),2)&amp;"元整",NUMBERSTRING(INT(D39),2)&amp;"元整")</f>
        <v>#VALUE!</v>
      </c>
      <c r="E40" s="1329"/>
    </row>
    <row r="41" spans="1:5" ht="14.25">
      <c r="A41" s="1329"/>
      <c r="B41" s="3348"/>
      <c r="C41" s="1339" t="s">
        <v>1110</v>
      </c>
      <c r="D41" s="1350" t="str">
        <f>IF('数据-取费表'!E3="否",结果表!D115,'结果表 (1修多)'!D119)</f>
        <v>——</v>
      </c>
      <c r="E41" s="1329"/>
    </row>
    <row r="42" spans="1:5" ht="14.25">
      <c r="A42" s="1329"/>
      <c r="B42" s="3347" t="str">
        <f>B21</f>
        <v>4.抵押净值</v>
      </c>
      <c r="C42" s="1351" t="str">
        <f>C28</f>
        <v>总价</v>
      </c>
      <c r="D42" s="1352">
        <f ca="1">IF('数据-取费表'!E3="否",结果表!I114,'结果表 (1修多)'!I116)</f>
        <v>1616</v>
      </c>
      <c r="E42" s="1329"/>
    </row>
    <row r="43" spans="1:5" ht="14.25">
      <c r="A43" s="1329"/>
      <c r="B43" s="3349"/>
      <c r="C43" s="1348" t="s">
        <v>1106</v>
      </c>
      <c r="D43" s="1354" t="str">
        <f ca="1">IF('数据-取费表'!B3="万元",NUMBERSTRING(INT(D42*10000),2)&amp;"元整",NUMBERSTRING(INT(D42),2)&amp;"元整")</f>
        <v>壹仟陆佰壹拾陆万元整</v>
      </c>
      <c r="E43" s="1329"/>
    </row>
    <row r="44" spans="1:5" ht="15" thickBot="1">
      <c r="A44" s="1329"/>
      <c r="B44" s="3350"/>
      <c r="C44" s="1344" t="s">
        <v>1110</v>
      </c>
      <c r="D44" s="1355">
        <f ca="1">IF('数据-取费表'!E3="否",结果表!D117,'结果表 (1修多)'!D121)</f>
        <v>44538</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1205</v>
      </c>
      <c r="B2" s="3374" t="s">
        <v>1206</v>
      </c>
      <c r="C2" s="3374" t="s">
        <v>1207</v>
      </c>
      <c r="D2" s="3374" t="str">
        <f>IF('数据-取费表'!E3="否",结果表!D119,'结果表 (1修多)'!D123)</f>
        <v>出让国有建设用地使用权价值</v>
      </c>
      <c r="E2" s="3374"/>
      <c r="F2" s="3374" t="s">
        <v>1208</v>
      </c>
      <c r="G2" s="3374"/>
      <c r="H2" s="3374" t="s">
        <v>1209</v>
      </c>
      <c r="I2" s="3374"/>
    </row>
    <row r="3" spans="1:9" ht="15">
      <c r="A3" s="3367"/>
      <c r="B3" s="3367"/>
      <c r="C3" s="3367"/>
      <c r="D3" s="818" t="s">
        <v>1210</v>
      </c>
      <c r="E3" s="818" t="s">
        <v>1211</v>
      </c>
      <c r="F3" s="818" t="s">
        <v>1210</v>
      </c>
      <c r="G3" s="818" t="s">
        <v>1212</v>
      </c>
      <c r="H3" s="818" t="s">
        <v>1210</v>
      </c>
      <c r="I3" s="818" t="s">
        <v>1212</v>
      </c>
    </row>
    <row r="4" spans="1:9" ht="46.5" customHeight="1">
      <c r="A4" s="818" t="str">
        <f>项目基本情况!I1</f>
        <v>北京市房地产</v>
      </c>
      <c r="B4" s="818">
        <f>结果表!B121</f>
        <v>362.84</v>
      </c>
      <c r="C4" s="818">
        <f>结果表!C121</f>
        <v>0</v>
      </c>
      <c r="D4" s="818">
        <f ca="1">IF('数据-取费表'!E3="否",结果表!D121,'结果表 (1修多)'!D125)</f>
        <v>1534</v>
      </c>
      <c r="E4" s="818">
        <f ca="1">IF('数据-取费表'!E3="否",结果表!E121,'结果表 (1修多)'!E125)</f>
        <v>42278</v>
      </c>
      <c r="F4" s="818">
        <f ca="1">IF('数据-取费表'!E3="否",结果表!F121,'结果表 (1修多)'!F125)</f>
        <v>167</v>
      </c>
      <c r="G4" s="818">
        <f ca="1">IF('数据-取费表'!E3="否",结果表!G121,'结果表 (1修多)'!G125)</f>
        <v>4603</v>
      </c>
      <c r="H4" s="818">
        <f ca="1">IF('数据-取费表'!E3="否",结果表!H121,'结果表 (1修多)'!H125)</f>
        <v>1701</v>
      </c>
      <c r="I4" s="818">
        <f ca="1">IF('数据-取费表'!E3="否",结果表!I121,'结果表 (1修多)'!I125)</f>
        <v>46880</v>
      </c>
    </row>
    <row r="5" spans="1:9" ht="15">
      <c r="A5" s="3367" t="s">
        <v>1213</v>
      </c>
      <c r="B5" s="3367"/>
      <c r="C5" s="3367"/>
      <c r="D5" s="3368" t="str">
        <f ca="1">IF('数据-取费表'!E3="否",结果表!D122,'结果表 (1修多)'!D126)</f>
        <v>壹仟伍佰叁拾肆万元整</v>
      </c>
      <c r="E5" s="3368"/>
      <c r="F5" s="3368" t="str">
        <f ca="1">IF('数据-取费表'!E3="否",结果表!F122,'结果表 (1修多)'!F126)</f>
        <v>壹佰陆拾柒万元整</v>
      </c>
      <c r="G5" s="3368"/>
      <c r="H5" s="3368" t="str">
        <f ca="1">IF('数据-取费表'!E3="否",结果表!H122,'结果表 (1修多)'!H126)</f>
        <v>壹仟柒佰零壹万元整</v>
      </c>
      <c r="I5" s="3368"/>
    </row>
    <row r="6" spans="1:9" ht="15.75">
      <c r="A6" s="3369" t="str">
        <f>IF('数据-取费表'!E3="否",结果表!A123,'结果表 (1修多)'!A127)</f>
        <v>估价师所知悉的法定优先受偿款</v>
      </c>
      <c r="B6" s="3369"/>
      <c r="C6" s="3369"/>
      <c r="D6" s="3369">
        <f>IF('数据-取费表'!E3="否",结果表!D123,'结果表 (1修多)'!D127)</f>
        <v>0</v>
      </c>
      <c r="E6" s="3369"/>
      <c r="F6" s="3369"/>
      <c r="G6" s="3369"/>
      <c r="H6" s="3369"/>
      <c r="I6" s="3369"/>
    </row>
    <row r="7" spans="1:9" ht="15">
      <c r="A7" s="3367" t="s">
        <v>1213</v>
      </c>
      <c r="B7" s="3367"/>
      <c r="C7" s="3367"/>
      <c r="D7" s="3375">
        <f>IF('数据-取费表'!E3="否",结果表!D124,'结果表 (1修多)'!D128)</f>
        <v>0</v>
      </c>
      <c r="E7" s="3376"/>
      <c r="F7" s="3376"/>
      <c r="G7" s="3376"/>
      <c r="H7" s="3376"/>
      <c r="I7" s="3377"/>
    </row>
    <row r="8" spans="1:9" ht="15.75">
      <c r="A8" s="3369" t="str">
        <f>IF('数据-取费表'!E3="否",结果表!A125,'结果表 (1修多)'!A129)</f>
        <v>房地产抵押价值</v>
      </c>
      <c r="B8" s="3369"/>
      <c r="C8" s="3369"/>
      <c r="D8" s="3369">
        <f ca="1">IF('数据-取费表'!E3="否",结果表!D125,'结果表 (1修多)'!D129)</f>
        <v>1701</v>
      </c>
      <c r="E8" s="3369"/>
      <c r="F8" s="3369"/>
      <c r="G8" s="3369"/>
      <c r="H8" s="3369"/>
      <c r="I8" s="3369"/>
    </row>
    <row r="9" spans="1:9" ht="15">
      <c r="A9" s="3367" t="s">
        <v>1213</v>
      </c>
      <c r="B9" s="3367"/>
      <c r="C9" s="3367"/>
      <c r="D9" s="3368">
        <f ca="1">IF('数据-取费表'!E3="否",结果表!D126,'结果表 (1修多)'!D130)</f>
        <v>46880</v>
      </c>
      <c r="E9" s="3368"/>
      <c r="F9" s="3368"/>
      <c r="G9" s="3368"/>
      <c r="H9" s="3368"/>
      <c r="I9" s="3368"/>
    </row>
    <row r="10" spans="1:9" ht="15.75">
      <c r="A10" s="3369" t="str">
        <f>IF('数据-取费表'!E3="否",结果表!A127,'结果表 (1修多)'!A131)</f>
        <v/>
      </c>
      <c r="B10" s="3369"/>
      <c r="C10" s="3369"/>
      <c r="D10" s="3369" t="str">
        <f>IF('数据-取费表'!E3="否",结果表!D127,'结果表 (1修多)'!D130)</f>
        <v>——</v>
      </c>
      <c r="E10" s="3369"/>
      <c r="F10" s="3369"/>
      <c r="G10" s="3369"/>
      <c r="H10" s="3369"/>
      <c r="I10" s="3369"/>
    </row>
    <row r="11" spans="1:9" ht="15">
      <c r="A11" s="3367" t="s">
        <v>1213</v>
      </c>
      <c r="B11" s="3367"/>
      <c r="C11" s="3367"/>
      <c r="D11" s="3368" t="str">
        <f>IF('数据-取费表'!E3="否",结果表!D128,'结果表 (1修多)'!D132)</f>
        <v>——</v>
      </c>
      <c r="E11" s="3368"/>
      <c r="F11" s="3368"/>
      <c r="G11" s="3368"/>
      <c r="H11" s="3368"/>
      <c r="I11" s="3368"/>
    </row>
    <row r="12" spans="1:9" ht="15.75">
      <c r="A12" s="3369" t="str">
        <f>IF('数据-取费表'!E3="否",结果表!A129,'结果表 (1修多)'!A133)</f>
        <v>抵押净值</v>
      </c>
      <c r="B12" s="3369"/>
      <c r="C12" s="3369"/>
      <c r="D12" s="3369">
        <f ca="1">IF('数据-取费表'!E3="否",结果表!D129,'结果表 (1修多)'!D133)</f>
        <v>1616</v>
      </c>
      <c r="E12" s="3369"/>
      <c r="F12" s="3369"/>
      <c r="G12" s="3369"/>
      <c r="H12" s="3369"/>
      <c r="I12" s="3369"/>
    </row>
    <row r="13" spans="1:9" ht="15.75" thickBot="1">
      <c r="A13" s="3370" t="s">
        <v>1213</v>
      </c>
      <c r="B13" s="3370"/>
      <c r="C13" s="3370"/>
      <c r="D13" s="3371">
        <f>IF('数据-取费表'!E3="否",结果表!D130,'结果表 (1修多)'!D134)</f>
        <v>0</v>
      </c>
      <c r="E13" s="3371"/>
      <c r="F13" s="3371"/>
      <c r="G13" s="3371"/>
      <c r="H13" s="3371"/>
      <c r="I13" s="3371"/>
    </row>
    <row r="14" spans="1:9" ht="15" thickTop="1">
      <c r="A14" s="3372" t="str">
        <f>IF('数据-取费表'!E3="否",结果表!A131,'结果表 (1修多)'!A135)</f>
        <v>单位：平方米、万元、元/平方米（币种：人民币）</v>
      </c>
      <c r="B14" s="3372"/>
      <c r="C14" s="3372"/>
      <c r="D14" s="3372"/>
      <c r="E14" s="3372"/>
      <c r="F14" s="3372"/>
      <c r="G14" s="3372"/>
      <c r="H14" s="3372"/>
      <c r="I14" s="3372"/>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79" t="s">
        <v>1226</v>
      </c>
      <c r="B1" s="3379"/>
      <c r="C1" s="3379"/>
      <c r="D1" s="3379"/>
    </row>
    <row r="2" spans="1:4" ht="18">
      <c r="A2" s="3378" t="s">
        <v>1215</v>
      </c>
      <c r="B2" s="3378"/>
      <c r="C2" s="3378"/>
      <c r="D2" s="3378"/>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78" t="s">
        <v>1220</v>
      </c>
      <c r="B7" s="3378"/>
      <c r="C7" s="3378"/>
      <c r="D7" s="3378"/>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80" t="s">
        <v>2678</v>
      </c>
      <c r="B12" s="3381"/>
      <c r="C12" s="3381"/>
      <c r="D12" s="3381"/>
    </row>
    <row r="13" spans="1:4" ht="15.75">
      <c r="A13" s="33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1"/>
      <c r="C13" s="3381"/>
      <c r="D13" s="3381"/>
    </row>
    <row r="14" spans="1:4" ht="30" customHeight="1">
      <c r="A14" s="33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1"/>
      <c r="C14" s="3381"/>
      <c r="D14" s="3381"/>
    </row>
    <row r="15" spans="1:4" ht="15.75" customHeight="1">
      <c r="A15" s="3380" t="str">
        <f>IF(项目基本情况!D4="抵押","4.本次评估估价师所知悉的法定优先受偿款情况说明如下：","——")</f>
        <v>4.本次评估估价师所知悉的法定优先受偿款情况说明如下：</v>
      </c>
      <c r="B15" s="3381"/>
      <c r="C15" s="3381"/>
      <c r="D15" s="3381"/>
    </row>
    <row r="16" spans="1:4" ht="75" customHeight="1">
      <c r="A16" s="338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0"/>
      <c r="C16" s="3380"/>
      <c r="D16" s="3380"/>
    </row>
    <row r="17" spans="1:4" ht="63.75" customHeight="1">
      <c r="A17" s="3382" t="s">
        <v>1228</v>
      </c>
      <c r="B17" s="3382"/>
      <c r="C17" s="3382"/>
      <c r="D17" s="3382"/>
    </row>
    <row r="18" spans="1:4" ht="15.75" customHeight="1">
      <c r="A18" s="3380" t="str">
        <f>IF(项目基本情况!D4="抵押",结果表!L106,"——")</f>
        <v>本次评估不存在估价师所知悉的法定优先受偿款。</v>
      </c>
      <c r="B18" s="3380"/>
      <c r="C18" s="3380"/>
      <c r="D18" s="3380"/>
    </row>
    <row r="19" spans="1:4" ht="46.5" customHeight="1">
      <c r="A19" s="33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0"/>
      <c r="C19" s="3380"/>
      <c r="D19" s="3380"/>
    </row>
    <row r="20" spans="1:4" ht="15">
      <c r="A20" s="3382" t="s">
        <v>2679</v>
      </c>
      <c r="B20" s="3382"/>
      <c r="C20" s="3382"/>
      <c r="D20" s="3382"/>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88" t="s">
        <v>1307</v>
      </c>
      <c r="B15" s="3383" t="s">
        <v>1308</v>
      </c>
      <c r="C15" s="3384"/>
    </row>
    <row r="16" spans="1:7" ht="14.25">
      <c r="A16" s="3389"/>
      <c r="B16" s="3383" t="s">
        <v>1309</v>
      </c>
      <c r="C16" s="3384"/>
    </row>
    <row r="17" spans="1:3" ht="14.25">
      <c r="A17" s="3389"/>
      <c r="B17" s="3383" t="s">
        <v>1310</v>
      </c>
      <c r="C17" s="3384"/>
    </row>
    <row r="18" spans="1:3" ht="14.25">
      <c r="A18" s="3390"/>
      <c r="B18" s="3385" t="s">
        <v>1311</v>
      </c>
      <c r="C18" s="3384"/>
    </row>
    <row r="19" spans="1:3" ht="14.25">
      <c r="A19" s="1382" t="s">
        <v>1312</v>
      </c>
      <c r="B19" s="1383"/>
      <c r="C19" s="1384"/>
    </row>
    <row r="20" spans="1:3" ht="14.25">
      <c r="A20" s="3386" t="s">
        <v>1313</v>
      </c>
      <c r="B20" s="3385" t="s">
        <v>1314</v>
      </c>
      <c r="C20" s="3384"/>
    </row>
    <row r="21" spans="1:3" ht="14.25">
      <c r="A21" s="3386"/>
      <c r="B21" s="3385" t="s">
        <v>1315</v>
      </c>
      <c r="C21" s="3384"/>
    </row>
    <row r="22" spans="1:3" ht="14.25">
      <c r="A22" s="3386"/>
      <c r="B22" s="3385" t="s">
        <v>1316</v>
      </c>
      <c r="C22" s="3384"/>
    </row>
    <row r="23" spans="1:3" ht="14.25">
      <c r="A23" s="3386"/>
      <c r="B23" s="3387" t="s">
        <v>1317</v>
      </c>
      <c r="C23" s="1385" t="s">
        <v>1318</v>
      </c>
    </row>
    <row r="24" spans="1:3" ht="14.25">
      <c r="A24" s="3386"/>
      <c r="B24" s="3387"/>
      <c r="C24" s="1385" t="s">
        <v>1319</v>
      </c>
    </row>
    <row r="25" spans="1:3" ht="14.25">
      <c r="A25" s="3386"/>
      <c r="B25" s="3387"/>
      <c r="C25" s="1385" t="s">
        <v>1320</v>
      </c>
    </row>
    <row r="26" spans="1:3" ht="14.25">
      <c r="A26" s="3386"/>
      <c r="B26" s="3387"/>
      <c r="C26" s="1385" t="s">
        <v>1321</v>
      </c>
    </row>
    <row r="27" spans="1:3" ht="14.25">
      <c r="A27" s="3386"/>
      <c r="B27" s="3387"/>
      <c r="C27" s="1385" t="s">
        <v>1322</v>
      </c>
    </row>
    <row r="28" spans="1:3" ht="14.25">
      <c r="A28" s="3386"/>
      <c r="B28" s="3387"/>
      <c r="C28" s="1385" t="s">
        <v>1323</v>
      </c>
    </row>
    <row r="29" spans="1:3" ht="14.25">
      <c r="A29" s="3386"/>
      <c r="B29" s="3387"/>
      <c r="C29" s="1385" t="s">
        <v>1324</v>
      </c>
    </row>
    <row r="30" spans="1:3" ht="14.25">
      <c r="A30" s="3386"/>
      <c r="B30" s="3387"/>
      <c r="C30" s="1385" t="s">
        <v>1325</v>
      </c>
    </row>
    <row r="31" spans="1:3" ht="14.25">
      <c r="A31" s="3386"/>
      <c r="B31" s="3387"/>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44617</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2654</v>
      </c>
      <c r="B12" s="1272">
        <f ca="1">IF(C12&lt;B2,"已过期",1120040230)</f>
        <v>1120040230</v>
      </c>
      <c r="C12" s="3038">
        <v>44864</v>
      </c>
      <c r="D12" s="3046" t="str">
        <f t="shared" ca="1" si="0"/>
        <v>苏海（注册号：1120040230）</v>
      </c>
      <c r="E12" s="3048" t="s">
        <v>2654</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2671</v>
      </c>
      <c r="B14" s="1272">
        <f ca="1">IF(C14&lt;B2,"已过期",1119980106)</f>
        <v>1119980106</v>
      </c>
      <c r="C14" s="3038">
        <v>44969</v>
      </c>
      <c r="D14" s="3046" t="str">
        <f t="shared" ca="1" si="0"/>
        <v>刘俊财（注册号：1119980106）</v>
      </c>
      <c r="E14" s="3048" t="s">
        <v>2770</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2774</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4"/>
      <c r="E18" s="3393" t="s">
        <v>764</v>
      </c>
      <c r="F18" s="3392"/>
      <c r="G18" s="3392"/>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2771</v>
      </c>
      <c r="B20" s="3041" t="s">
        <v>2772</v>
      </c>
      <c r="C20" s="3036">
        <v>44820</v>
      </c>
      <c r="D20" s="3049"/>
      <c r="E20" s="3051" t="s">
        <v>768</v>
      </c>
      <c r="F20" s="3041" t="s">
        <v>769</v>
      </c>
      <c r="G20" s="3042">
        <v>44377</v>
      </c>
    </row>
    <row r="21" spans="1:8" s="3024" customFormat="1" ht="24" customHeight="1">
      <c r="A21" s="3041"/>
      <c r="B21" s="3041"/>
      <c r="C21" s="3043"/>
      <c r="D21" s="3050"/>
      <c r="E21" s="3051" t="s">
        <v>770</v>
      </c>
      <c r="F21" s="3044" t="s">
        <v>2670</v>
      </c>
      <c r="G21" s="3045">
        <v>44012</v>
      </c>
    </row>
    <row r="22" spans="1:8" ht="24" customHeight="1">
      <c r="C22" s="3027"/>
      <c r="D22" s="3027"/>
      <c r="E22" s="3052"/>
      <c r="F22" s="3053"/>
      <c r="G22" s="3054"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2972</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94"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本次估价的“房地产价值”是指在正常市场情况下，在价值时点2022年2月24日，估价对象规划用途为，假定未设立法定优先受偿款下的房地产市场价值。</v>
      </c>
    </row>
    <row r="54" spans="1:4">
      <c r="A54" s="3394"/>
      <c r="B54" s="9" t="s">
        <v>1463</v>
      </c>
      <c r="C54" s="9" t="s">
        <v>1464</v>
      </c>
    </row>
    <row r="55" spans="1:4">
      <c r="A55" s="3394"/>
      <c r="B55" s="9" t="s">
        <v>1465</v>
      </c>
      <c r="C55" s="9" t="s">
        <v>1466</v>
      </c>
    </row>
    <row r="56" spans="1:4">
      <c r="A56" s="3394"/>
      <c r="B56" s="9" t="s">
        <v>1467</v>
      </c>
      <c r="C56" s="9" t="s">
        <v>1468</v>
      </c>
    </row>
    <row r="57" spans="1:4">
      <c r="A57" s="3394"/>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比较法-住宅</vt:lpstr>
      <vt:lpstr>比较法-商业</vt:lpstr>
      <vt:lpstr>收益法</vt:lpstr>
      <vt:lpstr>收益法-酒店模型</vt:lpstr>
      <vt:lpstr>典型户型修正</vt:lpstr>
      <vt:lpstr>比较法-办公</vt:lpstr>
      <vt:lpstr>比较法-工业</vt:lpstr>
      <vt:lpstr>比较法-车位</vt:lpstr>
      <vt:lpstr>比较法-仓储</vt:lpstr>
      <vt:lpstr>土地比较法-住宅、综合</vt:lpstr>
      <vt:lpstr>土地比较法-工业</vt:lpstr>
      <vt:lpstr>成本法</vt:lpstr>
      <vt:lpstr>基准地价修正</vt:lpstr>
      <vt:lpstr>Sheet1</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2022-02-25T01:02:50Z</dcterms:modified>
</cp:coreProperties>
</file>