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大钟寺13号院\"/>
    </mc:Choice>
  </mc:AlternateContent>
  <bookViews>
    <workbookView xWindow="0" yWindow="0" windowWidth="18960" windowHeight="13104"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收益法" sheetId="15"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租金" sheetId="80"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容积率" sheetId="83" r:id="rId42"/>
    <sheet name="比较法-住宅" sheetId="21" r:id="rId43"/>
    <sheet name="成交" sheetId="82" r:id="rId44"/>
    <sheet name="Sheet1" sheetId="84" r:id="rId45"/>
    <sheet name="挂牌" sheetId="81"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2"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42">'比较法-住宅'!$A$1:$K$54,'比较法-住宅'!$A$57:$M$131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1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31" i="84" l="1"/>
  <c r="H31" i="84"/>
  <c r="H30" i="84"/>
  <c r="F128" i="80"/>
  <c r="F127" i="80"/>
  <c r="K124" i="80"/>
  <c r="F124" i="80"/>
  <c r="B124" i="80"/>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F31"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57" i="15"/>
  <c r="L47" i="15"/>
  <c r="L58" i="15"/>
  <c r="L59" i="15"/>
  <c r="L60" i="15"/>
  <c r="L46" i="15"/>
  <c r="B2" i="15"/>
  <c r="D19" i="9"/>
  <c r="C17" i="9"/>
  <c r="D5" i="9"/>
  <c r="D17" i="9"/>
  <c r="C18" i="9"/>
  <c r="D18" i="9"/>
  <c r="G19" i="9"/>
  <c r="D14" i="74"/>
  <c r="B14" i="74"/>
  <c r="G47" i="21"/>
  <c r="E47" i="21"/>
  <c r="G33" i="21"/>
  <c r="E33" i="21"/>
  <c r="I28" i="21"/>
  <c r="G28" i="21"/>
  <c r="E28" i="21"/>
  <c r="G6" i="21"/>
  <c r="E6" i="21"/>
  <c r="I7" i="21"/>
  <c r="G7" i="21"/>
  <c r="E7" i="21"/>
  <c r="I5" i="21"/>
  <c r="G5" i="21"/>
  <c r="E5" i="21"/>
  <c r="G73" i="43"/>
  <c r="G74" i="43"/>
  <c r="G75" i="43"/>
  <c r="G76" i="43"/>
  <c r="G77" i="43"/>
  <c r="G78" i="43"/>
  <c r="G79" i="43"/>
  <c r="G80" i="43"/>
  <c r="G72" i="43"/>
  <c r="D72" i="43"/>
  <c r="D73" i="43"/>
  <c r="D74" i="43"/>
  <c r="D75" i="43"/>
  <c r="D76" i="43"/>
  <c r="D77" i="43"/>
  <c r="D78" i="43"/>
  <c r="D79" i="43"/>
  <c r="D80" i="43"/>
  <c r="E72" i="43"/>
  <c r="B70" i="43"/>
  <c r="C28" i="43"/>
  <c r="C33" i="43"/>
  <c r="E33" i="43"/>
  <c r="C6" i="68"/>
  <c r="D33" i="43"/>
  <c r="G24" i="43"/>
  <c r="L52" i="15"/>
  <c r="AE6" i="1"/>
  <c r="Y6" i="1"/>
  <c r="N6" i="1"/>
  <c r="O20" i="1"/>
  <c r="O22" i="1"/>
  <c r="B55" i="1"/>
  <c r="F19" i="6"/>
  <c r="A3" i="3"/>
  <c r="D3" i="4"/>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B2" i="1"/>
  <c r="G23" i="43"/>
  <c r="W5" i="79"/>
  <c r="W7" i="79"/>
  <c r="C23" i="43"/>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G1" i="68"/>
  <c r="C9" i="68"/>
  <c r="C10" i="68"/>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U29" i="34"/>
  <c r="E5" i="6"/>
  <c r="E32" i="6"/>
  <c r="K1" i="12"/>
  <c r="E19" i="69"/>
  <c r="E19" i="68"/>
  <c r="E19" i="11"/>
  <c r="E1" i="73"/>
  <c r="G22" i="69"/>
  <c r="G22" i="68"/>
  <c r="G26" i="12"/>
  <c r="G22" i="11"/>
  <c r="C6" i="43"/>
  <c r="B19" i="53"/>
  <c r="B37" i="72"/>
  <c r="C7" i="39"/>
  <c r="C67" i="39"/>
  <c r="C7" i="35"/>
  <c r="C7" i="33"/>
  <c r="C7" i="21"/>
  <c r="C7" i="40"/>
  <c r="C63" i="40"/>
  <c r="M47" i="9"/>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B3" i="68"/>
  <c r="C20" i="9"/>
  <c r="F5" i="73"/>
  <c r="F16" i="67"/>
  <c r="M8" i="67"/>
  <c r="M23" i="67"/>
  <c r="C76" i="67"/>
  <c r="D34" i="9"/>
  <c r="B9" i="76"/>
  <c r="F7" i="73"/>
  <c r="F6" i="67"/>
  <c r="E7" i="76"/>
  <c r="F13" i="67"/>
  <c r="B3" i="15"/>
  <c r="D20" i="9"/>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D102" i="9"/>
  <c r="C102" i="9"/>
  <c r="S22" i="31"/>
  <c r="R22" i="31"/>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C59" i="34"/>
  <c r="D59" i="34"/>
  <c r="E59" i="34"/>
  <c r="F59" i="34"/>
  <c r="G59" i="34"/>
  <c r="H59" i="34"/>
  <c r="I59" i="34"/>
  <c r="J59" i="34"/>
  <c r="K59" i="34"/>
  <c r="L59" i="34"/>
  <c r="M59" i="34"/>
  <c r="N59" i="34"/>
  <c r="O59" i="34"/>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G20" i="9"/>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B2" i="43"/>
  <c r="B3" i="43"/>
  <c r="H69" i="39"/>
  <c r="I67" i="39"/>
  <c r="G65" i="40"/>
  <c r="H63" i="40"/>
  <c r="C43" i="37"/>
  <c r="C42" i="37"/>
  <c r="I48" i="35"/>
  <c r="C48" i="33"/>
  <c r="C49" i="33"/>
  <c r="H58" i="21"/>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30" i="12"/>
  <c r="C28" i="12"/>
  <c r="C38" i="11"/>
  <c r="C35" i="11"/>
  <c r="H27" i="6"/>
  <c r="R19" i="6"/>
  <c r="C27" i="12"/>
  <c r="C25" i="12"/>
  <c r="C20" i="69"/>
  <c r="C28" i="69"/>
  <c r="C27" i="69"/>
  <c r="C20" i="68"/>
  <c r="C39" i="69"/>
  <c r="C43" i="69"/>
  <c r="C42" i="69"/>
  <c r="B3" i="76"/>
  <c r="J69" i="39"/>
  <c r="K67" i="39"/>
  <c r="U7" i="21"/>
  <c r="AB7" i="21"/>
  <c r="T48" i="21"/>
  <c r="G48" i="21"/>
  <c r="J63" i="40"/>
  <c r="I65" i="40"/>
  <c r="K48" i="35"/>
  <c r="L48" i="35"/>
  <c r="M48" i="35"/>
  <c r="N48" i="35"/>
  <c r="O48" i="35"/>
  <c r="H7" i="35"/>
  <c r="D14" i="71"/>
  <c r="C13" i="71"/>
  <c r="W7" i="21"/>
  <c r="AA7" i="21"/>
  <c r="R48"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R49" i="21"/>
  <c r="E48" i="21"/>
  <c r="G52" i="21"/>
  <c r="H52" i="21"/>
  <c r="G53" i="21"/>
  <c r="H53" i="21"/>
  <c r="F7" i="35"/>
  <c r="F35" i="67"/>
  <c r="M21" i="15"/>
  <c r="F35" i="15"/>
  <c r="M21" i="67"/>
  <c r="AC7" i="35"/>
  <c r="V38" i="35"/>
  <c r="I38" i="35"/>
  <c r="C12" i="71"/>
  <c r="D13" i="71"/>
  <c r="C56" i="67"/>
  <c r="C65" i="67"/>
  <c r="J22" i="67"/>
  <c r="C37" i="67"/>
  <c r="C75" i="67"/>
  <c r="J59" i="15"/>
  <c r="J60" i="15"/>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D53" i="9"/>
  <c r="D52" i="9"/>
  <c r="B47" i="72"/>
  <c r="D4" i="52"/>
  <c r="M55" i="9"/>
  <c r="D59" i="9"/>
  <c r="H4" i="52"/>
  <c r="C104" i="9"/>
  <c r="D8" i="52"/>
  <c r="N58" i="9"/>
  <c r="P57" i="9"/>
  <c r="C93" i="9"/>
  <c r="C86" i="9"/>
  <c r="C81" i="9"/>
  <c r="B53" i="72"/>
  <c r="F5" i="52"/>
  <c r="F119" i="9"/>
  <c r="B21" i="72"/>
  <c r="D7" i="53"/>
  <c r="M48" i="9"/>
  <c r="C105" i="9"/>
  <c r="I4" i="52"/>
  <c r="M54" i="9"/>
  <c r="D56" i="9"/>
  <c r="D58" i="9"/>
  <c r="C97" i="9"/>
  <c r="C72" i="9"/>
  <c r="C79" i="9"/>
  <c r="C80" i="9"/>
  <c r="E80" i="9"/>
  <c r="E81" i="9"/>
  <c r="B20" i="72"/>
  <c r="E97" i="9"/>
  <c r="E96" i="9"/>
  <c r="C85" i="9"/>
  <c r="C95" i="9"/>
  <c r="C96" i="9"/>
  <c r="C78" i="9"/>
  <c r="C73" i="9"/>
  <c r="C6" i="74"/>
  <c r="C64" i="9"/>
  <c r="C63" i="9"/>
  <c r="C67" i="9"/>
  <c r="C68" i="9"/>
  <c r="D54" i="9"/>
  <c r="D118" i="9"/>
  <c r="D119" i="9"/>
  <c r="D5" i="52"/>
  <c r="B49" i="72"/>
  <c r="F4" i="52"/>
  <c r="B51" i="72"/>
  <c r="B30" i="72"/>
  <c r="N60" i="9"/>
  <c r="D45" i="9"/>
  <c r="D55" i="9"/>
  <c r="M53" i="9"/>
  <c r="N57" i="9"/>
  <c r="N59" i="9"/>
  <c r="N61" i="9"/>
  <c r="E118" i="9"/>
  <c r="E4" i="52"/>
  <c r="B48" i="72"/>
  <c r="H108" i="9"/>
  <c r="D15" i="53"/>
  <c r="B31" i="72"/>
  <c r="H102" i="9"/>
  <c r="C5" i="74"/>
  <c r="B52" i="72"/>
  <c r="F118" i="9"/>
  <c r="G118" i="9"/>
  <c r="G4" i="52"/>
  <c r="D5" i="53"/>
  <c r="D6" i="53"/>
  <c r="B22" i="72"/>
  <c r="D13" i="53"/>
  <c r="D14" i="53"/>
  <c r="B32" i="72"/>
  <c r="H119" i="9"/>
  <c r="H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<sst xmlns="http://schemas.openxmlformats.org/spreadsheetml/2006/main" count="8055" uniqueCount="3553">
  <si>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</si>
  <si>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</si>
  <si>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</si>
  <si>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</si>
  <si>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</si>
  <si>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</si>
  <si>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</si>
  <si>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</si>
  <si>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</si>
  <si>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</si>
  <si>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</si>
  <si>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</si>
  <si>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</si>
  <si>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</si>
  <si>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</si>
  <si>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</si>
  <si>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</si>
  <si>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</si>
  <si>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</si>
  <si>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</si>
  <si>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</si>
  <si>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</si>
  <si>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</si>
  <si>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</si>
  <si>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</si>
  <si>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</si>
  <si>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</si>
  <si>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</si>
  <si>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</si>
  <si>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</si>
  <si>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</si>
  <si>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</si>
  <si>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</si>
  <si>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</si>
  <si>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</si>
  <si>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</si>
  <si>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</si>
  <si>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</si>
  <si>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</si>
  <si>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</si>
  <si>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</si>
  <si>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</si>
  <si>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</si>
  <si>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</si>
  <si>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</si>
  <si>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</si>
  <si>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</si>
  <si>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</si>
  <si>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</si>
  <si>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</si>
  <si>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</si>
  <si>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</si>
  <si>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</si>
  <si>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</si>
  <si>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</si>
  <si>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</si>
  <si>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</si>
  <si>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</si>
  <si>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</si>
  <si>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</si>
  <si>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</si>
  <si>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</si>
  <si>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</si>
  <si>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</si>
  <si>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</si>
  <si>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</si>
  <si>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</si>
  <si>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</si>
  <si>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</si>
  <si>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</si>
  <si>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</si>
  <si>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</si>
  <si>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</si>
  <si>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</si>
  <si>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</si>
  <si>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</si>
  <si>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</si>
  <si>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</si>
  <si>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</si>
  <si>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</si>
  <si>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</si>
  <si>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</si>
  <si>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</si>
  <si>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</si>
  <si>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</si>
  <si>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</si>
  <si>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</si>
  <si>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</si>
  <si>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</si>
  <si>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</si>
  <si>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</si>
  <si>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</si>
  <si>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</si>
  <si>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</si>
  <si>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</si>
  <si>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</si>
  <si>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</si>
  <si>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</si>
  <si>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</si>
  <si>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</si>
  <si>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</si>
  <si>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</si>
  <si>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</si>
  <si>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</si>
  <si>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</si>
  <si>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</si>
  <si>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</si>
  <si>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</si>
  <si>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</si>
  <si>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</si>
  <si>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</si>
  <si>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</si>
  <si>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</si>
  <si>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</si>
  <si>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</si>
  <si>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</si>
  <si>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</si>
  <si>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</si>
  <si>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</si>
  <si>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</si>
  <si>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</si>
  <si>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</si>
  <si>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</si>
  <si>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</si>
  <si>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</si>
  <si>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</si>
  <si>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</si>
  <si>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</si>
  <si>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</si>
  <si>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</si>
  <si>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</si>
  <si>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</si>
  <si>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</si>
  <si>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</si>
  <si>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</si>
  <si>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</si>
  <si>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</si>
  <si>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</si>
  <si>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</si>
  <si>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</si>
  <si>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</si>
  <si>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</si>
  <si>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</si>
  <si>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</si>
  <si>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</si>
  <si>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</si>
  <si>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</si>
  <si>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</si>
  <si>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</si>
  <si>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</si>
  <si>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</si>
  <si>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</si>
  <si>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</si>
  <si>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</si>
  <si>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</si>
  <si>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</si>
  <si>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</si>
  <si>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</si>
  <si>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</si>
  <si>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</si>
  <si>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</si>
  <si>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</si>
  <si>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</si>
  <si>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</si>
  <si>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</si>
  <si>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</si>
  <si>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</si>
  <si>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</si>
  <si>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</si>
  <si>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</si>
  <si>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</si>
  <si>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</si>
  <si>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</si>
  <si>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</si>
  <si>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</si>
  <si>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</si>
  <si>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</si>
  <si>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</si>
  <si>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</si>
  <si>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</si>
  <si>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</si>
  <si>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</si>
  <si>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</si>
  <si>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</si>
  <si>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</si>
  <si>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</si>
  <si>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</si>
  <si>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</si>
  <si>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</si>
  <si>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</si>
  <si>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</si>
  <si>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</si>
  <si>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</si>
  <si>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</si>
  <si>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</si>
  <si>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</si>
  <si>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</si>
  <si>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</si>
  <si>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</si>
  <si>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</si>
  <si>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</si>
  <si>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</si>
  <si>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</si>
  <si>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</si>
  <si>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</si>
  <si>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</si>
  <si>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</si>
  <si>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</si>
  <si>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</si>
  <si>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</si>
  <si>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</si>
  <si>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</si>
  <si>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</si>
  <si>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</si>
  <si>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</si>
  <si>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</si>
  <si>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</si>
  <si>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</si>
  <si>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</si>
  <si>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</si>
  <si>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</si>
  <si>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</si>
  <si>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</si>
  <si>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</si>
  <si>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</si>
  <si>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</si>
  <si>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</si>
  <si>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</si>
  <si>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</si>
  <si>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</si>
  <si>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</si>
  <si>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</si>
  <si>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</si>
  <si>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</si>
  <si>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</si>
  <si>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</si>
  <si>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</si>
  <si>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</si>
  <si>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</si>
  <si>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</si>
  <si>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</si>
  <si>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</si>
  <si>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</si>
  <si>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</si>
  <si>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</si>
  <si>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</si>
  <si>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</si>
  <si>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</si>
  <si>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</si>
  <si>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</si>
  <si>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</si>
  <si>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</si>
  <si>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</si>
  <si>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</si>
  <si>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</si>
  <si>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</si>
  <si>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</si>
  <si>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</si>
  <si>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</si>
  <si>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</si>
  <si>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</si>
  <si>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</si>
  <si>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</si>
  <si>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</si>
  <si>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</si>
  <si>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</si>
  <si>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</si>
  <si>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</si>
  <si>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</si>
  <si>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</si>
  <si>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</si>
  <si>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</si>
  <si>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</si>
  <si>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</si>
  <si>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</si>
  <si>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</si>
  <si>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</si>
  <si>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</si>
  <si>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</si>
  <si>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</si>
  <si>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</si>
  <si>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</si>
  <si>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</si>
  <si>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</si>
  <si>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</si>
  <si>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</si>
  <si>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</si>
  <si>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</si>
  <si>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</si>
  <si>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</si>
  <si>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</si>
  <si>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</si>
  <si>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</si>
  <si>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</si>
  <si>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</si>
  <si>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</si>
  <si>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</si>
  <si>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</si>
  <si>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</si>
  <si>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</si>
  <si>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</si>
  <si>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</si>
  <si>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</si>
  <si>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</si>
  <si>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</si>
  <si>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</si>
  <si>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</si>
  <si>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</si>
  <si>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</si>
  <si>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</si>
  <si>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</si>
  <si>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</si>
  <si>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</si>
  <si>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</si>
  <si>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</si>
  <si>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</si>
  <si>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</si>
  <si>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</si>
  <si>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</si>
  <si>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</si>
  <si>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</si>
  <si>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</si>
  <si>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</si>
  <si>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</si>
  <si>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</si>
  <si>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</si>
  <si>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</si>
  <si>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</si>
  <si>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</si>
  <si>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</si>
  <si>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</si>
  <si>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</si>
  <si>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</si>
  <si>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</si>
  <si>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</si>
  <si>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</si>
  <si>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</si>
  <si>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</si>
  <si>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</si>
  <si>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</si>
  <si>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</si>
  <si>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</si>
  <si>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</si>
  <si>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</si>
  <si>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</si>
  <si>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</si>
  <si>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</si>
  <si>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</si>
  <si>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</si>
  <si>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</si>
  <si>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</si>
  <si>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</si>
  <si>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</si>
  <si>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</si>
  <si>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</si>
  <si>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</si>
  <si>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</si>
  <si>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</si>
  <si>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</si>
  <si>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</si>
  <si>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</si>
  <si>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</si>
  <si>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</si>
  <si>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</si>
  <si>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</si>
  <si>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</si>
  <si>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</si>
  <si>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</si>
  <si>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</si>
  <si>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</si>
  <si>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</si>
  <si>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</si>
  <si>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</si>
  <si>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</si>
  <si>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</si>
  <si>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</si>
  <si>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</si>
  <si>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</si>
  <si>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</si>
  <si>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</si>
  <si>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</si>
  <si>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</si>
  <si>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</si>
  <si>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</si>
  <si>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</si>
  <si>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</si>
  <si>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</si>
  <si>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</si>
  <si>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</si>
  <si>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</si>
  <si>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</si>
  <si>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</si>
  <si>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</si>
  <si>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</si>
  <si>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</si>
  <si>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</si>
  <si>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</si>
  <si>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</si>
  <si>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</si>
  <si>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</si>
  <si>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</si>
  <si>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</si>
  <si>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</si>
  <si>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</si>
  <si>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</si>
  <si>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</si>
  <si>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</si>
  <si>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</si>
  <si>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</si>
  <si>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</si>
  <si>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</si>
  <si>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</si>
  <si>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</si>
  <si>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</si>
  <si>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</si>
  <si>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</si>
  <si>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</si>
  <si>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</si>
  <si>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</si>
  <si>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</si>
  <si>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</si>
  <si>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</si>
  <si>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</si>
  <si>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</si>
  <si>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</si>
  <si>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</si>
  <si>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</si>
  <si>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</si>
  <si>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</si>
  <si>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</si>
  <si>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</si>
  <si>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</si>
  <si>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</si>
  <si>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</si>
  <si>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</si>
  <si>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</si>
  <si>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</si>
  <si>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</si>
  <si>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</si>
  <si>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</si>
  <si>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</si>
  <si>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</si>
  <si>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</si>
  <si>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</si>
  <si>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</si>
  <si>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</si>
  <si>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</si>
  <si>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</si>
  <si>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</si>
  <si>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</si>
  <si>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</si>
  <si>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</si>
  <si>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</si>
  <si>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</si>
  <si>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</si>
  <si>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</si>
  <si>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</si>
  <si>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</si>
  <si>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</si>
  <si>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</si>
  <si>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</si>
  <si>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</si>
  <si>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</si>
  <si>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</si>
  <si>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</si>
  <si>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</si>
  <si>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</si>
  <si>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</si>
  <si>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</si>
  <si>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</si>
  <si>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</si>
  <si>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</si>
  <si>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</si>
  <si>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</si>
  <si>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</si>
  <si>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</si>
  <si>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</si>
  <si>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</si>
  <si>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</si>
  <si>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</si>
  <si>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</si>
  <si>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</si>
  <si>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</si>
  <si>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</si>
  <si>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</si>
  <si>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</si>
  <si>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</si>
  <si>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</si>
  <si>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</si>
  <si>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</si>
  <si>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</si>
  <si>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</si>
  <si>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</si>
  <si>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</si>
  <si>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</si>
  <si>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</si>
  <si>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</si>
  <si>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</si>
  <si>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</si>
  <si>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</si>
  <si>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</si>
  <si>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</si>
  <si>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</si>
  <si>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</si>
  <si>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</si>
  <si>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</si>
  <si>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</si>
  <si>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</si>
  <si>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</si>
  <si>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</si>
  <si>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</si>
  <si>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</si>
  <si>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</si>
  <si>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</si>
  <si>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</si>
  <si>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</si>
  <si>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</si>
  <si>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</si>
  <si>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</si>
  <si>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</si>
  <si>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</si>
  <si>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</si>
  <si>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</si>
  <si>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</si>
  <si>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</si>
  <si>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</si>
  <si>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</si>
  <si>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</si>
  <si>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</si>
  <si>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</si>
  <si>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</si>
  <si>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</si>
  <si>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</si>
  <si>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</si>
  <si>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</si>
  <si>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</si>
  <si>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</si>
  <si>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</si>
  <si>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</si>
  <si>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</si>
  <si>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</si>
  <si>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</si>
  <si>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</si>
  <si>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</si>
  <si>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</si>
  <si>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</si>
  <si>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</si>
  <si>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</si>
  <si>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</si>
  <si>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</si>
  <si>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</si>
  <si>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</si>
  <si>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</si>
  <si>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</si>
  <si>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</si>
  <si>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</si>
  <si>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</si>
  <si>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</si>
  <si>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</si>
  <si>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</si>
  <si>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</si>
  <si>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</si>
  <si>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</si>
  <si>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</si>
  <si>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</si>
  <si>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</si>
  <si>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</si>
  <si>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</si>
  <si>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</si>
  <si>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</si>
  <si>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</si>
  <si>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</si>
  <si>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</si>
  <si>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</si>
  <si>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</si>
  <si>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</si>
  <si>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</si>
  <si>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</si>
  <si>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</si>
  <si>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</si>
  <si>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</si>
  <si>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</si>
  <si>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</si>
  <si>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</si>
  <si>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</si>
  <si>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</si>
  <si>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</si>
  <si>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</si>
  <si>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</si>
  <si>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</si>
  <si>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</si>
  <si>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</si>
  <si>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</si>
  <si>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</si>
  <si>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</si>
  <si>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</si>
  <si>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</si>
  <si>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</si>
  <si>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</si>
  <si>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</si>
  <si>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</si>
  <si>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</si>
  <si>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</si>
  <si>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</si>
  <si>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</si>
  <si>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</si>
  <si>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</si>
  <si>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</si>
  <si>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</si>
  <si>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</si>
  <si>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</si>
  <si>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</si>
  <si>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</si>
  <si>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</si>
  <si>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</si>
  <si>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</si>
  <si>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</si>
  <si>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</si>
  <si>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</si>
  <si>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</si>
  <si>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</si>
  <si>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</si>
  <si>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</si>
  <si>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</si>
  <si>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</si>
  <si>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</si>
  <si>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</si>
  <si>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</si>
  <si>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</si>
  <si>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</si>
  <si>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</si>
  <si>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</si>
  <si>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</si>
  <si>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</si>
  <si>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</si>
  <si>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</si>
  <si>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</si>
  <si>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</si>
  <si>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</si>
  <si>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</si>
  <si>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</si>
  <si>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</si>
  <si>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</si>
  <si>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</si>
  <si>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</si>
  <si>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</si>
  <si>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</si>
  <si>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</si>
  <si>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</si>
  <si>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</si>
  <si>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</si>
  <si>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</si>
  <si>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</si>
  <si>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</si>
  <si>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</si>
  <si>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</si>
  <si>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</si>
  <si>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</si>
  <si>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</si>
  <si>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</si>
  <si>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</si>
  <si>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</si>
  <si>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</si>
  <si>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</si>
  <si>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</si>
  <si>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</si>
  <si>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</si>
  <si>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</si>
  <si>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</si>
  <si>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</si>
  <si>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</si>
  <si>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</si>
  <si>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</si>
  <si>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</si>
  <si>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</si>
  <si>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</si>
  <si>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</si>
  <si>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</si>
  <si>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</si>
  <si>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</si>
  <si>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</si>
  <si>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</si>
  <si>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</si>
  <si>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</si>
  <si>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</si>
  <si>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</si>
  <si>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</si>
  <si>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</si>
  <si>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</si>
  <si>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</si>
  <si>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</si>
  <si>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</si>
  <si>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</si>
  <si>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</si>
  <si>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</si>
  <si>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</si>
  <si>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</si>
  <si>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</si>
  <si>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</si>
  <si>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</si>
  <si>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</si>
  <si>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</si>
  <si>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</si>
  <si>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</si>
  <si>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</si>
  <si>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</si>
  <si>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</si>
  <si>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</si>
  <si>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</si>
  <si>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</si>
  <si>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</si>
  <si>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</si>
  <si>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</si>
  <si>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</si>
  <si>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</si>
  <si>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</si>
  <si>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</si>
  <si>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</si>
  <si>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</si>
  <si>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</si>
  <si>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</si>
  <si>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</si>
  <si>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</si>
  <si>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</si>
  <si>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</si>
  <si>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</si>
  <si>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</si>
  <si>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</si>
  <si>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</si>
  <si>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</si>
  <si>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</si>
  <si>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</si>
  <si>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</si>
  <si>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</si>
  <si>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</si>
  <si>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</si>
  <si>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</si>
  <si>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</si>
  <si>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</si>
  <si>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</si>
  <si>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</si>
  <si>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</si>
  <si>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</si>
  <si>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</si>
  <si>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</si>
  <si>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</si>
  <si>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</si>
  <si>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</si>
  <si>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</si>
  <si>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</si>
  <si>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</si>
  <si>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</si>
  <si>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</si>
  <si>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</si>
  <si>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</si>
  <si>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</si>
  <si>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</si>
  <si>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</si>
  <si>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</si>
  <si>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</si>
  <si>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</si>
  <si>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</si>
  <si>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</si>
  <si>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</si>
  <si>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</si>
  <si>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</si>
  <si>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</si>
  <si>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</si>
  <si>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</si>
  <si>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</si>
  <si>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</si>
  <si>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</si>
  <si>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</si>
  <si>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</si>
  <si>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</si>
  <si>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</si>
  <si>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</si>
  <si>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</si>
  <si>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</si>
  <si>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</si>
  <si>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</si>
  <si>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</si>
  <si>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</si>
  <si>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</si>
  <si>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</si>
  <si>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</si>
  <si>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</si>
  <si>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</si>
  <si>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</si>
  <si>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</si>
  <si>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</si>
  <si>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</si>
  <si>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</si>
  <si>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</si>
  <si>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</si>
  <si>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</si>
  <si>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</si>
  <si>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</si>
  <si>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</si>
  <si>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</si>
  <si>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</si>
  <si>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</si>
  <si>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</si>
  <si>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</si>
  <si>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</si>
  <si>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</si>
  <si>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</si>
  <si>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</si>
  <si>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</si>
  <si>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</si>
  <si>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</si>
  <si>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</si>
  <si>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</si>
  <si>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</si>
  <si>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</si>
  <si>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</si>
  <si>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</si>
  <si>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</si>
  <si>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</si>
  <si>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</si>
  <si>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</si>
  <si>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</si>
  <si>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</si>
  <si>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</si>
  <si>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</si>
  <si>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</si>
  <si>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</si>
  <si>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</si>
  <si>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</si>
  <si>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</si>
  <si>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</si>
  <si>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</si>
  <si>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</si>
  <si>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</si>
  <si>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</si>
  <si>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</si>
  <si>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</si>
  <si>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</si>
  <si>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</si>
  <si>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</si>
  <si>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</si>
  <si>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</si>
  <si>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</si>
  <si>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</si>
  <si>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</si>
  <si>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</si>
  <si>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</si>
  <si>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</si>
  <si>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</si>
  <si>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</si>
  <si>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</si>
  <si>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</si>
  <si>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</si>
  <si>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</si>
  <si>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</si>
  <si>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</si>
  <si>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</si>
  <si>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</si>
  <si>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</si>
  <si>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</si>
  <si>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</si>
  <si>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</si>
  <si>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</si>
  <si>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</si>
  <si>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</si>
  <si>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</si>
  <si>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</si>
  <si>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</si>
  <si>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</si>
  <si>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</si>
  <si>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</si>
  <si>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</si>
  <si>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</si>
  <si>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</si>
  <si>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</si>
  <si>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</si>
  <si>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</si>
  <si>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</si>
  <si>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</si>
  <si>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</si>
  <si>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</si>
  <si>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</si>
  <si>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</si>
  <si>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</si>
  <si>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</si>
  <si>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</si>
  <si>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</si>
  <si>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</si>
  <si>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</si>
  <si>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</si>
  <si>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</si>
  <si>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</si>
  <si>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</si>
  <si>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</si>
  <si>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</si>
  <si>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</si>
  <si>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</si>
  <si>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</si>
  <si>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</si>
  <si>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</si>
  <si>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</si>
  <si>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</si>
  <si>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</si>
  <si>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</si>
  <si>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</si>
  <si>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</si>
  <si>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</si>
  <si>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</si>
  <si>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</si>
  <si>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</si>
  <si>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</si>
  <si>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</si>
  <si>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</si>
  <si>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</si>
  <si>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</si>
  <si>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</si>
  <si>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</si>
  <si>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</si>
  <si>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</si>
  <si>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</si>
  <si>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</si>
  <si>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</si>
  <si>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</si>
  <si>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</si>
  <si>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</si>
  <si>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</si>
  <si>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</si>
  <si>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</si>
  <si>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</si>
  <si>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</si>
  <si>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</si>
  <si>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</si>
  <si>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</si>
  <si>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</si>
  <si>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</si>
  <si>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</si>
  <si>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</si>
  <si>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</si>
  <si>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</si>
  <si>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</si>
  <si>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</si>
  <si>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</si>
  <si>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</si>
  <si>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</si>
  <si>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</si>
  <si>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</si>
  <si>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</si>
  <si>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</si>
  <si>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</si>
  <si>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</si>
  <si>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</si>
  <si>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</si>
  <si>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</si>
  <si>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</si>
  <si>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</si>
  <si>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</si>
  <si>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</si>
  <si>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</si>
  <si>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</si>
  <si>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</si>
  <si>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</si>
  <si>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</si>
  <si>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</si>
  <si>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</si>
  <si>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</si>
  <si>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</si>
  <si>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</si>
  <si>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</si>
  <si>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</si>
  <si>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</si>
  <si>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</si>
  <si>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</si>
  <si>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</si>
  <si>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</si>
  <si>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</si>
  <si>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</si>
  <si>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</si>
  <si>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</si>
  <si>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</si>
  <si>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</si>
  <si>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</si>
  <si>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</si>
  <si>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</si>
  <si>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</si>
  <si>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</si>
  <si>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</si>
  <si>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</si>
  <si>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</si>
  <si>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</si>
  <si>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</si>
  <si>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</si>
  <si>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</si>
  <si>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</si>
  <si>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</si>
  <si>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</si>
  <si>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</si>
  <si>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</si>
  <si>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</si>
  <si>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</si>
  <si>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</si>
  <si>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</si>
  <si>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</si>
  <si>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</si>
  <si>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</si>
  <si>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</si>
  <si>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</si>
  <si>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</si>
  <si>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</si>
  <si>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</si>
  <si>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</si>
  <si>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</si>
  <si>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</si>
  <si>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</si>
  <si>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</si>
  <si>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</si>
  <si>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</si>
  <si>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</si>
  <si>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</si>
  <si>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</si>
  <si>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</si>
  <si>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</si>
  <si>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</si>
  <si>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</si>
  <si>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</si>
  <si>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</si>
  <si>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</si>
  <si>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</si>
  <si>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</si>
  <si>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</si>
  <si>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</si>
  <si>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</si>
  <si>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</si>
  <si>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</si>
  <si>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</si>
  <si>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</si>
  <si>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</si>
  <si>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</si>
  <si>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</si>
  <si>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</si>
  <si>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</si>
  <si>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</si>
  <si>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</si>
  <si>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</si>
  <si>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</si>
  <si>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</si>
  <si>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</si>
  <si>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</si>
  <si>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</si>
  <si>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</si>
  <si>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</si>
  <si>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</si>
  <si>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</si>
  <si>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</si>
  <si>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</si>
  <si>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</si>
  <si>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</si>
  <si>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</si>
  <si>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</si>
  <si>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</si>
  <si>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</si>
  <si>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</si>
  <si>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</si>
  <si>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</si>
  <si>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</si>
  <si>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</si>
  <si>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</si>
  <si>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</si>
  <si>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</si>
  <si>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</si>
  <si>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</si>
  <si>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</si>
  <si>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</si>
  <si>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</si>
  <si>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</si>
  <si>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</si>
  <si>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</si>
  <si>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</si>
  <si>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</si>
  <si>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</si>
  <si>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</si>
  <si>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</si>
  <si>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</si>
  <si>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</si>
  <si>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</si>
  <si>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</si>
  <si>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</si>
  <si>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</si>
  <si>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</si>
  <si>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</si>
  <si>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</si>
  <si>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</si>
  <si>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</si>
  <si>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</si>
  <si>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</si>
  <si>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</si>
  <si>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</si>
  <si>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</si>
  <si>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</si>
  <si>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</si>
  <si>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</si>
  <si>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</si>
  <si>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</si>
  <si>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</si>
  <si>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</si>
  <si>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</si>
  <si>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</si>
  <si>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</si>
  <si>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</si>
  <si>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</si>
  <si>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</si>
  <si>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</si>
  <si>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</si>
  <si>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</si>
  <si>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</si>
  <si>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</si>
  <si>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</si>
  <si>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</si>
  <si>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</si>
  <si>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</si>
  <si>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</si>
  <si>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</si>
  <si>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</si>
  <si>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</si>
  <si>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</si>
  <si>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</si>
  <si>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</si>
  <si>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</si>
  <si>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</si>
  <si>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</si>
  <si>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</si>
  <si>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</si>
  <si>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</si>
  <si>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</si>
  <si>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</si>
  <si>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</si>
  <si>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</si>
  <si>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</si>
  <si>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</si>
  <si>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</si>
  <si>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</si>
  <si>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</si>
  <si>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</si>
  <si>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</si>
  <si>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</si>
  <si>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</si>
  <si>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</si>
  <si>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</si>
  <si>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</si>
  <si>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</si>
  <si>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</si>
  <si>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</si>
  <si>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</si>
  <si>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</si>
  <si>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</si>
  <si>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</si>
  <si>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</si>
  <si>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</si>
  <si>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</si>
  <si>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</si>
  <si>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</si>
  <si>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</si>
  <si>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</si>
  <si>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</si>
  <si>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</si>
  <si>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</si>
  <si>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</si>
  <si>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</si>
  <si>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</si>
  <si>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</si>
  <si>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</si>
  <si>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</si>
  <si>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</si>
  <si>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</si>
  <si>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</si>
  <si>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</si>
  <si>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</si>
  <si>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</si>
  <si>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</si>
  <si>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</si>
  <si>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</si>
  <si>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</si>
  <si>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</si>
  <si>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</si>
  <si>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</si>
  <si>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</si>
  <si>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</si>
  <si>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</si>
  <si>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</si>
  <si>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</si>
  <si>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</si>
  <si>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</si>
  <si>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</si>
  <si>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</si>
  <si>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</si>
  <si>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</si>
  <si>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</si>
  <si>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</si>
  <si>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</si>
  <si>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</si>
  <si>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</si>
  <si>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</si>
  <si>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</si>
  <si>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</si>
  <si>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</si>
  <si>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</si>
  <si>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</si>
  <si>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</si>
  <si>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</si>
  <si>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</si>
  <si>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</si>
  <si>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</si>
  <si>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</si>
  <si>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</si>
  <si>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</si>
  <si>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</si>
  <si>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</si>
  <si>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</si>
  <si>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</si>
  <si>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</si>
  <si>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</si>
  <si>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</si>
  <si>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</si>
  <si>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</si>
  <si>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</si>
  <si>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</si>
  <si>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</si>
  <si>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</si>
  <si>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</si>
  <si>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</si>
  <si>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</si>
  <si>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</si>
  <si>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</si>
  <si>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</si>
  <si>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</si>
  <si>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</si>
  <si>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</si>
  <si>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</si>
  <si>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</si>
  <si>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</si>
  <si>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</si>
  <si>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</si>
  <si>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</si>
  <si>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</si>
  <si>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</si>
  <si>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</si>
  <si>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</si>
  <si>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</si>
  <si>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</si>
  <si>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</si>
  <si>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</si>
  <si>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</si>
  <si>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</si>
  <si>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</si>
  <si>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</si>
  <si>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</si>
  <si>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</si>
  <si>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</si>
  <si>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</si>
  <si>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</si>
  <si>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</si>
  <si>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</si>
  <si>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</si>
  <si>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</si>
  <si>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</si>
  <si>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</si>
  <si>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</si>
  <si>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</si>
  <si>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</si>
  <si>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</si>
  <si>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</si>
  <si>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</si>
  <si>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</si>
  <si>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</si>
  <si>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</si>
  <si>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</si>
  <si>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</si>
  <si>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</si>
  <si>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</si>
  <si>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</si>
  <si>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</si>
  <si>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</si>
  <si>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</si>
  <si>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</si>
  <si>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</si>
  <si>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</si>
  <si>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</si>
  <si>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</si>
  <si>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</si>
  <si>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</si>
  <si>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</si>
  <si>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</si>
  <si>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</si>
  <si>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</si>
  <si>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</si>
  <si>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</si>
  <si>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</si>
  <si>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</si>
  <si>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</si>
  <si>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</si>
  <si>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</si>
  <si>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</si>
  <si>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</si>
  <si>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</si>
  <si>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</si>
  <si>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</si>
  <si>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</si>
  <si>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</si>
  <si>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</si>
  <si>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</si>
  <si>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</si>
  <si>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</si>
  <si>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</si>
  <si>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</si>
  <si>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</si>
  <si>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</si>
  <si>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</si>
  <si>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</si>
  <si>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</si>
  <si>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</si>
  <si>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</si>
  <si>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</si>
  <si>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</si>
  <si>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</si>
  <si>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</si>
  <si>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</si>
  <si>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</si>
  <si>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</si>
  <si>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</si>
  <si>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</si>
  <si>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</si>
  <si>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</si>
  <si>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</si>
  <si>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</si>
  <si>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</si>
  <si>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</si>
  <si>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</si>
  <si>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</si>
  <si>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</si>
  <si>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</si>
  <si>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</si>
  <si>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</si>
  <si>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</si>
  <si>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</si>
  <si>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</si>
  <si>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</si>
  <si>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</si>
  <si>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</si>
  <si>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</si>
  <si>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</si>
  <si>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</si>
  <si>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</si>
  <si>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</si>
  <si>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</si>
  <si>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</si>
  <si>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</si>
  <si>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</si>
  <si>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</si>
  <si>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</si>
  <si>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</si>
  <si>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</si>
  <si>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</si>
  <si>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</si>
  <si>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</si>
  <si>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</si>
  <si>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</si>
  <si>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</si>
  <si>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</si>
  <si>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</si>
  <si>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</si>
  <si>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</si>
  <si>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</si>
  <si>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</si>
  <si>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</si>
  <si>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</si>
  <si>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</si>
  <si>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</si>
  <si>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</si>
  <si>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</si>
  <si>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</si>
  <si>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</si>
  <si>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</si>
  <si>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</si>
  <si>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</si>
  <si>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</si>
  <si>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</si>
  <si>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</si>
  <si>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</si>
  <si>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</si>
  <si>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</si>
  <si>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</si>
  <si>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</si>
  <si>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</si>
  <si>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</si>
  <si>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</si>
  <si>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</si>
  <si>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</si>
  <si>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</si>
  <si>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</si>
  <si>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</si>
  <si>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</si>
  <si>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</si>
  <si>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</si>
  <si>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</si>
  <si>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</si>
  <si>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</si>
  <si>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</si>
  <si>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</si>
  <si>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</si>
  <si>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</si>
  <si>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</si>
  <si>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</si>
  <si>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</si>
  <si>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</si>
  <si>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</si>
  <si>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</si>
  <si>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</si>
  <si>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</si>
  <si>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</si>
  <si>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</si>
  <si>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</si>
  <si>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</si>
  <si>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</si>
  <si>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</si>
  <si>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</si>
  <si>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</si>
  <si>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</si>
  <si>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</si>
  <si>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</si>
  <si>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</si>
  <si>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</si>
  <si>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</si>
  <si>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</si>
  <si>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</si>
  <si>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</si>
  <si>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</si>
  <si>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</si>
  <si>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</si>
  <si>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</si>
  <si>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</si>
  <si>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</si>
  <si>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</si>
  <si>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</si>
  <si>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</si>
  <si>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</si>
  <si>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</si>
  <si>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</si>
  <si>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</si>
  <si>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</si>
  <si>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</si>
  <si>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</si>
  <si>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</si>
  <si>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</si>
  <si>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</si>
  <si>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</si>
  <si>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</si>
  <si>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</si>
  <si>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</si>
  <si>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</si>
  <si>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</si>
  <si>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</si>
  <si>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</si>
  <si>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</si>
  <si>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</si>
  <si>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</si>
  <si>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</si>
  <si>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</si>
  <si>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</si>
  <si>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</si>
  <si>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</si>
  <si>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</si>
  <si>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</si>
  <si>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</si>
  <si>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</si>
  <si>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</si>
  <si>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</si>
  <si>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</si>
  <si>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</si>
  <si>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</si>
  <si>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</si>
  <si>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</si>
  <si>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</si>
  <si>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</si>
  <si>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</si>
  <si>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</si>
  <si>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</si>
  <si>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</si>
  <si>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</si>
  <si>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</si>
  <si>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</si>
  <si>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</si>
  <si>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</si>
  <si>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</si>
  <si>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</si>
  <si>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</si>
  <si>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</si>
  <si>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</si>
  <si>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</si>
  <si>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</si>
  <si>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</si>
  <si>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</si>
  <si>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</si>
  <si>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</si>
  <si>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</si>
  <si>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</si>
  <si>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</si>
  <si>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</si>
  <si>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</si>
  <si>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</si>
  <si>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</si>
  <si>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</si>
  <si>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</si>
  <si>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</si>
  <si>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</si>
  <si>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</si>
  <si>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</si>
  <si>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</si>
  <si>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</si>
  <si>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</si>
  <si>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</si>
  <si>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</si>
  <si>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</si>
  <si>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</si>
  <si>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</si>
  <si>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</si>
  <si>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</si>
  <si>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</si>
  <si>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</si>
  <si>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</si>
  <si>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</si>
  <si>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</si>
  <si>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</si>
  <si>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</si>
  <si>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</si>
  <si>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</si>
  <si>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</si>
  <si>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</si>
  <si>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</si>
  <si>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</si>
  <si>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</si>
  <si>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</si>
  <si>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</si>
  <si>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</si>
  <si>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</si>
  <si>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</si>
  <si>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</si>
  <si>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</si>
  <si>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</si>
  <si>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</si>
  <si>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</si>
  <si>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</si>
  <si>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</si>
  <si>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</si>
  <si>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</si>
  <si>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</si>
  <si>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</si>
  <si>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</si>
  <si>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</si>
  <si>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</si>
  <si>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</si>
  <si>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</si>
  <si>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</si>
  <si>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</si>
  <si>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</si>
  <si>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</si>
  <si>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</si>
  <si>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</si>
  <si>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</si>
  <si>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</si>
  <si>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</si>
  <si>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</si>
  <si>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</si>
  <si>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</si>
  <si>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</si>
  <si>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</si>
  <si>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</si>
  <si>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</si>
  <si>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</si>
  <si>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</si>
  <si>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</si>
  <si>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</si>
  <si>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</si>
  <si>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</si>
  <si>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</si>
  <si>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</si>
  <si>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</si>
  <si>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</si>
  <si>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</si>
  <si>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</si>
  <si>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</si>
  <si>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</si>
  <si>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</si>
  <si>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</si>
  <si>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</si>
  <si>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</si>
  <si>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</si>
  <si>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</si>
  <si>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</si>
  <si>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</si>
  <si>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</si>
  <si>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</si>
  <si>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</si>
  <si>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</si>
  <si>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</si>
  <si>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</si>
  <si>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</si>
  <si>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</si>
  <si>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</si>
  <si>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</si>
  <si>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</si>
  <si>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</si>
  <si>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</si>
  <si>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</si>
  <si>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</si>
  <si>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</si>
  <si>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</si>
  <si>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</si>
  <si>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</si>
  <si>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</si>
  <si>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</si>
  <si>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</si>
  <si>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</si>
  <si>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</si>
  <si>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</si>
  <si>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</si>
  <si>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</si>
  <si>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</si>
  <si>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</si>
  <si>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</si>
  <si>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</si>
  <si>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</si>
  <si>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</si>
  <si>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</si>
  <si>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</si>
  <si>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</si>
  <si>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</si>
  <si>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</si>
  <si>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</si>
  <si>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</si>
  <si>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</si>
  <si>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</si>
  <si>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</si>
  <si>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</si>
  <si>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</si>
  <si>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</si>
  <si>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</si>
  <si>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</si>
  <si>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</si>
  <si>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</si>
  <si>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</si>
  <si>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</si>
  <si>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</si>
  <si>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</si>
  <si>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</si>
  <si>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</si>
  <si>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</si>
  <si>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</si>
  <si>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</si>
  <si>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</si>
  <si>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</si>
  <si>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</si>
  <si>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</si>
  <si>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</si>
  <si>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</si>
  <si>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</si>
  <si>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</si>
  <si>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</si>
  <si>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</si>
  <si>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</si>
  <si>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</si>
  <si>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</si>
  <si>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</si>
  <si>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</si>
  <si>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</si>
  <si>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</si>
  <si>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</si>
  <si>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</si>
  <si>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</si>
  <si>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</si>
  <si>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</si>
  <si>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</si>
  <si>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</si>
  <si>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</si>
  <si>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</si>
  <si>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</si>
  <si>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</si>
  <si>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</si>
  <si>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</si>
  <si>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</si>
  <si>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</si>
  <si>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</si>
  <si>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</si>
  <si>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</si>
  <si>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</si>
  <si>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</si>
  <si>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</si>
  <si>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</si>
  <si>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</si>
  <si>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</si>
  <si>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</si>
  <si>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</si>
  <si>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</si>
  <si>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</si>
  <si>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</si>
  <si>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</si>
  <si>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</si>
  <si>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</si>
  <si>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</si>
  <si>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</si>
  <si>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</si>
  <si>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</si>
  <si>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</si>
  <si>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</si>
  <si>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</si>
  <si>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</si>
  <si>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</si>
  <si>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</si>
  <si>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</si>
  <si>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</si>
  <si>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</si>
  <si>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</si>
  <si>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</si>
  <si>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</si>
  <si>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</si>
  <si>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</si>
  <si>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</si>
  <si>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</si>
  <si>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</si>
  <si>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</si>
  <si>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</si>
  <si>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</si>
  <si>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</si>
  <si>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</si>
  <si>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</si>
  <si>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</si>
  <si>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</si>
  <si>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</si>
  <si>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</si>
  <si>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</si>
  <si>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</si>
  <si>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</si>
  <si>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</si>
  <si>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</si>
  <si>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</si>
  <si>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</si>
  <si>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</si>
  <si>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</si>
  <si>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</si>
  <si>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</si>
  <si>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</si>
  <si>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</si>
  <si>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</si>
  <si>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</si>
  <si>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</si>
  <si>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</si>
  <si>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</si>
  <si>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</si>
  <si>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</si>
  <si>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</si>
  <si>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</si>
  <si>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</si>
  <si>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</si>
  <si>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</si>
  <si>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</si>
  <si>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</si>
  <si>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</si>
  <si>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</si>
  <si>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</si>
  <si>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</si>
  <si>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</si>
  <si>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</si>
  <si>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</si>
  <si>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</si>
  <si>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</si>
  <si>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</si>
  <si>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</si>
  <si>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</si>
  <si>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</si>
  <si>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</si>
  <si>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</si>
  <si>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</si>
  <si>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</si>
  <si>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</si>
  <si>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</si>
  <si>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</si>
  <si>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</si>
  <si>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</si>
  <si>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</si>
  <si>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</si>
  <si>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</si>
  <si>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</si>
  <si>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</si>
  <si>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</si>
  <si>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</si>
  <si>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</si>
  <si>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</si>
  <si>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</si>
  <si>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</si>
  <si>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</si>
  <si>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</si>
  <si>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</si>
  <si>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</si>
  <si>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</si>
  <si>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</si>
  <si>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</si>
  <si>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</si>
  <si>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</si>
  <si>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</si>
  <si>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</si>
  <si>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</si>
  <si>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</si>
  <si>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</si>
  <si>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</si>
  <si>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</si>
  <si>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</si>
  <si>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</si>
  <si>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</si>
  <si>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</si>
  <si>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</si>
  <si>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</si>
  <si>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</si>
  <si>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</si>
  <si>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</si>
  <si>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</si>
  <si>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</si>
  <si>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</si>
  <si>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</si>
  <si>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</si>
  <si>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</si>
  <si>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</si>
  <si>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</si>
  <si>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</si>
  <si>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</si>
  <si>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</si>
  <si>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</si>
  <si>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</si>
  <si>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</si>
  <si>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</si>
  <si>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</si>
  <si>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</si>
  <si>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</si>
  <si>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</si>
  <si>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</si>
  <si>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</si>
  <si>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</si>
  <si>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</si>
  <si>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</si>
  <si>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</si>
  <si>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</si>
  <si>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</si>
  <si>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</si>
  <si>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</si>
  <si>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</si>
  <si>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</si>
  <si>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</si>
  <si>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</si>
  <si>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</si>
  <si>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</si>
  <si>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</si>
  <si>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</si>
  <si>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</si>
  <si>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</si>
  <si>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</si>
  <si>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</si>
  <si>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</si>
  <si>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</si>
  <si>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</si>
  <si>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</si>
  <si>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</si>
  <si>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</si>
  <si>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</si>
  <si>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</si>
  <si>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</si>
  <si>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</si>
  <si>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</si>
  <si>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</si>
  <si>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</si>
  <si>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</si>
  <si>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</si>
  <si>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</si>
  <si>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</si>
  <si>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</si>
  <si>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</si>
  <si>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</si>
  <si>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</si>
  <si>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</si>
  <si>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</si>
  <si>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</si>
  <si>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</si>
  <si>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</si>
  <si>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</si>
  <si>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</si>
  <si>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</si>
  <si>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</si>
  <si>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</si>
  <si>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</si>
  <si>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</si>
  <si>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</si>
  <si>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</si>
  <si>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</si>
  <si>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</si>
  <si>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</si>
  <si>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</si>
  <si>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</si>
  <si>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</si>
  <si>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</si>
  <si>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</si>
  <si>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</si>
  <si>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</si>
  <si>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</si>
  <si>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</si>
  <si>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</si>
  <si>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</si>
  <si>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</si>
  <si>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</si>
  <si>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</si>
  <si>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</si>
  <si>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</si>
  <si>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</si>
  <si>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</si>
  <si>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</si>
  <si>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</si>
  <si>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</si>
  <si>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</si>
  <si>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</si>
  <si>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</si>
  <si>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</si>
  <si>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</si>
  <si>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</si>
  <si>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</si>
  <si>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</si>
  <si>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</si>
  <si>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</si>
  <si>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</si>
  <si>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</si>
  <si>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</si>
  <si>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</si>
  <si>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</si>
  <si>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</si>
  <si>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</si>
  <si>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</si>
  <si>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</si>
  <si>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</si>
  <si>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</si>
  <si>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</si>
  <si>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</si>
  <si>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</si>
  <si>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</si>
  <si>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</si>
  <si>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</si>
  <si>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</si>
  <si>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</si>
  <si>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</si>
  <si>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</si>
  <si>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</si>
  <si>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</si>
  <si>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</si>
  <si>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</si>
  <si>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</si>
  <si>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</si>
  <si>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</si>
  <si>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</si>
  <si>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</si>
  <si>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</si>
  <si>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</si>
  <si>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</si>
  <si>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</si>
  <si>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</si>
  <si>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</si>
  <si>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</si>
  <si>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</si>
  <si>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</si>
  <si>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</si>
  <si>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</si>
  <si>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</si>
  <si>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</si>
  <si>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</si>
  <si>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</si>
  <si>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</si>
  <si>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</si>
  <si>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</si>
  <si>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</si>
  <si>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</si>
  <si>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</si>
  <si>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</si>
  <si>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</si>
  <si>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</si>
  <si>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</si>
  <si>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</si>
  <si>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</si>
  <si>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</si>
  <si>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</si>
  <si>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</si>
  <si>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</si>
  <si>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</si>
  <si>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</si>
  <si>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</si>
  <si>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</si>
  <si>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</si>
  <si>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</si>
  <si>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</si>
  <si>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</si>
  <si>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</si>
  <si>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</si>
  <si>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</si>
  <si>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</si>
  <si>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</si>
  <si>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</si>
  <si>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</si>
  <si>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</si>
  <si>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</si>
  <si>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</si>
  <si>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</si>
  <si>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</si>
  <si>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</si>
  <si>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</si>
  <si>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</si>
  <si>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</si>
  <si>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</si>
  <si>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</si>
  <si>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</si>
  <si>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</si>
  <si>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</si>
  <si>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</si>
  <si>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</si>
  <si>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</si>
  <si>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</si>
  <si>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</si>
  <si>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</si>
  <si>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</si>
  <si>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</si>
  <si>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</si>
  <si>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</si>
  <si>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</si>
  <si>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</si>
  <si>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</si>
  <si>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</si>
  <si>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</si>
  <si>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</si>
  <si>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</si>
  <si>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</si>
  <si>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</si>
  <si>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</si>
  <si>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</si>
  <si>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</si>
  <si>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</si>
  <si>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</si>
  <si>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</si>
  <si>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</si>
  <si>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</si>
  <si>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</si>
  <si>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</si>
  <si>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</si>
  <si>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</si>
  <si>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</si>
  <si>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</si>
  <si>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</si>
  <si>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</si>
  <si>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</si>
  <si>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</si>
  <si>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</si>
  <si>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</si>
  <si>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</si>
  <si>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</si>
  <si>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</si>
  <si>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</si>
  <si>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</si>
  <si>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</si>
  <si>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</si>
  <si>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</si>
  <si>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</si>
  <si>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</si>
  <si>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</si>
  <si>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</si>
  <si>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</si>
  <si>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</si>
  <si>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</si>
  <si>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</si>
  <si>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</si>
  <si>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</si>
  <si>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</si>
  <si>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</si>
  <si>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</si>
  <si>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</si>
  <si>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</si>
  <si>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</si>
  <si>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</si>
  <si>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</si>
  <si>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</si>
  <si>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</si>
  <si>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</si>
  <si>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</si>
  <si>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</si>
  <si>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</si>
  <si>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</si>
  <si>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</si>
  <si>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</si>
  <si>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</si>
  <si>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</si>
  <si>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</si>
  <si>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</si>
  <si>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</si>
  <si>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</si>
  <si>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</si>
  <si>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</si>
  <si>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</si>
  <si>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</si>
  <si>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</si>
  <si>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</si>
  <si>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</si>
  <si>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</si>
  <si>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</si>
  <si>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</si>
  <si>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</si>
  <si>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</si>
  <si>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</si>
  <si>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</si>
  <si>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</si>
  <si>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</si>
  <si>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</si>
  <si>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</si>
  <si>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</si>
  <si>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</si>
  <si>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</si>
  <si>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</si>
  <si>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</si>
  <si>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</si>
  <si>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</si>
  <si>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</si>
  <si>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</si>
  <si>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</si>
  <si>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</si>
  <si>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</si>
  <si>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</si>
  <si>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</si>
  <si>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</si>
  <si>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</si>
  <si>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</si>
  <si>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</si>
  <si>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</si>
  <si>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</si>
  <si>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</si>
  <si>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</si>
  <si>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</si>
  <si>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</si>
  <si>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</si>
  <si>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</si>
  <si>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</si>
  <si>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</si>
  <si>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</si>
  <si>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</si>
  <si>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</si>
  <si>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</si>
  <si>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</si>
  <si>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</si>
  <si>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</si>
  <si>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</si>
  <si>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</si>
  <si>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</si>
  <si>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</si>
  <si>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</si>
  <si>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</si>
  <si>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</si>
  <si>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</si>
  <si>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</si>
  <si>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</si>
  <si>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</si>
  <si>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</si>
  <si>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</si>
  <si>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</si>
  <si>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</si>
  <si>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</si>
  <si>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</si>
  <si>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</si>
  <si>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</si>
  <si>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</si>
  <si>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</si>
  <si>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</si>
  <si>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</si>
  <si>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</si>
  <si>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</si>
  <si>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</si>
  <si>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</si>
  <si>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</si>
  <si>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</si>
  <si>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</si>
  <si>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</si>
  <si>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</si>
  <si>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</si>
  <si>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</si>
  <si>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</si>
  <si>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</si>
  <si>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</si>
  <si>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</si>
  <si>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</si>
  <si>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</si>
  <si>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</si>
  <si>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</si>
  <si>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</si>
  <si>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</si>
  <si>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</si>
  <si>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</si>
  <si>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</si>
  <si>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</si>
  <si>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</si>
  <si>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</si>
  <si>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</si>
  <si>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</si>
  <si>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</si>
  <si>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</si>
  <si>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</si>
  <si>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</si>
  <si>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</si>
  <si>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</si>
  <si>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</si>
  <si>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</si>
  <si>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</si>
  <si>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</si>
  <si>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</si>
  <si>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</si>
  <si>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</si>
  <si>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</si>
  <si>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</si>
  <si>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</si>
  <si>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</si>
  <si>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</si>
  <si>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</si>
  <si>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</si>
  <si>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</si>
  <si>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</si>
  <si>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</si>
  <si>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</si>
  <si>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</si>
  <si>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</si>
  <si>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</si>
  <si>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</si>
  <si>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</si>
  <si>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</si>
  <si>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</si>
  <si>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</si>
  <si>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</si>
  <si>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</si>
  <si>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</si>
  <si>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</si>
  <si>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</si>
  <si>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</si>
  <si>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</si>
  <si>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</si>
  <si>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</si>
  <si>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</si>
  <si>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</si>
  <si>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</si>
  <si>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</si>
  <si>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</si>
  <si>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</si>
  <si>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</si>
  <si>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</si>
  <si>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</si>
  <si>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</si>
  <si>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</si>
  <si>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</si>
  <si>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</si>
  <si>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</si>
  <si>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</si>
  <si>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</si>
  <si>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</si>
  <si>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</si>
  <si>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</si>
  <si>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</si>
  <si>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</si>
  <si>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</si>
  <si>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</si>
  <si>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</si>
  <si>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</si>
  <si>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</si>
  <si>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</si>
  <si>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</si>
  <si>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</si>
  <si>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</si>
  <si>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</si>
  <si>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</si>
  <si>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</si>
  <si>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</si>
  <si>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</si>
  <si>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</si>
  <si>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</si>
  <si>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</si>
  <si>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</si>
  <si>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</si>
  <si>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</si>
  <si>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</si>
  <si>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</si>
  <si>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</si>
  <si>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</si>
  <si>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</si>
  <si>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</si>
  <si>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</si>
  <si>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</si>
  <si>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</si>
  <si>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</si>
  <si>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</si>
  <si>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</si>
  <si>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</si>
  <si>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</si>
  <si>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</si>
  <si>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</si>
  <si>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</si>
  <si>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</si>
  <si>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</si>
  <si>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</si>
  <si>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</si>
  <si>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</si>
  <si>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</si>
  <si>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</si>
  <si>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</si>
  <si>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</si>
  <si>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</si>
  <si>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</si>
  <si>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</si>
  <si>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</si>
  <si>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</si>
  <si>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</si>
  <si>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</si>
  <si>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</si>
  <si>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</si>
  <si>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</si>
  <si>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</si>
  <si>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</si>
  <si>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</si>
  <si>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</si>
  <si>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</si>
  <si>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</si>
  <si>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</si>
  <si>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</si>
  <si>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</si>
  <si>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</si>
  <si>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</si>
  <si>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</si>
  <si>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</si>
  <si>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</si>
  <si>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</si>
  <si>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</si>
  <si>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</si>
  <si>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</si>
  <si>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</si>
  <si>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</si>
  <si>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</si>
  <si>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</si>
  <si>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</si>
  <si>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</si>
  <si>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</si>
  <si>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</si>
  <si>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</si>
  <si>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</si>
  <si>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</si>
  <si>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</si>
  <si>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</si>
  <si>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</si>
  <si>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</si>
  <si>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</si>
  <si>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</si>
  <si>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</si>
  <si>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</si>
  <si>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</si>
  <si>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</si>
  <si>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</si>
  <si>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</si>
  <si>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</si>
  <si>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</si>
  <si>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</si>
  <si>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</si>
  <si>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</si>
  <si>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</si>
  <si>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</si>
  <si>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</si>
  <si>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</si>
  <si>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</si>
  <si>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</si>
  <si>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</si>
  <si>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</si>
  <si>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</si>
  <si>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</si>
  <si>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</si>
  <si>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</si>
  <si>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</si>
  <si>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</si>
  <si>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</si>
  <si>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</si>
  <si>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</si>
  <si>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</si>
  <si>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</si>
  <si>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</si>
  <si>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</si>
  <si>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</si>
  <si>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</si>
  <si>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</si>
  <si>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</si>
  <si>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</si>
  <si>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</si>
  <si>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</si>
  <si>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</si>
  <si>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</si>
  <si>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</si>
  <si>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</si>
  <si>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</si>
  <si>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</si>
  <si>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</si>
  <si>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</si>
  <si>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</si>
  <si>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</si>
  <si>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</si>
  <si>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</si>
  <si>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</si>
  <si>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</si>
  <si>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</si>
  <si>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</si>
  <si>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</si>
  <si>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</si>
  <si>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</si>
  <si>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</si>
  <si>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</si>
  <si>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</si>
  <si>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</si>
  <si>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</si>
  <si>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</si>
  <si>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</si>
  <si>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</si>
  <si>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</si>
  <si>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</si>
  <si>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</si>
  <si>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</si>
  <si>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</si>
  <si>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</si>
  <si>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</si>
  <si>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</si>
  <si>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</si>
  <si>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</si>
  <si>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</si>
  <si>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</si>
  <si>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</si>
  <si>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</si>
  <si>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</si>
  <si>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</si>
  <si>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</si>
  <si>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</si>
  <si>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</si>
  <si>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</si>
  <si>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</si>
  <si>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</si>
  <si>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</si>
  <si>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</si>
  <si>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</si>
  <si>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</si>
  <si>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</si>
  <si>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</si>
  <si>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</si>
  <si>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</si>
  <si>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</si>
  <si>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</si>
  <si>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</si>
  <si>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</si>
  <si>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</si>
  <si>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</si>
  <si>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</si>
  <si>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</si>
  <si>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</si>
  <si>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</si>
  <si>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</si>
  <si>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</si>
  <si>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</si>
  <si>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</si>
  <si>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</si>
  <si>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</si>
  <si>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</si>
  <si>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</si>
  <si>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</si>
  <si>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</si>
  <si>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</si>
  <si>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</si>
  <si>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</si>
  <si>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</si>
  <si>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</si>
  <si>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</si>
  <si>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</si>
  <si>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</si>
  <si>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</si>
  <si>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</si>
  <si>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</si>
  <si>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</si>
  <si>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</si>
  <si>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</si>
  <si>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</si>
  <si>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</si>
  <si>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</si>
  <si>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</si>
  <si>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</si>
  <si>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</si>
  <si>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</si>
  <si>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</si>
  <si>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</si>
  <si>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</si>
  <si>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</si>
  <si>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</si>
  <si>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</si>
  <si>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</si>
  <si>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</si>
  <si>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</si>
  <si>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</si>
  <si>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</si>
  <si>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</si>
  <si>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</si>
  <si>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</si>
  <si>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</si>
  <si>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</si>
  <si>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</si>
  <si>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</si>
  <si>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</si>
  <si>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</si>
  <si>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</si>
  <si>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</si>
  <si>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</si>
  <si>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</si>
  <si>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</si>
  <si>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</si>
  <si>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</si>
  <si>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</si>
  <si>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</si>
  <si>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</si>
  <si>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</si>
  <si>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</si>
  <si>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</si>
  <si>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</si>
  <si>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</si>
  <si>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</si>
  <si>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</si>
  <si>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</si>
  <si>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</si>
  <si>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</si>
  <si>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</si>
  <si>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</si>
  <si>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</si>
  <si>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</si>
  <si>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</si>
  <si>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</si>
  <si>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</si>
  <si>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</si>
  <si>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</si>
  <si>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</si>
  <si>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</si>
  <si>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</si>
  <si>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</si>
  <si>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</si>
  <si>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</si>
  <si>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</si>
  <si>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</si>
  <si>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</si>
  <si>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</si>
  <si>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</si>
  <si>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</si>
  <si>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</si>
  <si>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</si>
  <si>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</si>
  <si>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</si>
  <si>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</si>
  <si>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</si>
  <si>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</si>
  <si>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</si>
  <si>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</si>
  <si>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</si>
  <si>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</si>
  <si>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</si>
  <si>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</si>
  <si>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</si>
  <si>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</si>
  <si>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</si>
  <si>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</si>
  <si>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</si>
  <si>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</si>
  <si>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</si>
  <si>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</si>
  <si>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</si>
  <si>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</si>
  <si>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</si>
  <si>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</si>
  <si>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</si>
  <si>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</si>
  <si>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</si>
  <si>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</si>
  <si>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</si>
  <si>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</si>
  <si>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</si>
  <si>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</si>
  <si>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</si>
  <si>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</si>
  <si>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</si>
  <si>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</si>
  <si>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</si>
  <si>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</si>
  <si>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</si>
  <si>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</si>
  <si>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</si>
  <si>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</si>
  <si>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</si>
  <si>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</si>
  <si>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</si>
  <si>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</si>
  <si>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</si>
  <si>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</si>
  <si>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</si>
  <si>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</si>
  <si>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</si>
  <si>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</si>
  <si>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</si>
  <si>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</si>
  <si>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</si>
  <si>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</si>
  <si>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</si>
  <si>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</si>
  <si>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</si>
  <si>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</si>
  <si>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</si>
  <si>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</si>
  <si>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</si>
  <si>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</si>
  <si>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</si>
  <si>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</si>
  <si>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</si>
  <si>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</si>
  <si>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</si>
  <si>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</si>
  <si>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</si>
  <si>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</si>
  <si>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</si>
  <si>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</si>
  <si>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</si>
  <si>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</si>
  <si>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</si>
  <si>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</si>
  <si>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</si>
  <si>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</si>
  <si>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</si>
  <si>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</si>
  <si>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</si>
  <si>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</si>
  <si>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</si>
  <si>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</si>
  <si>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</si>
  <si>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</si>
  <si>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</si>
  <si>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</si>
  <si>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</si>
  <si>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</si>
  <si>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</si>
  <si>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</si>
  <si>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</si>
  <si>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</si>
  <si>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</si>
  <si>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</si>
  <si>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</si>
  <si>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</si>
  <si>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</si>
  <si>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</si>
  <si>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</si>
  <si>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</si>
  <si>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</si>
  <si>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</si>
  <si>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</si>
  <si>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</si>
  <si>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</si>
  <si>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</si>
  <si>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</si>
  <si>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</si>
  <si>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</si>
  <si>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</si>
  <si>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</si>
  <si>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</si>
  <si>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</si>
  <si>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</si>
  <si>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</si>
  <si>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</si>
  <si>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</si>
  <si>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</si>
  <si>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</si>
  <si>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</si>
  <si>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</si>
  <si>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</si>
  <si>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</si>
  <si>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</si>
  <si>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</si>
  <si>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</si>
  <si>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</si>
  <si>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</si>
  <si>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</si>
  <si>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</si>
  <si>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</si>
  <si>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</si>
  <si>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</si>
  <si>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</si>
  <si>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</si>
  <si>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</si>
  <si>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</si>
  <si>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</si>
  <si>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</si>
  <si>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</si>
  <si>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</si>
  <si>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</si>
  <si>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</si>
  <si>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</si>
  <si>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</si>
  <si>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</si>
  <si>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</si>
  <si>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</si>
  <si>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</si>
  <si>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</si>
  <si>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</si>
  <si>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</si>
  <si>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</si>
  <si>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</si>
  <si>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</si>
  <si>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</si>
  <si>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</si>
  <si>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</si>
  <si>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</si>
  <si>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</si>
  <si>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</si>
  <si>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</si>
  <si>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</si>
  <si>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</si>
  <si>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</si>
  <si>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</si>
  <si>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</si>
  <si>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</si>
  <si>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</si>
  <si>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</si>
  <si>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</si>
  <si>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</si>
  <si>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</si>
  <si>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</si>
  <si>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</si>
  <si>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</si>
  <si>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</si>
  <si>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</si>
  <si>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</si>
  <si>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</si>
  <si>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</si>
  <si>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</si>
  <si>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</si>
  <si>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</si>
  <si>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</si>
  <si>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</si>
  <si>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</si>
  <si>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</si>
  <si>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</si>
  <si>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</si>
  <si>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</si>
  <si>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</si>
  <si>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</si>
  <si>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</si>
  <si>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</si>
  <si>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</si>
  <si>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</si>
  <si>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</si>
  <si>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</si>
  <si>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</si>
  <si>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</si>
  <si>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</si>
  <si>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</si>
  <si>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</si>
  <si>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</si>
  <si>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</si>
  <si>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</si>
  <si>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</si>
  <si>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</si>
  <si>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</si>
  <si>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</si>
  <si>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</si>
  <si>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</si>
  <si>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</si>
  <si>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</si>
  <si>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</si>
  <si>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</si>
  <si>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</si>
  <si>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</si>
  <si>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</si>
  <si>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</si>
  <si>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</si>
  <si>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</si>
  <si>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</si>
  <si>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</si>
  <si>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</si>
  <si>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</si>
  <si>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</si>
  <si>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</si>
  <si>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</si>
  <si>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</si>
  <si>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</si>
  <si>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</si>
  <si>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</si>
  <si>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</si>
  <si>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</si>
  <si>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</si>
  <si>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</si>
  <si>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</si>
  <si>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</si>
  <si>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</si>
  <si>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</si>
  <si>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</si>
  <si>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</si>
  <si>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</si>
  <si>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</si>
  <si>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</si>
  <si>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</si>
  <si>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</si>
  <si>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</si>
  <si>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</si>
  <si>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</si>
  <si>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</si>
  <si>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</si>
  <si>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</si>
  <si>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</si>
  <si>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</si>
  <si>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</si>
  <si>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</si>
  <si>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</si>
  <si>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</si>
  <si>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</si>
  <si>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</si>
  <si>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</si>
  <si>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</si>
  <si>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</si>
  <si>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</si>
  <si>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</si>
  <si>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</si>
  <si>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</si>
  <si>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</si>
  <si>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</si>
  <si>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</si>
  <si>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</si>
  <si>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</si>
  <si>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</si>
  <si>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</si>
  <si>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</si>
  <si>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</si>
  <si>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</si>
  <si>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</si>
  <si>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</si>
  <si>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</si>
  <si>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</si>
  <si>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</si>
  <si>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</si>
  <si>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</si>
  <si>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</si>
  <si>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</si>
  <si>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</si>
  <si>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</si>
  <si>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</si>
  <si>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</si>
  <si>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</si>
  <si>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</si>
  <si>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</si>
  <si>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</si>
  <si>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</si>
  <si>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</si>
  <si>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</si>
  <si>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</si>
  <si>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</si>
  <si>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</si>
  <si>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</si>
  <si>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</si>
  <si>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</si>
  <si>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</si>
  <si>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</si>
  <si>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</si>
  <si>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</si>
  <si>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</si>
  <si>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</si>
  <si>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</si>
  <si>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</si>
  <si>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</si>
  <si>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</si>
  <si>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</si>
  <si>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</si>
  <si>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</si>
  <si>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</si>
  <si>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</si>
  <si>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</si>
  <si>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</si>
  <si>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</si>
  <si>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</si>
  <si>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</si>
  <si>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</si>
  <si>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</si>
  <si>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</si>
  <si>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</si>
  <si>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</si>
  <si>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</si>
  <si>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</si>
  <si>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</si>
  <si>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</si>
  <si>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</si>
  <si>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</si>
  <si>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</si>
  <si>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</si>
  <si>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</si>
  <si>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</si>
  <si>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</si>
  <si>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</si>
  <si>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</si>
  <si>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</si>
  <si>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</si>
  <si>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</si>
  <si>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</si>
  <si>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</si>
  <si>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</si>
  <si>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</si>
  <si>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</si>
  <si>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</si>
  <si>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</si>
  <si>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</si>
  <si>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</si>
  <si>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</si>
  <si>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</si>
  <si>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</si>
  <si>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</si>
  <si>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</si>
  <si>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</si>
  <si>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</si>
  <si>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</si>
  <si>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</si>
  <si>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</si>
  <si>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</si>
  <si>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</si>
  <si>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</si>
  <si>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</si>
  <si>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</si>
  <si>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</si>
  <si>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</si>
  <si>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</si>
  <si>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</si>
  <si>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</si>
  <si>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</si>
  <si>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</si>
  <si>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</si>
  <si>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</si>
  <si>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</si>
  <si>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</si>
  <si>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</si>
  <si>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</si>
  <si>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</si>
  <si>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</si>
  <si>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</si>
  <si>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</si>
  <si>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</si>
  <si>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</si>
  <si>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</si>
  <si>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</si>
  <si>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</si>
  <si>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</si>
  <si>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</si>
  <si>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</si>
  <si>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</si>
  <si>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</si>
  <si>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</si>
  <si>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</si>
  <si>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</si>
  <si>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</si>
  <si>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</si>
  <si>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</si>
  <si>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</si>
  <si>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</si>
  <si>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</si>
  <si>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</si>
  <si>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</si>
  <si>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</si>
  <si>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</si>
  <si>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</si>
  <si>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</si>
  <si>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</si>
  <si>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</si>
  <si>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</si>
  <si>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</si>
  <si>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</si>
  <si>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</si>
  <si>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</si>
  <si>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</si>
  <si>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</si>
  <si>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</si>
  <si>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</si>
  <si>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</si>
  <si>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</si>
  <si>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</si>
  <si>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</si>
  <si>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</si>
  <si>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</si>
  <si>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</si>
  <si>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</si>
  <si>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</si>
  <si>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</si>
  <si>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</si>
  <si>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</si>
  <si>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</si>
  <si>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</si>
  <si>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</si>
  <si>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</si>
  <si>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</si>
  <si>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</si>
  <si>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</si>
  <si>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</si>
  <si>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</si>
  <si>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</si>
  <si>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</si>
  <si>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</si>
  <si>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</si>
  <si>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</si>
  <si>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</si>
  <si>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</si>
  <si>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</si>
  <si>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</si>
  <si>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</si>
  <si>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</si>
  <si>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</si>
  <si>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</si>
  <si>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</si>
  <si>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</si>
  <si>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</si>
  <si>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</si>
  <si>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</si>
  <si>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</si>
  <si>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</si>
  <si>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</si>
  <si>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</si>
  <si>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</si>
  <si>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</si>
  <si>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</si>
  <si>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</si>
  <si>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</si>
  <si>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</si>
  <si>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</si>
  <si>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</si>
  <si>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</si>
  <si>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</si>
  <si>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</si>
  <si>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</si>
  <si>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</si>
  <si>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</si>
  <si>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</si>
  <si>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</si>
  <si>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</si>
  <si>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</si>
  <si>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</si>
  <si>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</si>
  <si>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</si>
  <si>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</si>
  <si>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</si>
  <si>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</si>
  <si>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</si>
  <si>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</si>
  <si>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</si>
  <si>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</si>
  <si>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</si>
  <si>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</si>
  <si>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</si>
  <si>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</si>
  <si>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</si>
  <si>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</si>
  <si>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</si>
  <si>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</si>
  <si>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</si>
  <si>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</si>
  <si>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</si>
  <si>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</si>
  <si>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</si>
  <si>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</si>
  <si>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</si>
  <si>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</si>
  <si>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</si>
  <si>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</si>
  <si>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</si>
  <si>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</si>
  <si>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</si>
  <si>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</si>
  <si>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</si>
  <si>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</si>
  <si>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</si>
  <si>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</si>
  <si>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</si>
  <si>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</si>
  <si>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</si>
  <si>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</si>
  <si>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</si>
  <si>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</si>
  <si>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</si>
  <si>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</si>
  <si>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</si>
  <si>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</si>
  <si>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</si>
  <si>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</si>
  <si>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</si>
  <si>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</si>
  <si>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</si>
  <si>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</si>
  <si>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</si>
  <si>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</si>
  <si>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</si>
  <si>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</si>
  <si>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</si>
  <si>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</si>
  <si>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</si>
  <si>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</si>
  <si>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</si>
  <si>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</si>
  <si>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</si>
  <si>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</si>
  <si>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</si>
  <si>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</si>
  <si>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</si>
  <si>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</si>
  <si>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</si>
  <si>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</si>
  <si>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</si>
  <si>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</si>
  <si>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</si>
  <si>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</si>
  <si>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</si>
  <si>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</si>
  <si>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</si>
  <si>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</si>
  <si>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</si>
  <si>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</si>
  <si>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</si>
  <si>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</si>
  <si>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</si>
  <si>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</si>
  <si>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</si>
  <si>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</si>
  <si>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</si>
  <si>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</si>
  <si>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</si>
  <si>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</si>
  <si>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</si>
  <si>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</si>
  <si>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</si>
  <si>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</si>
  <si>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</si>
  <si>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</si>
  <si>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</si>
  <si>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</si>
  <si>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</si>
  <si>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</si>
  <si>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</si>
  <si>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</si>
  <si>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</si>
  <si>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</si>
  <si>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</si>
  <si>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</si>
  <si>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</si>
  <si>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</si>
  <si>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</si>
  <si>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</si>
  <si>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</si>
  <si>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</si>
  <si>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</si>
  <si>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</si>
  <si>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</si>
  <si>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</si>
  <si>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</si>
  <si>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</si>
  <si>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</si>
  <si>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</si>
  <si>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</si>
  <si>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</si>
  <si>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</si>
  <si>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</si>
  <si>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</si>
  <si>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</si>
  <si>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</si>
  <si>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</si>
  <si>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</si>
  <si>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</si>
  <si>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</si>
  <si>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</si>
  <si>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</si>
  <si>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</si>
  <si>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</si>
  <si>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</si>
  <si>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</si>
  <si>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</si>
  <si>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</si>
  <si>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</si>
  <si>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</si>
  <si>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</si>
  <si>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</si>
  <si>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</si>
  <si>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</si>
  <si>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</si>
  <si>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</si>
  <si>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</si>
  <si>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</si>
  <si>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</si>
  <si>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</si>
  <si>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</si>
  <si>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</si>
  <si>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</si>
  <si>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</si>
  <si>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</si>
  <si>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</si>
  <si>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</si>
  <si>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</si>
  <si>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</si>
  <si>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</si>
  <si>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</si>
  <si>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</si>
  <si>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</si>
  <si>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</si>
  <si>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</si>
  <si>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</si>
  <si>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</si>
  <si>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</si>
  <si>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</si>
  <si>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</si>
  <si>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</si>
  <si>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</si>
  <si>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</si>
  <si>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</si>
  <si>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</si>
  <si>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</si>
  <si>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</si>
  <si>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</si>
  <si>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</si>
  <si>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</si>
  <si>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</si>
  <si>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</si>
  <si>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</si>
  <si>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</si>
  <si>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</si>
  <si>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</si>
  <si>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</si>
  <si>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</si>
  <si>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</si>
  <si>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</si>
  <si>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</si>
  <si>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</si>
  <si>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</si>
  <si>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</si>
  <si>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</si>
  <si>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</si>
  <si>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</si>
  <si>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</si>
  <si>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</si>
  <si>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</si>
  <si>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</si>
  <si>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</si>
  <si>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</si>
  <si>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</si>
  <si>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</si>
  <si>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</si>
  <si>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</si>
  <si>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</si>
  <si>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</si>
  <si>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</si>
  <si>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</si>
  <si>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</si>
  <si>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</si>
  <si>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</si>
  <si>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</si>
  <si>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</si>
  <si>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</si>
  <si>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</si>
  <si>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</si>
  <si>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</si>
  <si>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</si>
  <si>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</si>
  <si>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</si>
  <si>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</si>
  <si>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</si>
  <si>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</si>
  <si>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</si>
  <si>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</si>
  <si>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</si>
  <si>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</si>
  <si>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</si>
  <si>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</si>
  <si>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</si>
  <si>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</si>
  <si>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</si>
  <si>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</si>
  <si>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</si>
  <si>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</si>
  <si>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</si>
  <si>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</si>
  <si>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</si>
  <si>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</si>
  <si>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</si>
  <si>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</si>
  <si>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</si>
  <si>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</si>
  <si>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</si>
  <si>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</si>
  <si>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</si>
  <si>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</si>
  <si>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</si>
  <si>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</si>
  <si>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</si>
  <si>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</si>
  <si>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</si>
  <si>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</si>
  <si>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</si>
  <si>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</si>
  <si>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</si>
  <si>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</si>
  <si>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</si>
  <si>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</si>
  <si>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</si>
  <si>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</si>
  <si>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</si>
  <si>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</si>
  <si>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</si>
  <si>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</si>
  <si>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</si>
  <si>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</si>
  <si>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</si>
  <si>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</si>
  <si>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</si>
  <si>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</si>
  <si>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</si>
  <si>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</si>
  <si>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</si>
  <si>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</si>
  <si>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</si>
  <si>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</si>
  <si>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</si>
  <si>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</si>
  <si>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</si>
  <si>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</si>
  <si>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</si>
  <si>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</si>
  <si>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</si>
  <si>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</si>
  <si>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</si>
  <si>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</si>
  <si>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</si>
  <si>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</si>
  <si>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</si>
  <si>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</si>
  <si>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</si>
  <si>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</si>
  <si>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</si>
  <si>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</si>
  <si>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</si>
  <si>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</si>
  <si>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</si>
  <si>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</si>
  <si>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</si>
  <si>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</si>
  <si>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</si>
  <si>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</si>
  <si>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</si>
  <si>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</si>
  <si>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</si>
  <si>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</si>
  <si>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</si>
  <si>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</si>
  <si>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</si>
  <si>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</si>
  <si>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</si>
  <si>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</si>
  <si>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</si>
  <si>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</si>
  <si>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</si>
  <si>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</si>
  <si>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</si>
  <si>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</si>
  <si>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</si>
  <si>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</si>
  <si>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</si>
  <si>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</si>
  <si>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</si>
  <si>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</si>
  <si>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</si>
  <si>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</si>
  <si>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</si>
  <si>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</si>
  <si>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</si>
  <si>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</si>
  <si>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</si>
  <si>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</si>
  <si>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</si>
  <si>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</si>
  <si>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</si>
  <si>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</si>
  <si>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</si>
  <si>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</si>
  <si>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</si>
  <si>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</si>
  <si>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</si>
  <si>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</si>
  <si>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</si>
  <si>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</si>
  <si>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</si>
  <si>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</si>
  <si>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</si>
  <si>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</si>
  <si>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</si>
  <si>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</si>
  <si>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</si>
  <si>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</si>
  <si>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</si>
  <si>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</si>
  <si>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</si>
  <si>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</si>
  <si>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</si>
  <si>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</si>
  <si>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</si>
  <si>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</si>
  <si>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</si>
  <si>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</si>
  <si>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</si>
  <si>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</si>
  <si>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</si>
  <si>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</si>
  <si>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公寓</t>
    <phoneticPr fontId="7" type="noConversion"/>
  </si>
  <si>
    <t>成新度</t>
  </si>
  <si>
    <t>收益法 (元)</t>
  </si>
  <si>
    <t>押一</t>
  </si>
  <si>
    <t>钢混</t>
  </si>
  <si>
    <t>非生产用房</t>
  </si>
  <si>
    <t>否</t>
  </si>
  <si>
    <t>比较法</t>
  </si>
  <si>
    <t>城镇住宅用地</t>
  </si>
  <si>
    <t>估价对象容积率</t>
  </si>
  <si>
    <t>无</t>
  </si>
  <si>
    <t>500米范围内</t>
  </si>
  <si>
    <t>通路</t>
  </si>
  <si>
    <t>通电</t>
  </si>
  <si>
    <t>通讯</t>
  </si>
  <si>
    <t>通上水</t>
  </si>
  <si>
    <t>通下水</t>
  </si>
  <si>
    <t>通热</t>
  </si>
  <si>
    <t>平整</t>
  </si>
  <si>
    <t>与级别开发程度不一致</t>
  </si>
  <si>
    <t>较好</t>
  </si>
  <si>
    <t>好</t>
  </si>
  <si>
    <t>一般</t>
  </si>
  <si>
    <t>未包含在土地购买价格中</t>
  </si>
  <si>
    <t>已包含在土地取得成本中</t>
  </si>
  <si>
    <t>https://www.hdhjds.cn/</t>
  </si>
  <si>
    <t>https://bj.lianjia.com/zufang/BJ2037377466552549376.html</t>
    <phoneticPr fontId="134" type="noConversion"/>
  </si>
  <si>
    <t>https://beijing.anjuke.com/community/huxingtu/1904632/</t>
    <phoneticPr fontId="134" type="noConversion"/>
  </si>
  <si>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</si>
  <si>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</si>
  <si>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</si>
  <si>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</si>
  <si>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</si>
  <si>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</si>
  <si>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</si>
  <si>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</si>
  <si>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</si>
  <si>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</si>
  <si>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</si>
  <si>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</si>
  <si>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</si>
  <si>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</si>
  <si>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北京市海淀区</t>
  </si>
  <si>
    <t>大钟寺13号院1号楼12层12B10</t>
  </si>
  <si>
    <t>华杰大厦</t>
  </si>
  <si>
    <t>商品房</t>
  </si>
  <si>
    <t>北</t>
    <phoneticPr fontId="134" type="noConversion"/>
  </si>
  <si>
    <t>大钟寺13号院1号楼9层9B9</t>
  </si>
  <si>
    <t>华杰大厦</t>
    <phoneticPr fontId="134" type="noConversion"/>
  </si>
  <si>
    <t>13（-3）</t>
  </si>
  <si>
    <t>南</t>
    <phoneticPr fontId="134" type="noConversion"/>
  </si>
  <si>
    <t>大钟寺13号院1号楼8B9</t>
  </si>
  <si>
    <t>大钟寺13号院1号楼8B7</t>
  </si>
  <si>
    <t>大钟寺13号院1号楼5层5B12</t>
  </si>
  <si>
    <t>13（-03）</t>
  </si>
  <si>
    <t>大钟寺13号院1号楼5层5A1</t>
  </si>
  <si>
    <t>大钟寺13号院1号楼5层5A3</t>
  </si>
  <si>
    <t>大钟寺13号院1号楼5A6</t>
  </si>
  <si>
    <t>大钟寺13号院1号楼5层5A10</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</si>
  <si>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</si>
  <si>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</si>
  <si>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</si>
  <si>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</si>
  <si>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</si>
  <si>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</si>
  <si>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</si>
  <si>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</si>
  <si>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</si>
  <si>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</si>
  <si>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</si>
  <si>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</si>
  <si>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</si>
  <si>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</si>
  <si>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</si>
  <si>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</si>
  <si>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</si>
  <si>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</si>
  <si>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</si>
  <si>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</si>
  <si>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</si>
  <si>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</si>
  <si>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</si>
  <si>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</si>
  <si>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</si>
  <si>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</si>
  <si>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</si>
  <si>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</si>
  <si>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</si>
  <si>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</si>
  <si>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</si>
  <si>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</si>
  <si>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</si>
  <si>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</si>
  <si>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</si>
  <si>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</si>
  <si>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</si>
  <si>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</si>
  <si>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</si>
  <si>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</si>
  <si>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</si>
  <si>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</si>
  <si>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</si>
  <si>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</si>
  <si>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</si>
  <si>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</si>
  <si>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</si>
  <si>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</si>
  <si>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</si>
  <si>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</si>
  <si>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</si>
  <si>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</si>
  <si>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</si>
  <si>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</si>
  <si>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</si>
  <si>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</si>
  <si>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</si>
  <si>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</si>
  <si>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</si>
  <si>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</si>
  <si>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</si>
  <si>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</si>
  <si>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</si>
  <si>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</si>
  <si>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</si>
  <si>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普通装修</t>
  </si>
  <si>
    <t>单套模式</t>
  </si>
  <si>
    <t>售价</t>
  </si>
  <si>
    <t>部分缴纳</t>
  </si>
  <si>
    <t>成本法</t>
  </si>
  <si>
    <t>收益法</t>
  </si>
  <si>
    <t>https://baike.baidu.com/item/%E5%8D%8E%E6%9D%B0%E5%A4%A7%E5%8E%A6/2396309</t>
    <phoneticPr fontId="134" type="noConversion"/>
  </si>
  <si>
    <t>https://paimai.jd.com/304317437</t>
    <phoneticPr fontId="134" type="noConversion"/>
  </si>
  <si>
    <t>评估价</t>
    <phoneticPr fontId="134" type="noConversion"/>
  </si>
  <si>
    <t>成交价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</si>
</sst>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u/>
      <sz val="11"/>
      <color theme="10"/>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11"/>
      <color rgb="FF000000"/>
      <name val="宋体"/>
      <family val="3"/>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272" fillId="0" borderId="0" xfId="0" applyFont="1">
      <alignment vertical="center"/>
    </xf>
    <xf numFmtId="0" fontId="95" fillId="0" borderId="0" xfId="0" applyFont="1">
      <alignment vertical="center"/>
    </xf>
    <xf numFmtId="0" fontId="273" fillId="0" borderId="0" xfId="19">
      <alignment vertical="center"/>
    </xf>
    <xf numFmtId="0" fontId="274" fillId="22" borderId="176" xfId="0" applyFont="1" applyFill="1" applyBorder="1" applyAlignment="1">
      <alignment horizontal="center" vertical="center" wrapText="1"/>
    </xf>
    <xf numFmtId="0" fontId="275" fillId="12" borderId="177" xfId="0" applyFont="1" applyFill="1" applyBorder="1" applyAlignment="1">
      <alignment horizontal="center" vertical="center" wrapText="1"/>
    </xf>
    <xf numFmtId="31" fontId="275" fillId="12" borderId="177" xfId="0" applyNumberFormat="1" applyFont="1" applyFill="1" applyBorder="1" applyAlignment="1">
      <alignment horizontal="center" vertical="center" wrapText="1"/>
    </xf>
    <xf numFmtId="0" fontId="276" fillId="12" borderId="177" xfId="0" applyFont="1" applyFill="1" applyBorder="1" applyAlignment="1">
      <alignment horizontal="center" vertical="center" wrapText="1"/>
    </xf>
    <xf numFmtId="31" fontId="276" fillId="12" borderId="177" xfId="0" applyNumberFormat="1" applyFont="1" applyFill="1" applyBorder="1" applyAlignment="1">
      <alignment horizontal="center" vertical="center" wrapText="1"/>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8"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7"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11064</xdr:colOff>
      <xdr:row>27</xdr:row>
      <xdr:rowOff>52292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5464" cy="4990052"/>
        </a:xfrm>
        <a:prstGeom prst="rect">
          <a:avLst/>
        </a:prstGeom>
      </xdr:spPr>
    </xdr:pic>
    <xdr:clientData/>
  </xdr:twoCellAnchor>
  <xdr:twoCellAnchor editAs="oneCell">
    <xdr:from>
      <xdr:col>0</xdr:col>
      <xdr:colOff>0</xdr:colOff>
      <xdr:row>27</xdr:row>
      <xdr:rowOff>45720</xdr:rowOff>
    </xdr:from>
    <xdr:to>
      <xdr:col>14</xdr:col>
      <xdr:colOff>38100</xdr:colOff>
      <xdr:row>38</xdr:row>
      <xdr:rowOff>21683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83480"/>
          <a:ext cx="8572500" cy="1987643"/>
        </a:xfrm>
        <a:prstGeom prst="rect">
          <a:avLst/>
        </a:prstGeom>
      </xdr:spPr>
    </xdr:pic>
    <xdr:clientData/>
  </xdr:twoCellAnchor>
  <xdr:twoCellAnchor editAs="oneCell">
    <xdr:from>
      <xdr:col>0</xdr:col>
      <xdr:colOff>0</xdr:colOff>
      <xdr:row>38</xdr:row>
      <xdr:rowOff>43191</xdr:rowOff>
    </xdr:from>
    <xdr:to>
      <xdr:col>10</xdr:col>
      <xdr:colOff>585011</xdr:colOff>
      <xdr:row>65</xdr:row>
      <xdr:rowOff>152999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54531"/>
          <a:ext cx="6681011" cy="5047568"/>
        </a:xfrm>
        <a:prstGeom prst="rect">
          <a:avLst/>
        </a:prstGeom>
      </xdr:spPr>
    </xdr:pic>
    <xdr:clientData/>
  </xdr:twoCellAnchor>
  <xdr:twoCellAnchor editAs="oneCell">
    <xdr:from>
      <xdr:col>0</xdr:col>
      <xdr:colOff>0</xdr:colOff>
      <xdr:row>69</xdr:row>
      <xdr:rowOff>144780</xdr:rowOff>
    </xdr:from>
    <xdr:to>
      <xdr:col>15</xdr:col>
      <xdr:colOff>355769</xdr:colOff>
      <xdr:row>101</xdr:row>
      <xdr:rowOff>67480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725400"/>
          <a:ext cx="9499769" cy="5774860"/>
        </a:xfrm>
        <a:prstGeom prst="rect">
          <a:avLst/>
        </a:prstGeom>
      </xdr:spPr>
    </xdr:pic>
    <xdr:clientData/>
  </xdr:twoCellAnchor>
  <xdr:twoCellAnchor editAs="oneCell">
    <xdr:from>
      <xdr:col>12</xdr:col>
      <xdr:colOff>383212</xdr:colOff>
      <xdr:row>75</xdr:row>
      <xdr:rowOff>7620</xdr:rowOff>
    </xdr:from>
    <xdr:to>
      <xdr:col>19</xdr:col>
      <xdr:colOff>364683</xdr:colOff>
      <xdr:row>87</xdr:row>
      <xdr:rowOff>144189</xdr:rowOff>
    </xdr:to>
    <xdr:pic>
      <xdr:nvPicPr>
        <xdr:cNvPr id="6" name="图片 5"/>
        <xdr:cNvPicPr>
          <a:picLocks noChangeAspect="1"/>
        </xdr:cNvPicPr>
      </xdr:nvPicPr>
      <xdr:blipFill>
        <a:blip xmlns:r="http://schemas.openxmlformats.org/officeDocument/2006/relationships" r:embed="rId5"/>
        <a:stretch>
          <a:fillRect/>
        </a:stretch>
      </xdr:blipFill>
      <xdr:spPr>
        <a:xfrm>
          <a:off x="7698412" y="13685520"/>
          <a:ext cx="4248671" cy="2331129"/>
        </a:xfrm>
        <a:prstGeom prst="rect">
          <a:avLst/>
        </a:prstGeom>
      </xdr:spPr>
    </xdr:pic>
    <xdr:clientData/>
  </xdr:twoCellAnchor>
  <xdr:twoCellAnchor editAs="oneCell">
    <xdr:from>
      <xdr:col>0</xdr:col>
      <xdr:colOff>0</xdr:colOff>
      <xdr:row>101</xdr:row>
      <xdr:rowOff>134414</xdr:rowOff>
    </xdr:from>
    <xdr:to>
      <xdr:col>15</xdr:col>
      <xdr:colOff>511206</xdr:colOff>
      <xdr:row>121</xdr:row>
      <xdr:rowOff>66213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567194"/>
          <a:ext cx="9655206" cy="3589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1</xdr:row>
      <xdr:rowOff>68581</xdr:rowOff>
    </xdr:from>
    <xdr:to>
      <xdr:col>9</xdr:col>
      <xdr:colOff>28159</xdr:colOff>
      <xdr:row>23</xdr:row>
      <xdr:rowOff>68581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 y="251461"/>
          <a:ext cx="5468839" cy="402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14</xdr:col>
      <xdr:colOff>305764</xdr:colOff>
      <xdr:row>26</xdr:row>
      <xdr:rowOff>175260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
          <a:ext cx="8840164" cy="4655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144870</xdr:rowOff>
    </xdr:from>
    <xdr:to>
      <xdr:col>9</xdr:col>
      <xdr:colOff>190501</xdr:colOff>
      <xdr:row>18</xdr:row>
      <xdr:rowOff>169212</xdr:rowOff>
    </xdr:to>
    <xdr:pic>
      <xdr:nvPicPr>
        <xdr:cNvPr id="2" name="图片 1"/>
        <xdr:cNvPicPr>
          <a:picLocks noChangeAspect="1"/>
        </xdr:cNvPicPr>
      </xdr:nvPicPr>
      <xdr:blipFill>
        <a:blip xmlns:r="http://schemas.openxmlformats.org/officeDocument/2006/relationships" r:embed="rId1"/>
        <a:stretch>
          <a:fillRect/>
        </a:stretch>
      </xdr:blipFill>
      <xdr:spPr>
        <a:xfrm>
          <a:off x="1" y="327750"/>
          <a:ext cx="5676900" cy="3133302"/>
        </a:xfrm>
        <a:prstGeom prst="rect">
          <a:avLst/>
        </a:prstGeom>
      </xdr:spPr>
    </xdr:pic>
    <xdr:clientData/>
  </xdr:twoCellAnchor>
  <xdr:twoCellAnchor editAs="oneCell">
    <xdr:from>
      <xdr:col>0</xdr:col>
      <xdr:colOff>0</xdr:colOff>
      <xdr:row>19</xdr:row>
      <xdr:rowOff>56259</xdr:rowOff>
    </xdr:from>
    <xdr:to>
      <xdr:col>10</xdr:col>
      <xdr:colOff>473744</xdr:colOff>
      <xdr:row>39</xdr:row>
      <xdr:rowOff>99473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30979"/>
          <a:ext cx="6569744" cy="3700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lianjia.com/zufang/BJ2037377466552549376.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ke.baidu.com/item/%E5%8D%8E%E6%9D%B0%E5%A4%A7%E5%8E%A6/2396309"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aimai.jd.com/304317437"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eijing.anjuke.com/community/huxingtu/1904632/"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估价对象为北京市房地产，为所有。根据《国有土地使用证》[]，估价对象（分摊）出让国有建设用地使用权面积为46.92平方米，建筑面积为197.05平方米。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估价对象为北京市房地产,属开发建设的，该项目尚在开发建设中。根据《国有土地使用证》[]，估价对象（分摊）出让国有建设用地使用权面积为46.92平方米，规划建筑面积为197.05平方米。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2025年5月16日（评估专业人员实地查勘之日）</v>
      </c>
    </row>
    <row r="13" spans="1:2" s="1203" customFormat="1">
      <c r="A13" s="1201" t="s">
        <v>529</v>
      </c>
      <c r="B13" s="1202"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197.05</v>
      </c>
    </row>
    <row r="44" spans="1:2" s="1203" customFormat="1" ht="31.2">
      <c r="A44" s="1201" t="s">
        <v>575</v>
      </c>
      <c r="B44" s="1202" t="str">
        <f>'预评函-3'!C2</f>
        <v>(分摊)土地面积</v>
      </c>
    </row>
    <row r="45" spans="1:2" s="1203" customFormat="1">
      <c r="A45" s="1201" t="s">
        <v>547</v>
      </c>
      <c r="B45" s="1202">
        <f>'预评函-3'!C4</f>
        <v>46.92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4" t="s">
        <v>385</v>
      </c>
      <c r="C54" s="1551" t="s">
        <v>583</v>
      </c>
    </row>
    <row r="55" spans="1:4">
      <c r="A55" s="3540"/>
      <c r="B55" s="1554" t="s">
        <v>386</v>
      </c>
      <c r="C55" s="1551" t="s">
        <v>584</v>
      </c>
    </row>
    <row r="56" spans="1:4">
      <c r="A56" s="3540"/>
      <c r="B56" s="1554" t="s">
        <v>387</v>
      </c>
      <c r="C56" s="1551" t="s">
        <v>588</v>
      </c>
    </row>
    <row r="57" spans="1:4">
      <c r="A57" s="354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41" t="s">
        <v>2580</v>
      </c>
      <c r="J2" s="3541"/>
      <c r="K2" s="3541"/>
      <c r="L2" s="3541"/>
      <c r="M2" s="3541"/>
      <c r="N2" s="3541"/>
      <c r="O2" s="3541"/>
      <c r="P2" s="3541"/>
      <c r="Q2" s="3541"/>
      <c r="R2" s="3541"/>
    </row>
    <row r="3" spans="1:18">
      <c r="A3" s="3018" t="s">
        <v>2501</v>
      </c>
      <c r="B3" s="3019">
        <f>项目基本情况!D3</f>
        <v>45793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1.59</v>
      </c>
      <c r="D5" s="3023">
        <f>IF(ISERROR(ROUND(POWER(1+E5,A5-C5)*(POWER(1+E5,C5)-1)/(POWER(1+E5,A5)-1),3)),0,ROUND(POWER(1+E5,A5-C5)*(POWER(1+E5,C5)-1)/(POWER(1+E5,A5)-1),4))</f>
        <v>7.6399999999999996E-2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v>
      </c>
      <c r="D6" s="3023">
        <f>IF(ISERROR(ROUND(POWER(1+E6,A6-C6)*(POWER(1+E6,C6)-1)/(POWER(1+E6,A6)-1),3)),0,ROUND(POWER(1+E6,A6-C6)*(POWER(1+E6,C6)-1)/(POWER(1+E6,A6)-1),4))</f>
        <v>0.4254</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31.61</v>
      </c>
      <c r="D7" s="3023">
        <f>IF(ISERROR(ROUND(POWER(1+E7,A7-C7)*(POWER(1+E7,C7)-1)/(POWER(1+E7,A7)-1),3)),0,ROUND(POWER(1+E7,A7-C7)*(POWER(1+E7,C7)-1)/(POWER(1+E7,A7)-1),4))</f>
        <v>0.75929999999999997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0" sqref="C30:D3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50" t="str">
        <f>IF(B10="北京市","北京市",C10)&amp;F10&amp;IF(结果表!G1="在建","出让国有建设用地使用权及在建建筑物",IF(结果表!G1="土地","出让国有建设用地使用权",))&amp;B9&amp;"预评估"</f>
        <v>北京市房地产市场价值预评估</v>
      </c>
      <c r="C1" s="3551"/>
      <c r="D1" s="3551"/>
      <c r="E1" s="3551"/>
      <c r="F1" s="3551"/>
      <c r="G1" s="3551"/>
      <c r="H1" s="3551"/>
      <c r="I1" s="3552"/>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45793</v>
      </c>
      <c r="C3" s="2372" t="s">
        <v>2171</v>
      </c>
      <c r="D3" s="2371">
        <f>B3</f>
        <v>45793</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3412</v>
      </c>
      <c r="C8" s="2388"/>
      <c r="D8" s="3553" t="s">
        <v>2177</v>
      </c>
      <c r="E8" s="2389"/>
      <c r="F8" s="2390"/>
      <c r="G8" s="2661"/>
      <c r="H8" s="2661"/>
      <c r="I8" s="2661"/>
      <c r="J8" s="2437"/>
      <c r="K8" s="2612"/>
      <c r="L8" s="2611"/>
      <c r="M8" s="2611"/>
      <c r="N8" s="2437"/>
      <c r="O8" s="2448"/>
      <c r="P8" s="2437"/>
      <c r="Q8" s="2437"/>
      <c r="R8" s="2437"/>
    </row>
    <row r="9" spans="1:30" ht="13.8" thickBot="1">
      <c r="A9" s="2391" t="s">
        <v>2178</v>
      </c>
      <c r="B9" s="2392" t="s">
        <v>3413</v>
      </c>
      <c r="C9" s="2393"/>
      <c r="D9" s="3554"/>
      <c r="E9" s="2392"/>
      <c r="F9" s="2394"/>
      <c r="G9" s="2663"/>
      <c r="H9" s="2663"/>
      <c r="I9" s="2663"/>
      <c r="J9" s="2437"/>
      <c r="K9" s="2614"/>
      <c r="L9" s="2611"/>
      <c r="M9" s="2611"/>
      <c r="N9" s="2437"/>
      <c r="O9" s="2448"/>
      <c r="P9" s="2437"/>
      <c r="Q9" s="2437"/>
      <c r="R9" s="2437"/>
    </row>
    <row r="10" spans="1:30" ht="13.8" thickTop="1">
      <c r="A10" s="2395" t="s">
        <v>2179</v>
      </c>
      <c r="B10" s="2396" t="s">
        <v>3414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3332</v>
      </c>
      <c r="B13" s="2405" t="s">
        <v>2190</v>
      </c>
      <c r="C13" s="856">
        <v>63257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47.84</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60"/>
      <c r="C16" s="3561"/>
      <c r="D16" s="3562"/>
      <c r="E16" s="2411" t="s">
        <v>2194</v>
      </c>
      <c r="F16" s="3563"/>
      <c r="G16" s="3564"/>
      <c r="H16" s="3564"/>
      <c r="I16" s="3565"/>
      <c r="J16" s="2437"/>
      <c r="K16" s="2615"/>
      <c r="L16" s="2449"/>
      <c r="M16" s="2449"/>
      <c r="N16" s="2507"/>
      <c r="O16" s="2449"/>
      <c r="P16" s="2507"/>
      <c r="Q16" s="2437"/>
      <c r="R16" s="2437"/>
    </row>
    <row r="17" spans="1:28">
      <c r="A17" s="313" t="s">
        <v>2195</v>
      </c>
      <c r="B17" s="302" t="s">
        <v>2196</v>
      </c>
      <c r="C17" s="8">
        <f>'数据-汇总表'!E3</f>
        <v>197.05</v>
      </c>
      <c r="D17" s="2320" t="s">
        <v>2197</v>
      </c>
      <c r="E17" s="3566" t="s">
        <v>2198</v>
      </c>
      <c r="F17" s="3567"/>
      <c r="G17" s="3567"/>
      <c r="H17" s="3567"/>
      <c r="I17" s="3568"/>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46.92</v>
      </c>
      <c r="D18" s="1092" t="s">
        <v>2201</v>
      </c>
      <c r="E18" s="3569" t="s">
        <v>2202</v>
      </c>
      <c r="F18" s="3570"/>
      <c r="G18" s="3570"/>
      <c r="H18" s="3570"/>
      <c r="I18" s="3571"/>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56" t="s">
        <v>2206</v>
      </c>
      <c r="C20" s="3557"/>
      <c r="D20" s="3558" t="s">
        <v>2207</v>
      </c>
      <c r="E20" s="3559"/>
      <c r="F20" s="2645" t="s">
        <v>1056</v>
      </c>
      <c r="G20" s="2662"/>
      <c r="H20" s="2662"/>
      <c r="I20" s="2662"/>
      <c r="J20" s="2437"/>
      <c r="K20" s="355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5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4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4"/>
      <c r="B30" s="302" t="s">
        <v>2218</v>
      </c>
      <c r="C30" s="3545"/>
      <c r="D30" s="3546"/>
      <c r="E30" s="2662"/>
      <c r="F30" s="2662"/>
      <c r="G30" s="2662"/>
      <c r="H30" s="2662"/>
      <c r="I30" s="2662"/>
      <c r="J30" s="2437"/>
      <c r="K30" s="2614"/>
      <c r="L30" s="2611"/>
      <c r="M30" s="2611"/>
      <c r="N30" s="2437"/>
      <c r="O30" s="2448"/>
      <c r="P30" s="2437"/>
      <c r="Q30" s="2437"/>
      <c r="R30" s="2437"/>
      <c r="S30" s="2437"/>
      <c r="T30" s="2437"/>
      <c r="U30" s="2437"/>
      <c r="V30" s="2437"/>
    </row>
    <row r="31" spans="1:28">
      <c r="A31" s="3547"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48"/>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4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42" t="s">
        <v>2228</v>
      </c>
      <c r="T34" s="2426" t="str">
        <f>NUMBERSTRING(7-K34,1)&amp;"通"</f>
        <v>七通</v>
      </c>
      <c r="U34" s="2437"/>
      <c r="V34" s="2437"/>
    </row>
    <row r="35" spans="1:30">
      <c r="A35" s="2427"/>
      <c r="B35" s="3549" t="s">
        <v>2229</v>
      </c>
      <c r="C35" s="3549"/>
      <c r="D35" s="3549"/>
      <c r="E35" s="354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t="s">
        <v>111</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B3/4.2</f>
        <v>46.916666666666664</v>
      </c>
      <c r="B3" s="11">
        <f>IF(C3="否",G5-AT5,G5)</f>
        <v>197.05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197.05</v>
      </c>
      <c r="H5" s="13">
        <f t="shared" ref="H5:AT5" si="0">SUM(H13:H656)</f>
        <v>197.05</v>
      </c>
      <c r="I5" s="13">
        <f t="shared" si="0"/>
        <v>197.05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197.05</v>
      </c>
      <c r="BA5" s="15">
        <f t="shared" si="1"/>
        <v>197.05</v>
      </c>
      <c r="BB5" s="15">
        <f t="shared" si="1"/>
        <v>197.05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46.92</v>
      </c>
      <c r="F6" s="13" t="s">
        <v>0</v>
      </c>
      <c r="G6" s="13" t="s">
        <v>1</v>
      </c>
      <c r="H6" s="17">
        <f>SUMIF(I$12:AB$12,"总值",I6:AB6)</f>
        <v>46.92</v>
      </c>
      <c r="I6" s="13">
        <f t="shared" ref="I6:AB6" si="2">ROUND($A$3*I5/$B$3,2)</f>
        <v>46.92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46.92</v>
      </c>
      <c r="AZ6" s="13" t="s">
        <v>2</v>
      </c>
      <c r="BA6" s="13">
        <f>ROUND($AY$6*BA5/$AZ$5,2)</f>
        <v>46.92</v>
      </c>
      <c r="BB6" s="13">
        <f>ROUND($AY$6*BB5/$AZ$5,2)</f>
        <v>46.92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3417</v>
      </c>
      <c r="E13" s="13">
        <f>IF($C$3="是",ROUND($A$3*G13/$B$3,2),ROUND($A$3*(G13-AT13)/$B$3,2))</f>
        <v>46.92</v>
      </c>
      <c r="F13" s="29"/>
      <c r="G13" s="30">
        <f>H13+AC13+AT13</f>
        <v>197.05</v>
      </c>
      <c r="H13" s="17">
        <f>SUMIF(I$12:AB$12,"总值",I13:AB13)</f>
        <v>197.05</v>
      </c>
      <c r="I13" s="1626">
        <v>197.05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46.92</v>
      </c>
      <c r="AZ13" s="13">
        <f>BA13+BL13</f>
        <v>197.05</v>
      </c>
      <c r="BA13" s="13">
        <f>SUM(BB13:BK13)</f>
        <v>197.05</v>
      </c>
      <c r="BB13" s="13">
        <f>IF($D13="是",I13-J13,0)</f>
        <v>197.05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7" sqref="K2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1" t="s">
        <v>1131</v>
      </c>
      <c r="B2" s="3581"/>
      <c r="C2" s="3581"/>
      <c r="D2" s="796" t="s">
        <v>1107</v>
      </c>
      <c r="E2" s="1639" t="s">
        <v>1108</v>
      </c>
      <c r="F2" s="2657"/>
      <c r="G2" s="2648"/>
      <c r="H2" s="2649"/>
      <c r="I2" s="2323" t="s">
        <v>1132</v>
      </c>
      <c r="J2" s="2657"/>
      <c r="K2" s="2657"/>
      <c r="L2" s="2657"/>
      <c r="M2" s="2657"/>
      <c r="N2" s="2659"/>
      <c r="O2" s="2657"/>
      <c r="P2" s="2657"/>
    </row>
    <row r="3" spans="1:16" ht="15" thickBot="1">
      <c r="A3" s="3582" t="s">
        <v>1105</v>
      </c>
      <c r="B3" s="3582"/>
      <c r="C3" s="3582"/>
      <c r="D3" s="43">
        <f>'数据-基础表'!AY6</f>
        <v>46.92</v>
      </c>
      <c r="E3" s="43">
        <f>'数据-基础表'!AZ5</f>
        <v>197.05</v>
      </c>
      <c r="F3" s="2657"/>
      <c r="G3" s="1145"/>
      <c r="H3" s="1026" t="s">
        <v>1106</v>
      </c>
      <c r="I3" s="855">
        <f>ROUND('数据-基础表'!B3/'数据-基础表'!A3,2)</f>
        <v>4.2</v>
      </c>
      <c r="J3" s="2657"/>
      <c r="K3" s="2657"/>
      <c r="L3" s="2657"/>
      <c r="M3" s="2657"/>
      <c r="N3" s="2659"/>
      <c r="O3" s="2657"/>
      <c r="P3" s="2657"/>
    </row>
    <row r="4" spans="1:16" ht="14.4">
      <c r="A4" s="3583"/>
      <c r="B4" s="3584"/>
      <c r="C4" s="3585"/>
      <c r="D4" s="1641" t="s">
        <v>1107</v>
      </c>
      <c r="E4" s="1642" t="s">
        <v>1108</v>
      </c>
      <c r="F4" s="2657"/>
      <c r="G4" s="2650" t="s">
        <v>1133</v>
      </c>
      <c r="H4" s="1026" t="s">
        <v>1113</v>
      </c>
      <c r="I4" s="855">
        <f>ROUND(SUMIF('数据-基础表'!I9:AS9,"地上",'数据-基础表'!I5:AS5)/'数据-基础表'!A3,2)</f>
        <v>4.2</v>
      </c>
      <c r="J4" s="2657"/>
      <c r="K4" s="2657"/>
      <c r="L4" s="2657"/>
      <c r="M4" s="2657"/>
      <c r="N4" s="2659"/>
      <c r="O4" s="2657"/>
      <c r="P4" s="2657"/>
    </row>
    <row r="5" spans="1:16" ht="14.4">
      <c r="A5" s="44" t="s">
        <v>1109</v>
      </c>
      <c r="B5" s="3586" t="s">
        <v>1110</v>
      </c>
      <c r="C5" s="3586"/>
      <c r="D5" s="45">
        <f>ROUND($D$3*E5/$E$3,2)</f>
        <v>46.92</v>
      </c>
      <c r="E5" s="46">
        <f>SUMIF('数据-基础表'!$11:$11,"住宅",'数据-基础表'!$5:$5)</f>
        <v>197.05</v>
      </c>
      <c r="F5" s="2657"/>
      <c r="G5" s="1145"/>
      <c r="H5" s="1026" t="s">
        <v>1106</v>
      </c>
      <c r="I5" s="855">
        <f>ROUND(E31/D31,2)</f>
        <v>4.2</v>
      </c>
      <c r="J5" s="2657"/>
      <c r="K5" s="2657"/>
      <c r="L5" s="2657"/>
      <c r="M5" s="2657"/>
      <c r="N5" s="2657"/>
      <c r="O5" s="2657"/>
      <c r="P5" s="2657"/>
    </row>
    <row r="6" spans="1:16" ht="15" thickBot="1">
      <c r="A6" s="1644"/>
      <c r="B6" s="3586" t="s">
        <v>1111</v>
      </c>
      <c r="C6" s="3586"/>
      <c r="D6" s="45">
        <f>ROUND($D$3*E6/$E$3,2)</f>
        <v>0</v>
      </c>
      <c r="E6" s="46">
        <f>E3-E5</f>
        <v>0</v>
      </c>
      <c r="F6" s="2657"/>
      <c r="G6" s="2651" t="s">
        <v>1112</v>
      </c>
      <c r="H6" s="1146" t="s">
        <v>1113</v>
      </c>
      <c r="I6" s="2652">
        <f>ROUND(F31/D31,2)</f>
        <v>4.2</v>
      </c>
      <c r="J6" s="2657"/>
      <c r="K6" s="2657"/>
      <c r="L6" s="2657"/>
      <c r="M6" s="2657"/>
      <c r="N6" s="2657"/>
      <c r="O6" s="2657"/>
      <c r="P6" s="2657"/>
    </row>
    <row r="7" spans="1:16" ht="15" thickBot="1">
      <c r="A7" s="3578"/>
      <c r="B7" s="3579"/>
      <c r="C7" s="3580"/>
      <c r="D7" s="1641" t="s">
        <v>1107</v>
      </c>
      <c r="E7" s="1645" t="s">
        <v>1114</v>
      </c>
      <c r="F7" s="2657"/>
      <c r="G7" s="2653" t="s">
        <v>1115</v>
      </c>
      <c r="H7" s="2654"/>
      <c r="I7" s="2655">
        <v>4.2</v>
      </c>
      <c r="J7" s="2657"/>
      <c r="K7" s="2657"/>
      <c r="L7" s="2657"/>
      <c r="M7" s="2657"/>
      <c r="N7" s="2657"/>
      <c r="O7" s="2657"/>
      <c r="P7" s="2657"/>
    </row>
    <row r="8" spans="1:16" ht="14.4">
      <c r="A8" s="44" t="s">
        <v>1116</v>
      </c>
      <c r="B8" s="47" t="s">
        <v>1117</v>
      </c>
      <c r="C8" s="45" t="s">
        <v>1118</v>
      </c>
      <c r="D8" s="45">
        <f t="shared" ref="D8:D15" si="0">ROUND($D$3*E8/$E$3,2)</f>
        <v>46.92</v>
      </c>
      <c r="E8" s="48">
        <f>SUMIF('数据-基础表'!BB10:BK10,"地上",'数据-基础表'!BB5:BK5)</f>
        <v>197.05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46.92</v>
      </c>
      <c r="E16" s="50">
        <f>SUM(E8:E15)</f>
        <v>197.05</v>
      </c>
      <c r="F16" s="2657"/>
      <c r="G16" s="2658"/>
      <c r="H16" s="1648" t="s">
        <v>1135</v>
      </c>
      <c r="I16" s="1649"/>
      <c r="J16" s="1139"/>
      <c r="K16" s="3575" t="s">
        <v>1135</v>
      </c>
      <c r="L16" s="3576"/>
      <c r="M16" s="3576"/>
      <c r="N16" s="3576"/>
      <c r="O16" s="3576"/>
      <c r="P16" s="3577"/>
    </row>
    <row r="17" spans="1:19" ht="14.4">
      <c r="A17" s="1650" t="s">
        <v>1136</v>
      </c>
      <c r="B17" s="1651" t="s">
        <v>1137</v>
      </c>
      <c r="C17" s="1652" t="s">
        <v>1138</v>
      </c>
      <c r="D17" s="1653" t="s">
        <v>1126</v>
      </c>
      <c r="E17" s="1654" t="s">
        <v>1127</v>
      </c>
      <c r="F17" s="1655"/>
      <c r="G17" s="1656"/>
      <c r="H17" s="1657" t="s">
        <v>1139</v>
      </c>
      <c r="I17" s="1658" t="s">
        <v>1124</v>
      </c>
      <c r="J17" s="1139"/>
      <c r="K17" s="3572" t="s">
        <v>1140</v>
      </c>
      <c r="L17" s="3573"/>
      <c r="M17" s="3574"/>
      <c r="N17" s="3572" t="s">
        <v>1141</v>
      </c>
      <c r="O17" s="3573"/>
      <c r="P17" s="357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3419</v>
      </c>
      <c r="D19" s="45">
        <f>ROUND($D$3*E19/$E$3,2)</f>
        <v>46.92</v>
      </c>
      <c r="E19" s="53">
        <f t="shared" ref="E19:E26" si="1">SUM(F19:G19)</f>
        <v>197.05</v>
      </c>
      <c r="F19" s="2793">
        <f>E3</f>
        <v>197.05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46.92</v>
      </c>
      <c r="S19" s="1027">
        <f t="shared" si="5"/>
        <v>197.05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46.92</v>
      </c>
      <c r="E27" s="1141">
        <f>IF(SUM(E19:E26)='数据-基础表'!BA5,SUM(E19:E26),IF(F27="地上面积有误","面积有误","地下面积有误"))</f>
        <v>197.05</v>
      </c>
      <c r="F27" s="1140">
        <f>IF(SUM(F19:F26)=E8,SUM(F19:F26),"地上面积有误")</f>
        <v>197.05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46.92</v>
      </c>
      <c r="S27" s="1026">
        <f>IF(SUM(S19:S26)=$E$3,SUM(S19:S26),SUM(S19:S26)&amp;"误差"&amp;ROUND(SUM(S19:S26)-E3,2))</f>
        <v>197.05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46.92</v>
      </c>
      <c r="E31" s="676">
        <f>E27+E30</f>
        <v>197.05</v>
      </c>
      <c r="F31" s="677">
        <f>F27+F30</f>
        <v>197.05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公寓</v>
      </c>
      <c r="B6" s="1713" t="str">
        <f>IF(A6=0,"","经营性")</f>
        <v>经营性</v>
      </c>
      <c r="C6" s="1714" t="s">
        <v>3406</v>
      </c>
      <c r="D6" s="858">
        <f>SUMIF(项目基本情况!C$12:I$12,C6,项目基本情况!C$14:I$14)</f>
        <v>70</v>
      </c>
      <c r="E6" s="857">
        <f>IF(B6="","",SUMIF(项目基本情况!C$12:I$12,C6,项目基本情况!C$13:I$13))</f>
        <v>63257</v>
      </c>
      <c r="F6" s="64">
        <f>SUMIF(项目基本情况!C$12:I$12,C6,项目基本情况!C$15:I$15)</f>
        <v>47.84</v>
      </c>
      <c r="G6" s="65">
        <f>IF(ISERROR(ROUND(POWER(1+H6,D6-F6)*(POWER(1+H6,F6)-1)/(POWER(1+H6,D6)-1),3)),0,ROUND(POWER(1+H6,D6-F6)*(POWER(1+H6,F6)-1)/(POWER(1+H6,D6)-1),3))</f>
        <v>0.90500000000000003</v>
      </c>
      <c r="H6" s="732">
        <v>0.04</v>
      </c>
      <c r="I6" s="732">
        <v>0.04</v>
      </c>
      <c r="J6" s="66">
        <v>0.06</v>
      </c>
      <c r="K6" s="1030">
        <f>SUMIF('数据-汇总表'!C$19:C$33,A6,'数据-汇总表'!E$19:E$33)</f>
        <v>197.05</v>
      </c>
      <c r="L6" s="733">
        <v>3000</v>
      </c>
      <c r="M6" s="67">
        <f t="shared" ref="M6:M14" si="0">ROUND(K6*L6/10000,0)</f>
        <v>59</v>
      </c>
      <c r="N6" s="731">
        <f>O22</f>
        <v>0.76</v>
      </c>
      <c r="O6" s="67" t="str">
        <f>IF($N$5="成新度","——",ROUND(M6*N6,0))</f>
        <v>——</v>
      </c>
      <c r="P6" s="68" t="str">
        <f>IF($N$5="成新度","——",M6-O6)</f>
        <v>——</v>
      </c>
      <c r="Q6" s="734">
        <v>0.2</v>
      </c>
      <c r="R6" s="69">
        <f ca="1">SUMIF('数据-汇总表'!C$19:C$33,A6,'数据-汇总表'!R$19:R$27)</f>
        <v>46.92</v>
      </c>
      <c r="S6" s="51">
        <f>IF('数据-汇总表'!$I$17="按面积比例",SUMIF('数据-汇总表'!C$19:C$33,A6,'数据-汇总表'!K$19:K$33),SUMIF('数据-汇总表'!C$19:C$33,A6,'数据-汇总表'!N$19:N$33))</f>
        <v>0</v>
      </c>
      <c r="T6" s="1172">
        <f>ROUND($L$14*S6/10000,0)</f>
        <v>0</v>
      </c>
      <c r="U6" s="3426">
        <v>20000</v>
      </c>
      <c r="V6" s="70">
        <v>1.4999999999999999E-2</v>
      </c>
      <c r="W6" s="70">
        <v>0.1</v>
      </c>
      <c r="X6" s="1040"/>
      <c r="Y6" s="71">
        <f>N6</f>
        <v>0.76</v>
      </c>
      <c r="Z6" s="72"/>
      <c r="AA6" s="66"/>
      <c r="AB6" s="66"/>
      <c r="AC6" s="1040"/>
      <c r="AD6" s="73"/>
      <c r="AE6" s="3469">
        <f>F6</f>
        <v>47.84</v>
      </c>
      <c r="AF6" s="1348"/>
      <c r="AG6" s="138">
        <f>IF(AF6="",0,AE6-AF6)</f>
        <v>0</v>
      </c>
      <c r="AH6" s="74">
        <v>1</v>
      </c>
      <c r="AI6" s="76">
        <v>12</v>
      </c>
      <c r="AJ6" s="77"/>
      <c r="AK6" s="78">
        <v>0.02</v>
      </c>
      <c r="AL6" s="79">
        <v>1.5E-3</v>
      </c>
      <c r="AM6" s="80">
        <v>1.4999999999999999E-2</v>
      </c>
      <c r="AN6" s="1715" t="s">
        <v>3421</v>
      </c>
      <c r="AO6" s="52" t="e">
        <f ca="1">SUMIF(INDIRECT("'"&amp;AN6&amp;"'"&amp;"!A:A"),"总价",INDIRECT("'"&amp;AN6&amp;"'"&amp;"!B:B"))</f>
        <v>#DIV/0!</v>
      </c>
      <c r="AP6" s="1716">
        <f>IF(C6="住宅",K6*L6,0)</f>
        <v>591150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0.90500000000000003</v>
      </c>
      <c r="H16" s="90">
        <f>ROUND(SUMPRODUCT(H6:H13,K6:K13)/SUMPRODUCT((H6:H13&gt;0)*(K6:K13)),3)</f>
        <v>0.04</v>
      </c>
      <c r="I16" s="91"/>
      <c r="J16" s="91"/>
      <c r="K16" s="92">
        <f>SUM(K6:K15)</f>
        <v>197.05</v>
      </c>
      <c r="L16" s="93">
        <f>ROUND(M16*10000/SUM(K6:K14),0)</f>
        <v>2994</v>
      </c>
      <c r="M16" s="93">
        <f>SUM(M6:M14)</f>
        <v>59</v>
      </c>
      <c r="N16" s="94">
        <f>ROUND(SUMPRODUCT(M6:M14,N6:N14)/M16,3)</f>
        <v>0.76</v>
      </c>
      <c r="O16" s="93">
        <f>SUM(O6:O14)</f>
        <v>0</v>
      </c>
      <c r="P16" s="93">
        <f>SUM(P6:P14)</f>
        <v>0</v>
      </c>
      <c r="Q16" s="95">
        <f>ROUND(SUMPRODUCT(Q6:Q13,K6:K13)/SUMPRODUCT((Q6:Q13&gt;0)*(K6:K13)),2)</f>
        <v>0.2</v>
      </c>
      <c r="R16" s="1034">
        <f ca="1">SUM(R6:R13)</f>
        <v>46.92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2005</v>
      </c>
      <c r="O20" s="3466">
        <f>ROUND(1-(N19-N20)/60,2)</f>
        <v>0.67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0.85</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0.76</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24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184</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587" t="s">
        <v>2286</v>
      </c>
      <c r="B1" s="3588"/>
      <c r="C1" s="3588"/>
      <c r="D1" s="3588"/>
      <c r="E1" s="3588"/>
      <c r="F1" s="3588"/>
      <c r="G1" s="358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2" sqref="E22"/>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197.05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45793</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623</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3356</v>
      </c>
      <c r="D10" s="2510" t="s">
        <v>3357</v>
      </c>
      <c r="E10" s="3439"/>
      <c r="F10" s="3443" t="s">
        <v>3358</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197.05</v>
      </c>
      <c r="C14" s="2516"/>
      <c r="D14" s="2516">
        <f ca="1">结果表!G19</f>
        <v>623</v>
      </c>
      <c r="E14" s="2516">
        <f ca="1">ROUND(D14*10000/B14,0)</f>
        <v>31616</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3418</v>
      </c>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3.2">
      <c r="A3" s="3627" t="s">
        <v>1264</v>
      </c>
      <c r="B3" s="3628"/>
      <c r="C3" s="3628"/>
      <c r="D3" s="3628"/>
      <c r="E3" s="3628"/>
      <c r="F3" s="3628"/>
      <c r="G3" s="3628"/>
      <c r="H3" s="3628"/>
      <c r="I3" s="3628"/>
    </row>
    <row r="4" spans="1:12" ht="14.4">
      <c r="A4" s="1754" t="s">
        <v>1265</v>
      </c>
      <c r="B4" s="1755" t="s">
        <v>1266</v>
      </c>
      <c r="C4" s="1756" t="s">
        <v>3547</v>
      </c>
      <c r="D4" s="1756" t="s">
        <v>3548</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03" t="s">
        <v>1268</v>
      </c>
      <c r="B5" s="3590">
        <v>25</v>
      </c>
      <c r="C5" s="3606">
        <v>3</v>
      </c>
      <c r="D5" s="3626">
        <f>10-C5</f>
        <v>7</v>
      </c>
      <c r="E5" s="131" t="s">
        <v>1269</v>
      </c>
      <c r="F5" s="1757"/>
      <c r="G5" s="1757"/>
      <c r="H5" s="1757"/>
      <c r="I5" s="1373"/>
    </row>
    <row r="6" spans="1:12" ht="13.2">
      <c r="A6" s="3603"/>
      <c r="B6" s="3590"/>
      <c r="C6" s="3607"/>
      <c r="D6" s="3626"/>
      <c r="E6" s="131" t="s">
        <v>1270</v>
      </c>
      <c r="F6" s="1757"/>
      <c r="G6" s="1757"/>
      <c r="H6" s="1757"/>
      <c r="I6" s="1373"/>
    </row>
    <row r="7" spans="1:12" ht="13.2">
      <c r="A7" s="3603"/>
      <c r="B7" s="3590"/>
      <c r="C7" s="3608"/>
      <c r="D7" s="3626"/>
      <c r="E7" s="131" t="s">
        <v>1271</v>
      </c>
      <c r="F7" s="1757"/>
      <c r="G7" s="1757"/>
      <c r="H7" s="1757"/>
      <c r="I7" s="1373"/>
    </row>
    <row r="8" spans="1:12" ht="13.2">
      <c r="A8" s="3603" t="s">
        <v>1272</v>
      </c>
      <c r="B8" s="3590">
        <v>15</v>
      </c>
      <c r="C8" s="3606"/>
      <c r="D8" s="3626"/>
      <c r="E8" s="131" t="s">
        <v>1273</v>
      </c>
      <c r="F8" s="1757"/>
      <c r="G8" s="1757"/>
      <c r="H8" s="1757"/>
      <c r="I8" s="1373"/>
    </row>
    <row r="9" spans="1:12" ht="13.2">
      <c r="A9" s="3603"/>
      <c r="B9" s="3590"/>
      <c r="C9" s="3608"/>
      <c r="D9" s="3626"/>
      <c r="E9" s="131" t="s">
        <v>1274</v>
      </c>
      <c r="F9" s="1757"/>
      <c r="G9" s="1757"/>
      <c r="H9" s="1757"/>
      <c r="I9" s="1373"/>
    </row>
    <row r="10" spans="1:12" ht="13.2">
      <c r="A10" s="3603" t="s">
        <v>1275</v>
      </c>
      <c r="B10" s="3590">
        <v>15</v>
      </c>
      <c r="C10" s="3606"/>
      <c r="D10" s="3626"/>
      <c r="E10" s="131" t="s">
        <v>1276</v>
      </c>
      <c r="F10" s="1757"/>
      <c r="G10" s="1757"/>
      <c r="H10" s="1757"/>
      <c r="I10" s="1373"/>
    </row>
    <row r="11" spans="1:12" ht="13.2">
      <c r="A11" s="3603"/>
      <c r="B11" s="3590"/>
      <c r="C11" s="3608"/>
      <c r="D11" s="3626"/>
      <c r="E11" s="131" t="s">
        <v>1277</v>
      </c>
      <c r="F11" s="1757"/>
      <c r="G11" s="1757"/>
      <c r="H11" s="1757"/>
      <c r="I11" s="1373"/>
    </row>
    <row r="12" spans="1:12" ht="13.2">
      <c r="A12" s="3603" t="s">
        <v>1278</v>
      </c>
      <c r="B12" s="3590">
        <v>15</v>
      </c>
      <c r="C12" s="3606"/>
      <c r="D12" s="3626"/>
      <c r="E12" s="131" t="s">
        <v>1279</v>
      </c>
      <c r="F12" s="1757"/>
      <c r="G12" s="1757"/>
      <c r="H12" s="1757"/>
      <c r="I12" s="1373"/>
    </row>
    <row r="13" spans="1:12" ht="13.2">
      <c r="A13" s="3603"/>
      <c r="B13" s="3590"/>
      <c r="C13" s="3608"/>
      <c r="D13" s="3626"/>
      <c r="E13" s="131" t="s">
        <v>1280</v>
      </c>
      <c r="F13" s="1757"/>
      <c r="G13" s="1757"/>
      <c r="H13" s="1757"/>
      <c r="I13" s="1373"/>
    </row>
    <row r="14" spans="1:12" ht="13.2">
      <c r="A14" s="3603" t="s">
        <v>1281</v>
      </c>
      <c r="B14" s="3590">
        <v>30</v>
      </c>
      <c r="C14" s="3606"/>
      <c r="D14" s="3626"/>
      <c r="E14" s="131" t="s">
        <v>1282</v>
      </c>
      <c r="F14" s="1757"/>
      <c r="G14" s="1757"/>
      <c r="H14" s="1757"/>
      <c r="I14" s="1373"/>
    </row>
    <row r="15" spans="1:12" ht="13.2">
      <c r="A15" s="3603"/>
      <c r="B15" s="3590"/>
      <c r="C15" s="3607"/>
      <c r="D15" s="3626"/>
      <c r="E15" s="131" t="s">
        <v>1283</v>
      </c>
      <c r="F15" s="1757"/>
      <c r="G15" s="1757"/>
      <c r="H15" s="1757"/>
      <c r="I15" s="1373"/>
    </row>
    <row r="16" spans="1:12" ht="13.2">
      <c r="A16" s="3603"/>
      <c r="B16" s="3590"/>
      <c r="C16" s="3608"/>
      <c r="D16" s="3626"/>
      <c r="E16" s="131" t="s">
        <v>1284</v>
      </c>
      <c r="F16" s="1757"/>
      <c r="G16" s="1757"/>
      <c r="H16" s="1757"/>
      <c r="I16" s="1373"/>
    </row>
    <row r="17" spans="1:36" ht="14.4">
      <c r="A17" s="1758" t="s">
        <v>1285</v>
      </c>
      <c r="B17" s="56"/>
      <c r="C17" s="132">
        <f>SUM(C5:C16)</f>
        <v>3</v>
      </c>
      <c r="D17" s="132">
        <f>SUM(D5:D16)</f>
        <v>7</v>
      </c>
      <c r="E17" s="129"/>
      <c r="F17" s="129"/>
      <c r="G17" s="129"/>
      <c r="H17" s="129"/>
      <c r="I17" s="129"/>
      <c r="K17" s="302"/>
      <c r="L17" s="302" t="s">
        <v>1286</v>
      </c>
      <c r="M17" s="302" t="s">
        <v>1287</v>
      </c>
    </row>
    <row r="18" spans="1:36" ht="31.95" customHeight="1" thickBot="1">
      <c r="A18" s="1759" t="s">
        <v>1288</v>
      </c>
      <c r="B18" s="1760"/>
      <c r="C18" s="133">
        <f>ROUND(C17/SUM(C17:D17),2)</f>
        <v>0.3</v>
      </c>
      <c r="D18" s="133">
        <f>1-C18</f>
        <v>0.7</v>
      </c>
      <c r="E18" s="3613" t="s">
        <v>2131</v>
      </c>
      <c r="F18" s="3614"/>
      <c r="G18" s="3614"/>
      <c r="H18" s="3614"/>
      <c r="I18" s="3614"/>
      <c r="K18" s="302" t="s">
        <v>1289</v>
      </c>
      <c r="L18" s="302">
        <f>IF(C1="",'数据-汇总表'!E3,SUMIF(项目类型,C1,'数据-汇总表'!E17:E26)+SUMIF(项目类型,C1,'数据-汇总表'!I17:I26))</f>
        <v>197.05</v>
      </c>
      <c r="M18" s="302">
        <f>IF(C1="",'数据-汇总表'!E3,SUMIF(项目类型,C1,'数据-汇总表'!E17:E26))</f>
        <v>197.05</v>
      </c>
    </row>
    <row r="19" spans="1:36" ht="14.4">
      <c r="A19" s="1761" t="s">
        <v>1290</v>
      </c>
      <c r="B19" s="1762" t="s">
        <v>1291</v>
      </c>
      <c r="C19" s="134">
        <f ca="1">SUMIF(INDIRECT("'"&amp;C4&amp;"'"&amp;"!A:A"),结果表!B19,INDIRECT("'"&amp;C4&amp;"'"&amp;"!B:B"))</f>
        <v>921</v>
      </c>
      <c r="D19" s="135">
        <f ca="1">SUMIF(INDIRECT("'"&amp;D4&amp;"'"&amp;"!A:A"),结果表!B19,INDIRECT("'"&amp;D4&amp;"'"&amp;"!B:B"))</f>
        <v>495</v>
      </c>
      <c r="E19" s="1761" t="s">
        <v>1292</v>
      </c>
      <c r="F19" s="1762" t="s">
        <v>1291</v>
      </c>
      <c r="G19" s="136">
        <f ca="1">ROUND(C19*$C$18+D19*$D$18,0)</f>
        <v>623</v>
      </c>
      <c r="H19" s="1763" t="s">
        <v>1293</v>
      </c>
      <c r="I19" s="129"/>
      <c r="K19" s="302" t="s">
        <v>1294</v>
      </c>
      <c r="L19" s="302">
        <f>IF(C1="",'数据-汇总表'!D3,SUMIF(项目类型,C1,'数据-汇总表'!D17:D26)+SUMIF(项目类型,C1,'数据-汇总表'!H17:H27))</f>
        <v>46.92</v>
      </c>
      <c r="M19" s="302">
        <f>IF(C1="",'数据-汇总表'!D3,SUMIF(项目类型,C1,'数据-汇总表'!D17:D26))</f>
        <v>46.92</v>
      </c>
    </row>
    <row r="20" spans="1:36" ht="14.4">
      <c r="A20" s="1764"/>
      <c r="B20" s="1026" t="s">
        <v>1295</v>
      </c>
      <c r="C20" s="137">
        <f ca="1">SUMIF(INDIRECT("'"&amp;C4&amp;"'"&amp;"!A:A"),结果表!B20,INDIRECT("'"&amp;C4&amp;"'"&amp;"!B:B"))</f>
        <v>46739</v>
      </c>
      <c r="D20" s="138">
        <f ca="1">SUMIF(INDIRECT("'"&amp;D4&amp;"'"&amp;"!A:A"),结果表!B20,INDIRECT("'"&amp;D4&amp;"'"&amp;"!B:B"))</f>
        <v>25121</v>
      </c>
      <c r="E20" s="1764"/>
      <c r="F20" s="1026" t="s">
        <v>1295</v>
      </c>
      <c r="G20" s="139">
        <f ca="1">ROUND(C20*$C$18+D20*$D$18,0)</f>
        <v>31606</v>
      </c>
      <c r="H20" s="808" t="s">
        <v>1296</v>
      </c>
      <c r="I20" s="129"/>
    </row>
    <row r="21" spans="1:36" ht="15" customHeight="1" thickBot="1">
      <c r="A21" s="828"/>
      <c r="B21" s="1765" t="s">
        <v>1297</v>
      </c>
      <c r="C21" s="719">
        <f ca="1">ROUND(C19*10000/L19,0)</f>
        <v>196292</v>
      </c>
      <c r="D21" s="720">
        <f ca="1">ROUND(D19*10000/L19,0)</f>
        <v>105499</v>
      </c>
      <c r="E21" s="828"/>
      <c r="F21" s="1765" t="s">
        <v>1297</v>
      </c>
      <c r="G21" s="140">
        <f ca="1">ROUND(G19*10000/L19,0)</f>
        <v>132779</v>
      </c>
      <c r="H21" s="1766" t="s">
        <v>1296</v>
      </c>
      <c r="I21" s="129"/>
    </row>
    <row r="22" spans="1:36" ht="15" thickBot="1">
      <c r="A22" s="1688" t="s">
        <v>1298</v>
      </c>
      <c r="B22" s="1767"/>
      <c r="C22" s="1768"/>
      <c r="D22" s="721">
        <f ca="1">IF(C19&lt;D19,D19/C19-1,C19/D19-1)</f>
        <v>0.8606060606060606</v>
      </c>
      <c r="E22" s="129"/>
      <c r="F22" s="129"/>
      <c r="G22" s="129"/>
      <c r="H22" s="129"/>
      <c r="I22" s="129"/>
    </row>
    <row r="23" spans="1:36" ht="13.8" thickBot="1">
      <c r="A23" s="1747"/>
      <c r="B23" s="1747"/>
      <c r="C23" s="1747"/>
      <c r="D23" s="1747"/>
      <c r="E23" s="129"/>
      <c r="F23" s="129"/>
      <c r="G23" s="129"/>
      <c r="H23" s="129"/>
      <c r="I23" s="129"/>
    </row>
    <row r="24" spans="1:36" ht="14.4">
      <c r="A24" s="3597" t="s">
        <v>1299</v>
      </c>
      <c r="B24" s="1762" t="s">
        <v>1291</v>
      </c>
      <c r="C24" s="136">
        <f>IF(B30=0,0,D30)</f>
        <v>0</v>
      </c>
      <c r="D24" s="1769"/>
      <c r="E24" s="129"/>
      <c r="F24" s="129"/>
      <c r="G24" s="129"/>
      <c r="H24" s="129"/>
      <c r="I24" s="129"/>
    </row>
    <row r="25" spans="1:36" ht="14.4">
      <c r="A25" s="359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31606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7" t="s">
        <v>1312</v>
      </c>
      <c r="B36" s="1787" t="s">
        <v>1313</v>
      </c>
      <c r="C36" s="145"/>
      <c r="D36" s="1788"/>
      <c r="E36" s="1789"/>
      <c r="F36" s="1790"/>
      <c r="G36" s="129"/>
      <c r="H36" s="129"/>
      <c r="I36" s="129"/>
    </row>
    <row r="37" spans="1:15" ht="15" thickBot="1">
      <c r="A37" s="3618"/>
      <c r="B37" s="1674" t="s">
        <v>1314</v>
      </c>
      <c r="C37" s="147"/>
      <c r="D37" s="1139"/>
      <c r="E37" s="1139"/>
      <c r="F37" s="1790"/>
      <c r="G37" s="129"/>
      <c r="H37" s="129"/>
      <c r="I37" s="129"/>
    </row>
    <row r="38" spans="1:15" ht="15" thickBot="1">
      <c r="A38" s="361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4" t="s">
        <v>1326</v>
      </c>
      <c r="B45" s="3595"/>
      <c r="C45" s="3596"/>
      <c r="D45" s="155" t="e">
        <f ca="1">ROUND(H101*F45,0)</f>
        <v>#REF!</v>
      </c>
      <c r="E45" s="156" t="s">
        <v>1327</v>
      </c>
      <c r="F45" s="157">
        <v>1</v>
      </c>
      <c r="G45" s="158" t="s">
        <v>1328</v>
      </c>
      <c r="H45" s="129"/>
      <c r="I45" s="129"/>
      <c r="J45" s="3672" t="s">
        <v>1329</v>
      </c>
      <c r="K45" s="3672"/>
      <c r="L45" s="3672"/>
      <c r="M45" s="3672"/>
      <c r="N45" s="3672"/>
      <c r="O45" s="3672"/>
    </row>
    <row r="46" spans="1:15" ht="14.25" customHeight="1">
      <c r="A46" s="3591" t="s">
        <v>1330</v>
      </c>
      <c r="B46" s="3592"/>
      <c r="C46" s="3592"/>
      <c r="D46" s="3592"/>
      <c r="E46" s="3592"/>
      <c r="F46" s="3592"/>
      <c r="G46" s="3593"/>
      <c r="H46" s="1806"/>
      <c r="I46" s="159"/>
      <c r="J46" s="2521">
        <v>1</v>
      </c>
      <c r="K46" s="3653" t="s">
        <v>1331</v>
      </c>
      <c r="L46" s="3653"/>
      <c r="M46" s="3673"/>
      <c r="N46" s="3673"/>
      <c r="O46" s="3673"/>
    </row>
    <row r="47" spans="1:15" ht="12" customHeight="1">
      <c r="A47" s="160" t="s">
        <v>1332</v>
      </c>
      <c r="B47" s="161"/>
      <c r="C47" s="162"/>
      <c r="D47" s="1087" t="s">
        <v>1333</v>
      </c>
      <c r="E47" s="302" t="s">
        <v>1334</v>
      </c>
      <c r="F47" s="163" t="s">
        <v>1335</v>
      </c>
      <c r="G47" s="2544" t="s">
        <v>1336</v>
      </c>
      <c r="H47" s="2545"/>
      <c r="I47" s="159"/>
      <c r="J47" s="2521">
        <v>2</v>
      </c>
      <c r="K47" s="3653" t="s">
        <v>1337</v>
      </c>
      <c r="L47" s="3653"/>
      <c r="M47" s="3674">
        <f>'数据-取费表'!B2</f>
        <v>45793</v>
      </c>
      <c r="N47" s="3674"/>
      <c r="O47" s="3674"/>
    </row>
    <row r="48" spans="1:15" ht="26.4">
      <c r="A48" s="3622" t="s">
        <v>1338</v>
      </c>
      <c r="B48" s="3605"/>
      <c r="C48" s="360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53" t="s">
        <v>1340</v>
      </c>
      <c r="L48" s="3653"/>
      <c r="M48" s="3675" t="e">
        <f ca="1">H101</f>
        <v>#REF!</v>
      </c>
      <c r="N48" s="3675"/>
      <c r="O48" s="3675"/>
    </row>
    <row r="49" spans="1:35" ht="25.5" customHeight="1">
      <c r="A49" s="2331" t="s">
        <v>1341</v>
      </c>
      <c r="B49" s="3589" t="s">
        <v>1342</v>
      </c>
      <c r="C49" s="3589"/>
      <c r="D49" s="1590">
        <v>0</v>
      </c>
      <c r="E49" s="324" t="s">
        <v>1343</v>
      </c>
      <c r="F49" s="2422" t="s">
        <v>28</v>
      </c>
      <c r="G49" s="3659"/>
      <c r="H49" s="2308" t="s">
        <v>2134</v>
      </c>
      <c r="I49" s="2309"/>
      <c r="J49" s="2521">
        <v>4</v>
      </c>
      <c r="K49" s="3653" t="str">
        <f>IF(项目基本情况!E8="房地产抵押价值","房地产抵押价值","抵押担保权已注销时的房地产抵押价值")</f>
        <v>抵押担保权已注销时的房地产抵押价值</v>
      </c>
      <c r="L49" s="3653"/>
      <c r="M49" s="3675" t="str">
        <f>IF(项目基本情况!E8="房地产抵押价值",H107,H109)</f>
        <v>——</v>
      </c>
      <c r="N49" s="3675"/>
      <c r="O49" s="3675"/>
    </row>
    <row r="50" spans="1:35" ht="25.5" customHeight="1">
      <c r="A50" s="2549"/>
      <c r="B50" s="3589" t="s">
        <v>1344</v>
      </c>
      <c r="C50" s="3589"/>
      <c r="D50" s="2550"/>
      <c r="E50" s="332"/>
      <c r="F50" s="2422"/>
      <c r="G50" s="3660"/>
      <c r="H50" s="2310" t="s">
        <v>2135</v>
      </c>
      <c r="I50" s="2309"/>
      <c r="J50" s="3672" t="s">
        <v>1345</v>
      </c>
      <c r="K50" s="3672"/>
      <c r="L50" s="3672"/>
      <c r="M50" s="3672"/>
      <c r="N50" s="3672"/>
      <c r="O50" s="3672"/>
    </row>
    <row r="51" spans="1:35" ht="20.399999999999999" customHeight="1">
      <c r="A51" s="2551"/>
      <c r="B51" s="3589" t="s">
        <v>1346</v>
      </c>
      <c r="C51" s="3589"/>
      <c r="D51" s="1087"/>
      <c r="E51" s="327"/>
      <c r="F51" s="2422"/>
      <c r="G51" s="3661"/>
      <c r="H51" s="2310" t="s">
        <v>2136</v>
      </c>
      <c r="I51" s="2309"/>
      <c r="J51" s="2522" t="s">
        <v>1347</v>
      </c>
      <c r="K51" s="3653" t="s">
        <v>1348</v>
      </c>
      <c r="L51" s="3653"/>
      <c r="M51" s="2522" t="s">
        <v>1349</v>
      </c>
      <c r="N51" s="2522" t="s">
        <v>1350</v>
      </c>
      <c r="O51" s="2522" t="s">
        <v>1351</v>
      </c>
    </row>
    <row r="52" spans="1:35" ht="24" customHeight="1">
      <c r="A52" s="2333" t="s">
        <v>1352</v>
      </c>
      <c r="B52" s="3589" t="s">
        <v>1353</v>
      </c>
      <c r="C52" s="3589"/>
      <c r="D52" s="1087" t="e">
        <f ca="1">ROUND(D45*'数据-取费表'!B41/(1+'数据-取费表'!C42),0)</f>
        <v>#REF!</v>
      </c>
      <c r="E52" s="2332" t="s">
        <v>1354</v>
      </c>
      <c r="F52" s="2552">
        <f>'数据-取费表'!B41</f>
        <v>5.6000000000000001E-2</v>
      </c>
      <c r="G52" s="2553"/>
      <c r="H52" s="2542"/>
      <c r="I52" s="1807"/>
      <c r="J52" s="2521">
        <v>1</v>
      </c>
      <c r="K52" s="3654" t="s">
        <v>1355</v>
      </c>
      <c r="L52" s="3654"/>
      <c r="M52" s="2523" t="b">
        <f>D48</f>
        <v>0</v>
      </c>
      <c r="N52" s="2521" t="str">
        <f>E48</f>
        <v>销售额×税（费）率</v>
      </c>
      <c r="O52" s="2524">
        <f>F48</f>
        <v>5.6000000000000001E-2</v>
      </c>
    </row>
    <row r="53" spans="1:35" ht="12" customHeight="1">
      <c r="A53" s="2333" t="s">
        <v>1356</v>
      </c>
      <c r="B53" s="3615" t="s">
        <v>2291</v>
      </c>
      <c r="C53" s="3616"/>
      <c r="D53" s="1087" t="e">
        <f ca="1">ROUND(D45*'数据-取费表'!B41/(1+'数据-取费表'!C42),0)</f>
        <v>#REF!</v>
      </c>
      <c r="E53" s="2332" t="s">
        <v>1354</v>
      </c>
      <c r="F53" s="2552">
        <f>'数据-取费表'!B41</f>
        <v>5.6000000000000001E-2</v>
      </c>
      <c r="G53" s="2553"/>
      <c r="H53" s="2542"/>
      <c r="I53" s="1807"/>
      <c r="J53" s="2521">
        <v>2</v>
      </c>
      <c r="K53" s="3654" t="s">
        <v>1357</v>
      </c>
      <c r="L53" s="3654"/>
      <c r="M53" s="2523" t="e">
        <f t="shared" ref="M53:O54" ca="1" si="0">D55</f>
        <v>#REF!</v>
      </c>
      <c r="N53" s="2521" t="str">
        <f t="shared" si="0"/>
        <v>销售额×税（费）率</v>
      </c>
      <c r="O53" s="2524" t="str">
        <f t="shared" si="0"/>
        <v>免征</v>
      </c>
    </row>
    <row r="54" spans="1:35" ht="12" customHeight="1">
      <c r="A54" s="2333" t="s">
        <v>1358</v>
      </c>
      <c r="B54" s="3615" t="s">
        <v>2292</v>
      </c>
      <c r="C54" s="3616"/>
      <c r="D54" s="1087" t="e">
        <f ca="1">C68</f>
        <v>#REF!</v>
      </c>
      <c r="E54" s="327" t="s">
        <v>1359</v>
      </c>
      <c r="F54" s="2552">
        <f>'数据-取费表'!B41</f>
        <v>5.6000000000000001E-2</v>
      </c>
      <c r="G54" s="2553"/>
      <c r="H54" s="2554"/>
      <c r="I54" s="1807"/>
      <c r="J54" s="2521">
        <v>3</v>
      </c>
      <c r="K54" s="3654" t="s">
        <v>1360</v>
      </c>
      <c r="L54" s="3654"/>
      <c r="M54" s="2523" t="e">
        <f t="shared" ca="1" si="0"/>
        <v>#REF!</v>
      </c>
      <c r="N54" s="2521" t="str">
        <f t="shared" si="0"/>
        <v>增值额×税（费）率</v>
      </c>
      <c r="O54" s="2525" t="str">
        <f t="shared" si="0"/>
        <v>免征</v>
      </c>
    </row>
    <row r="55" spans="1:35" ht="24" customHeight="1">
      <c r="A55" s="3604" t="s">
        <v>1361</v>
      </c>
      <c r="B55" s="3605"/>
      <c r="C55" s="3605"/>
      <c r="D55" s="2322" t="e">
        <f ca="1">IF(H55="个人住宅",0,ROUND(D45*I55,0))</f>
        <v>#REF!</v>
      </c>
      <c r="E55" s="2332" t="s">
        <v>1362</v>
      </c>
      <c r="F55" s="2552" t="str">
        <f>IF(H55="正常",I55,"免征")</f>
        <v>免征</v>
      </c>
      <c r="G55" s="2553"/>
      <c r="H55" s="2548"/>
      <c r="I55" s="165">
        <f>'数据-取费表'!B49</f>
        <v>5.0000000000000001E-4</v>
      </c>
      <c r="J55" s="2521">
        <f>IF(H59="非个人房产","",4)</f>
        <v>4</v>
      </c>
      <c r="K55" s="3654" t="str">
        <f>IF(H59="非个人房产","——","个人所得税")</f>
        <v>个人所得税</v>
      </c>
      <c r="L55" s="3654"/>
      <c r="M55" s="2526" t="e">
        <f ca="1">D59</f>
        <v>#REF!</v>
      </c>
      <c r="N55" s="2038" t="str">
        <f>E59</f>
        <v>差额计税</v>
      </c>
      <c r="O55" s="2527">
        <f>F59</f>
        <v>0.01</v>
      </c>
    </row>
    <row r="56" spans="1:35" ht="25.2">
      <c r="A56" s="3604" t="s">
        <v>1363</v>
      </c>
      <c r="B56" s="3605"/>
      <c r="C56" s="3605"/>
      <c r="D56" s="2322" t="e">
        <f ca="1">IF(H56="个人住宅",D57,D58)</f>
        <v>#REF!</v>
      </c>
      <c r="E56" s="2332" t="s">
        <v>1364</v>
      </c>
      <c r="F56" s="2552" t="str">
        <f>IF(H56="正常",F58,"免征")</f>
        <v>免征</v>
      </c>
      <c r="G56" s="2555" t="s">
        <v>1365</v>
      </c>
      <c r="H56" s="2556"/>
      <c r="I56" s="1808"/>
      <c r="J56" s="2521" t="str">
        <f>IF(项目基本情况!K6="上海银行",IF(J55="",4,J55+1),"")</f>
        <v/>
      </c>
      <c r="K56" s="3677" t="str">
        <f>IF(项目基本情况!K6="上海银行","其他处置费用","")</f>
        <v/>
      </c>
      <c r="L56" s="3678"/>
      <c r="M56" s="2523" t="str">
        <f>IF(项目基本情况!K6="上海银行",M69,"")</f>
        <v/>
      </c>
      <c r="N56" s="3677" t="str">
        <f>IF(项目基本情况!K6="上海银行","包含处置中涉及的律师、诉讼、拍卖、评估等费用","")</f>
        <v/>
      </c>
      <c r="O56" s="3680"/>
    </row>
    <row r="57" spans="1:35" ht="13.2">
      <c r="A57" s="2333" t="s">
        <v>1341</v>
      </c>
      <c r="B57" s="3615" t="s">
        <v>1366</v>
      </c>
      <c r="C57" s="3616"/>
      <c r="D57" s="1590">
        <v>0</v>
      </c>
      <c r="E57" s="324" t="s">
        <v>1343</v>
      </c>
      <c r="F57" s="302"/>
      <c r="G57" s="2553"/>
      <c r="H57" s="2557"/>
      <c r="I57" s="1808"/>
      <c r="J57" s="3654">
        <f>IF(AND(J55="",J56=""),4,IF(项目基本情况!K6="上海银行",结果表!J56+1,结果表!J55+1))</f>
        <v>5</v>
      </c>
      <c r="K57" s="3654" t="s">
        <v>1367</v>
      </c>
      <c r="L57" s="2528" t="s">
        <v>1368</v>
      </c>
      <c r="M57" s="2529"/>
      <c r="N57" s="2530">
        <f ca="1">SUMIF(M52:M56,"&lt;9e307")</f>
        <v>0</v>
      </c>
      <c r="O57" s="2531"/>
      <c r="P57" s="2688" t="e">
        <f ca="1">N57/M49</f>
        <v>#VALUE!</v>
      </c>
    </row>
    <row r="58" spans="1:35" ht="25.2">
      <c r="A58" s="2333" t="s">
        <v>1352</v>
      </c>
      <c r="B58" s="3615" t="s">
        <v>1369</v>
      </c>
      <c r="C58" s="3589"/>
      <c r="D58" s="2322" t="e">
        <f ca="1">IF(H58="转让取得",C81,C97)</f>
        <v>#REF!</v>
      </c>
      <c r="E58" s="2332" t="s">
        <v>1364</v>
      </c>
      <c r="F58" s="302" t="s">
        <v>28</v>
      </c>
      <c r="G58" s="2553"/>
      <c r="H58" s="2556"/>
      <c r="I58" s="1808"/>
      <c r="J58" s="3654"/>
      <c r="K58" s="3654"/>
      <c r="L58" s="2528" t="s">
        <v>1370</v>
      </c>
      <c r="M58" s="2532"/>
      <c r="N58" s="2533" t="str">
        <f ca="1">NUMBERSTRING(INT(N57*10000),2)&amp;"元整"</f>
        <v>零元整</v>
      </c>
      <c r="O58" s="2534"/>
    </row>
    <row r="59" spans="1:35" ht="24.6" thickBot="1">
      <c r="A59" s="3657" t="s">
        <v>1371</v>
      </c>
      <c r="B59" s="3658"/>
      <c r="C59" s="3658"/>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55">
        <f>J57+1</f>
        <v>6</v>
      </c>
      <c r="K59" s="3654" t="s">
        <v>1372</v>
      </c>
      <c r="L59" s="2521" t="s">
        <v>1368</v>
      </c>
      <c r="M59" s="2535"/>
      <c r="N59" s="2536" t="e">
        <f ca="1">M49-N57</f>
        <v>#VALUE!</v>
      </c>
      <c r="O59" s="2537"/>
    </row>
    <row r="60" spans="1:35" ht="12" customHeight="1">
      <c r="A60" s="1809"/>
      <c r="B60" s="1747"/>
      <c r="C60" s="1747"/>
      <c r="D60" s="1747"/>
      <c r="E60" s="1578"/>
      <c r="F60" s="1808"/>
      <c r="G60" s="1808"/>
      <c r="H60" s="1810"/>
      <c r="I60" s="129"/>
      <c r="J60" s="3656"/>
      <c r="K60" s="3654"/>
      <c r="L60" s="2528" t="s">
        <v>1370</v>
      </c>
      <c r="M60" s="2532"/>
      <c r="N60" s="2533" t="e">
        <f ca="1">NUMBERSTRING(INT(N59*10000),2)&amp;"元整"</f>
        <v>#VALUE!</v>
      </c>
      <c r="O60" s="2534"/>
    </row>
    <row r="61" spans="1:35" ht="13.8" thickBot="1">
      <c r="A61" s="3602" t="s">
        <v>1373</v>
      </c>
      <c r="B61" s="3602"/>
      <c r="C61" s="3602"/>
      <c r="D61" s="3602"/>
      <c r="E61" s="3602"/>
      <c r="F61" s="1808"/>
      <c r="G61" s="1808"/>
      <c r="H61" s="1810"/>
      <c r="I61" s="129"/>
      <c r="J61" s="2521">
        <f>J59+1</f>
        <v>7</v>
      </c>
      <c r="K61" s="3654" t="s">
        <v>1374</v>
      </c>
      <c r="L61" s="3654"/>
      <c r="M61" s="2538"/>
      <c r="N61" s="2539" t="e">
        <f ca="1">ROUND(N59*10000/'数据-汇总表'!E3,0)</f>
        <v>#VALUE!</v>
      </c>
      <c r="O61" s="2540"/>
    </row>
    <row r="62" spans="1:35" ht="13.2">
      <c r="A62" s="3620" t="s">
        <v>1375</v>
      </c>
      <c r="B62" s="3621"/>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79"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7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79"/>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79"/>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7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79"/>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79"/>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1" t="s">
        <v>1394</v>
      </c>
      <c r="B70" s="3642"/>
      <c r="C70" s="3642"/>
      <c r="D70" s="3642"/>
      <c r="E70" s="3642"/>
      <c r="F70" s="3642"/>
      <c r="G70" s="3642"/>
      <c r="H70" s="364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0" t="s">
        <v>1375</v>
      </c>
      <c r="B71" s="3621"/>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5" t="s">
        <v>1402</v>
      </c>
      <c r="F76" s="3589"/>
      <c r="G76" s="3589"/>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9" t="s">
        <v>1406</v>
      </c>
      <c r="F78" s="3600"/>
      <c r="G78" s="3600"/>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1" t="s">
        <v>1410</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0" t="s">
        <v>1375</v>
      </c>
      <c r="B84" s="3621"/>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81" t="s">
        <v>2129</v>
      </c>
      <c r="H90" s="3682"/>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9" t="s">
        <v>1422</v>
      </c>
      <c r="F92" s="3600"/>
      <c r="G92" s="3600"/>
      <c r="H92" s="3609"/>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9" t="s">
        <v>1406</v>
      </c>
      <c r="F93" s="3600"/>
      <c r="G93" s="3600"/>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10" t="s">
        <v>1426</v>
      </c>
      <c r="F94" s="3611"/>
      <c r="G94" s="3611"/>
      <c r="H94" s="36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3" t="s">
        <v>1428</v>
      </c>
      <c r="B100" s="3584"/>
      <c r="C100" s="3584"/>
      <c r="D100" s="3601"/>
      <c r="E100" s="3584" t="s">
        <v>1429</v>
      </c>
      <c r="F100" s="3584"/>
      <c r="G100" s="3584"/>
      <c r="H100" s="3601"/>
      <c r="I100" s="129"/>
    </row>
    <row r="101" spans="1:35" ht="18.75" customHeight="1">
      <c r="A101" s="3662" t="s">
        <v>1430</v>
      </c>
      <c r="B101" s="3663"/>
      <c r="C101" s="2583" t="str">
        <f>C4</f>
        <v>成本法</v>
      </c>
      <c r="D101" s="2584" t="str">
        <f>D4</f>
        <v>收益法</v>
      </c>
      <c r="E101" s="3676" t="s">
        <v>1431</v>
      </c>
      <c r="F101" s="3633"/>
      <c r="G101" s="1827" t="s">
        <v>1432</v>
      </c>
      <c r="H101" s="2593" t="e">
        <f ca="1">H118</f>
        <v>#REF!</v>
      </c>
      <c r="I101" s="129"/>
    </row>
    <row r="102" spans="1:35" ht="18.75" customHeight="1">
      <c r="A102" s="3635" t="s">
        <v>1433</v>
      </c>
      <c r="B102" s="2582" t="s">
        <v>1432</v>
      </c>
      <c r="C102" s="2583">
        <f ca="1">IF(D32="楼面单价",ROUND(C19,0),C19)</f>
        <v>921</v>
      </c>
      <c r="D102" s="2584">
        <f ca="1">IF(D32="楼面单价",ROUND(D19,0),D19)</f>
        <v>495</v>
      </c>
      <c r="E102" s="3676"/>
      <c r="F102" s="3633"/>
      <c r="G102" s="1827" t="s">
        <v>1434</v>
      </c>
      <c r="H102" s="2553" t="e">
        <f ca="1">I118</f>
        <v>#REF!</v>
      </c>
      <c r="I102" s="129"/>
    </row>
    <row r="103" spans="1:35" ht="42.75" customHeight="1">
      <c r="A103" s="3635"/>
      <c r="B103" s="2582" t="s">
        <v>1434</v>
      </c>
      <c r="C103" s="2585">
        <f ca="1">C20</f>
        <v>46739</v>
      </c>
      <c r="D103" s="2586">
        <f ca="1">D20</f>
        <v>25121</v>
      </c>
      <c r="E103" s="3670" t="s">
        <v>1435</v>
      </c>
      <c r="F103" s="3671"/>
      <c r="G103" s="1828" t="s">
        <v>1436</v>
      </c>
      <c r="H103" s="2593">
        <f>IF(D36="正常操作",H104+H105+H106,H105+H106)</f>
        <v>0</v>
      </c>
      <c r="I103" s="129"/>
    </row>
    <row r="104" spans="1:35" ht="18.75" customHeight="1">
      <c r="A104" s="3635"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36"/>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32" t="str">
        <f>IF(项目基本情况!E8="已注销","——","3.房地产抵押价值")</f>
        <v>3.房地产抵押价值</v>
      </c>
      <c r="F107" s="3633"/>
      <c r="G107" s="1827" t="s">
        <v>1432</v>
      </c>
      <c r="H107" s="2593" t="e">
        <f ca="1">IF(E107="——","——",H101-H103)</f>
        <v>#REF!</v>
      </c>
      <c r="I107" s="129"/>
    </row>
    <row r="108" spans="1:35" ht="18.75" customHeight="1">
      <c r="A108" s="129"/>
      <c r="B108" s="129"/>
      <c r="C108" s="129"/>
      <c r="D108" s="129"/>
      <c r="E108" s="3632"/>
      <c r="F108" s="3633"/>
      <c r="G108" s="1827" t="s">
        <v>1434</v>
      </c>
      <c r="H108" s="2553">
        <f ca="1">IF(H107=H101,H102,ROUND(H107*10000/'数据-汇总表'!E3,0))</f>
        <v>0</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33"/>
      <c r="G109" s="1827" t="s">
        <v>1432</v>
      </c>
      <c r="H109" s="2596" t="str">
        <f>IF(E109="——","——",H101-H105-H106)</f>
        <v>——</v>
      </c>
      <c r="I109" s="129"/>
    </row>
    <row r="110" spans="1:35" ht="18.75" customHeight="1">
      <c r="A110" s="129"/>
      <c r="B110" s="129"/>
      <c r="C110" s="129"/>
      <c r="D110" s="129"/>
      <c r="E110" s="3632"/>
      <c r="F110" s="3633"/>
      <c r="G110" s="1827" t="s">
        <v>1434</v>
      </c>
      <c r="H110" s="2553" t="str">
        <f>IF(H109="——","——",ROUND(H109*10000/'数据-汇总表'!E3,0))</f>
        <v>——</v>
      </c>
      <c r="I110" s="129"/>
    </row>
    <row r="111" spans="1:35" ht="18.75" customHeight="1">
      <c r="A111" s="129"/>
      <c r="B111" s="129"/>
      <c r="C111" s="129"/>
      <c r="D111" s="129"/>
      <c r="E111" s="3664" t="str">
        <f>IF(项目基本情况!E9="抵押净值",IF(OR(项目基本情况!E8="已注销",项目基本情况!E8="房地产抵押价值"),"4.抵押净值","5.抵押净值"),"——")</f>
        <v>——</v>
      </c>
      <c r="F111" s="3634"/>
      <c r="G111" s="1827" t="s">
        <v>1432</v>
      </c>
      <c r="H111" s="2593" t="str">
        <f>IF(E111="——","——",N59)</f>
        <v>——</v>
      </c>
      <c r="I111" s="129"/>
    </row>
    <row r="112" spans="1:35" ht="18.75" customHeight="1" thickBot="1">
      <c r="A112" s="129"/>
      <c r="B112" s="129"/>
      <c r="C112" s="129"/>
      <c r="D112" s="129"/>
      <c r="E112" s="3665"/>
      <c r="F112" s="3666"/>
      <c r="G112" s="1830" t="s">
        <v>1434</v>
      </c>
      <c r="H112" s="2597" t="str">
        <f>IF(E111="——","——",N61)</f>
        <v>——</v>
      </c>
      <c r="I112" s="129"/>
    </row>
    <row r="113" spans="1:27" ht="18.75" customHeight="1">
      <c r="A113" s="129"/>
      <c r="B113" s="129"/>
      <c r="C113" s="129"/>
      <c r="D113" s="129"/>
      <c r="E113" s="3637" t="s">
        <v>1440</v>
      </c>
      <c r="F113" s="3637"/>
      <c r="G113" s="3637"/>
      <c r="H113" s="3637"/>
      <c r="I113" s="129"/>
    </row>
    <row r="114" spans="1:27" ht="3.75" customHeight="1">
      <c r="A114" s="1747"/>
      <c r="B114" s="1747"/>
      <c r="C114" s="1747"/>
      <c r="D114" s="1747"/>
      <c r="E114" s="1809"/>
      <c r="F114" s="1809"/>
      <c r="G114" s="1809"/>
      <c r="H114" s="1809"/>
      <c r="I114" s="1747"/>
    </row>
    <row r="115" spans="1:27" ht="18.75" customHeight="1">
      <c r="A115" s="3647" t="s">
        <v>1442</v>
      </c>
      <c r="B115" s="3648"/>
      <c r="C115" s="3648"/>
      <c r="D115" s="3648"/>
      <c r="E115" s="3648"/>
      <c r="F115" s="3648"/>
      <c r="G115" s="3648"/>
      <c r="H115" s="3648"/>
      <c r="I115" s="3649"/>
    </row>
    <row r="116" spans="1:27" ht="27" customHeight="1">
      <c r="A116" s="3603" t="s">
        <v>1443</v>
      </c>
      <c r="B116" s="3638" t="s">
        <v>1444</v>
      </c>
      <c r="C116" s="3638" t="s">
        <v>1445</v>
      </c>
      <c r="D116" s="3651" t="s">
        <v>1446</v>
      </c>
      <c r="E116" s="3652"/>
      <c r="F116" s="3646" t="s">
        <v>1447</v>
      </c>
      <c r="G116" s="3646"/>
      <c r="H116" s="3603" t="s">
        <v>1448</v>
      </c>
      <c r="I116" s="3603"/>
    </row>
    <row r="117" spans="1:27" ht="18.75" customHeight="1">
      <c r="A117" s="3603"/>
      <c r="B117" s="3639"/>
      <c r="C117" s="363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197.05</v>
      </c>
      <c r="C118" s="2327">
        <f>M19</f>
        <v>46.92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03" t="s">
        <v>1452</v>
      </c>
      <c r="B119" s="3603"/>
      <c r="C119" s="3603"/>
      <c r="D119" s="3643" t="e">
        <f ca="1">NUMBERSTRING(INT(D118*10000),2)&amp;"元整"</f>
        <v>#REF!</v>
      </c>
      <c r="E119" s="3645"/>
      <c r="F119" s="3643" t="e">
        <f ca="1">NUMBERSTRING(INT(F118*10000),2)&amp;"元整"</f>
        <v>#REF!</v>
      </c>
      <c r="G119" s="3645"/>
      <c r="H119" s="3643" t="e">
        <f ca="1">NUMBERSTRING(INT(H118*10000),2)&amp;"元整"</f>
        <v>#REF!</v>
      </c>
      <c r="I119" s="3645"/>
    </row>
    <row r="120" spans="1:27" ht="18.75" customHeight="1">
      <c r="A120" s="3667" t="str">
        <f>IF(项目基本情况!B9="房地产市场价值","",MID(E103,3,LEN(E103)-2))</f>
        <v/>
      </c>
      <c r="B120" s="3668"/>
      <c r="C120" s="3669"/>
      <c r="D120" s="3667">
        <f>H103</f>
        <v>0</v>
      </c>
      <c r="E120" s="3668"/>
      <c r="F120" s="3668"/>
      <c r="G120" s="3668"/>
      <c r="H120" s="3668"/>
      <c r="I120" s="36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3" t="s">
        <v>1452</v>
      </c>
      <c r="B121" s="3644"/>
      <c r="C121" s="3645"/>
      <c r="D121" s="3643" t="str">
        <f>IF(D120=0,"零元整",NUMBERSTRING(INT(D120*10000),2)&amp;"元整")</f>
        <v>零元整</v>
      </c>
      <c r="E121" s="3644"/>
      <c r="F121" s="3644"/>
      <c r="G121" s="3644"/>
      <c r="H121" s="3644"/>
      <c r="I121" s="3645"/>
      <c r="AA121" s="725"/>
    </row>
    <row r="122" spans="1:27" ht="18.75" customHeight="1">
      <c r="A122" s="3634" t="str">
        <f>IF(项目基本情况!B9="房地产市场价值","",MID(E107,3,LEN(E107)-2))</f>
        <v/>
      </c>
      <c r="B122" s="3634"/>
      <c r="C122" s="3634"/>
      <c r="D122" s="3667" t="e">
        <f ca="1">H107</f>
        <v>#REF!</v>
      </c>
      <c r="E122" s="3668"/>
      <c r="F122" s="3668"/>
      <c r="G122" s="3668"/>
      <c r="H122" s="3668"/>
      <c r="I122" s="3669"/>
      <c r="AA122" s="725"/>
    </row>
    <row r="123" spans="1:27" ht="18.75" customHeight="1">
      <c r="A123" s="3603" t="s">
        <v>1452</v>
      </c>
      <c r="B123" s="3603"/>
      <c r="C123" s="3603"/>
      <c r="D123" s="3643" t="e">
        <f ca="1">NUMBERSTRING(INT(D122*10000),2)&amp;"元整"</f>
        <v>#REF!</v>
      </c>
      <c r="E123" s="3644"/>
      <c r="F123" s="3644"/>
      <c r="G123" s="3644"/>
      <c r="H123" s="3644"/>
      <c r="I123" s="3645"/>
      <c r="AA123" s="725"/>
    </row>
    <row r="124" spans="1:27" ht="18.75" customHeight="1">
      <c r="A124" s="3634" t="str">
        <f>IF(项目基本情况!B9="房地产市场价值","",MID(E109,3,LEN(E109)-2))</f>
        <v/>
      </c>
      <c r="B124" s="3634"/>
      <c r="C124" s="3634"/>
      <c r="D124" s="3667" t="str">
        <f>H109</f>
        <v>——</v>
      </c>
      <c r="E124" s="3668"/>
      <c r="F124" s="3668"/>
      <c r="G124" s="3668"/>
      <c r="H124" s="3668"/>
      <c r="I124" s="3669"/>
      <c r="AA124" s="725"/>
    </row>
    <row r="125" spans="1:27" ht="18.75" customHeight="1">
      <c r="A125" s="3603" t="s">
        <v>1452</v>
      </c>
      <c r="B125" s="3603"/>
      <c r="C125" s="3603"/>
      <c r="D125" s="3643" t="e">
        <f>NUMBERSTRING(INT(D124*10000),2)&amp;"元整"</f>
        <v>#VALUE!</v>
      </c>
      <c r="E125" s="3644"/>
      <c r="F125" s="3644"/>
      <c r="G125" s="3644"/>
      <c r="H125" s="3644"/>
      <c r="I125" s="3645"/>
      <c r="AA125" s="725"/>
    </row>
    <row r="126" spans="1:27" ht="18.75" customHeight="1">
      <c r="A126" s="3634" t="str">
        <f>IF(项目基本情况!B9="房地产市场价值","",MID(E111,3,LEN(E111)-2))</f>
        <v/>
      </c>
      <c r="B126" s="3634"/>
      <c r="C126" s="3634"/>
      <c r="D126" s="3667" t="str">
        <f>H111</f>
        <v>——</v>
      </c>
      <c r="E126" s="3668"/>
      <c r="F126" s="3668"/>
      <c r="G126" s="3668"/>
      <c r="H126" s="3668"/>
      <c r="I126" s="3669"/>
      <c r="AA126" s="725"/>
    </row>
    <row r="127" spans="1:27" ht="18.75" customHeight="1">
      <c r="A127" s="3603" t="s">
        <v>1452</v>
      </c>
      <c r="B127" s="3603"/>
      <c r="C127" s="3603"/>
      <c r="D127" s="3643" t="e">
        <f>NUMBERSTRING(INT(D126*10000),2)&amp;"元整"</f>
        <v>#VALUE!</v>
      </c>
      <c r="E127" s="3644"/>
      <c r="F127" s="3644"/>
      <c r="G127" s="3644"/>
      <c r="H127" s="3644"/>
      <c r="I127" s="3645"/>
      <c r="AA127" s="725"/>
    </row>
    <row r="128" spans="1:27" ht="21.75" customHeight="1">
      <c r="A128" s="3650" t="s">
        <v>1453</v>
      </c>
      <c r="B128" s="3650"/>
      <c r="C128" s="3650"/>
      <c r="D128" s="3650"/>
      <c r="E128" s="3650"/>
      <c r="F128" s="3650"/>
      <c r="G128" s="3650"/>
      <c r="H128" s="3650"/>
      <c r="I128" s="365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7" sqref="H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3418</v>
      </c>
      <c r="D1" s="1362" t="s">
        <v>43</v>
      </c>
      <c r="E1" s="1363" t="s">
        <v>678</v>
      </c>
      <c r="F1" s="1062">
        <f ca="1">J53</f>
        <v>40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495</v>
      </c>
      <c r="C2" s="1387" t="s">
        <v>805</v>
      </c>
      <c r="D2" s="1387"/>
      <c r="E2" s="1388"/>
      <c r="F2" s="1389"/>
      <c r="G2" s="2704"/>
      <c r="H2" s="2693"/>
      <c r="I2" s="2693"/>
      <c r="J2" s="2693"/>
      <c r="K2" s="2694"/>
      <c r="L2" s="2693"/>
      <c r="M2" s="2693"/>
    </row>
    <row r="3" spans="1:37" ht="18" customHeight="1" thickBot="1">
      <c r="A3" s="1390" t="s">
        <v>806</v>
      </c>
      <c r="B3" s="1391">
        <f ca="1">IF(ISERROR(B2*10000/F43),0,ROUND(B2*10000/F43,0))</f>
        <v>25121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v>
      </c>
      <c r="D5" s="1364" t="s">
        <v>693</v>
      </c>
      <c r="E5" s="1071"/>
      <c r="F5" s="1072"/>
      <c r="G5" s="1384"/>
      <c r="H5" s="299">
        <v>1</v>
      </c>
      <c r="I5" s="300" t="s">
        <v>692</v>
      </c>
      <c r="J5" s="1070">
        <f ca="1">J6+J10+J12</f>
        <v>0</v>
      </c>
      <c r="K5" s="1364" t="s">
        <v>693</v>
      </c>
      <c r="L5" s="1071"/>
      <c r="M5" s="1072"/>
    </row>
    <row r="6" spans="1:37" ht="18" customHeight="1">
      <c r="A6" s="1069" t="s">
        <v>398</v>
      </c>
      <c r="B6" s="3685" t="s">
        <v>694</v>
      </c>
      <c r="C6" s="1074">
        <f ca="1">ROUND(F6*F8*F7*(1-F9)/10000,0)</f>
        <v>22</v>
      </c>
      <c r="D6" s="155" t="s">
        <v>2109</v>
      </c>
      <c r="E6" s="302" t="s">
        <v>696</v>
      </c>
      <c r="F6" s="303">
        <f ca="1">INDIRECT("'数据-取费表'!u"&amp;$G$1)</f>
        <v>20000</v>
      </c>
      <c r="G6" s="1384"/>
      <c r="H6" s="1069" t="s">
        <v>398</v>
      </c>
      <c r="I6" s="3685" t="s">
        <v>694</v>
      </c>
      <c r="J6" s="301">
        <f ca="1">ROUND(M6*M8*M7*(1-M9)/10000,0)</f>
        <v>0</v>
      </c>
      <c r="K6" s="155" t="s">
        <v>2108</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1</v>
      </c>
      <c r="G7" s="1384"/>
      <c r="H7" s="304"/>
      <c r="I7" s="3686"/>
      <c r="J7" s="306"/>
      <c r="K7" s="307"/>
      <c r="L7" s="302" t="s">
        <v>697</v>
      </c>
      <c r="M7" s="303">
        <f ca="1">F7</f>
        <v>1</v>
      </c>
    </row>
    <row r="8" spans="1:37" ht="18" customHeight="1">
      <c r="A8" s="304"/>
      <c r="B8" s="3686"/>
      <c r="C8" s="306"/>
      <c r="D8" s="307"/>
      <c r="E8" s="302" t="s">
        <v>698</v>
      </c>
      <c r="F8" s="303">
        <f ca="1">INDIRECT("'数据-取费表'!ai"&amp;$G$1)</f>
        <v>12</v>
      </c>
      <c r="G8" s="1384"/>
      <c r="H8" s="304"/>
      <c r="I8" s="3686"/>
      <c r="J8" s="306"/>
      <c r="K8" s="307"/>
      <c r="L8" s="302" t="s">
        <v>698</v>
      </c>
      <c r="M8" s="303">
        <f ca="1">INDIRECT("'数据-取费表'!ai"&amp;$G$1)</f>
        <v>12</v>
      </c>
    </row>
    <row r="9" spans="1:37" ht="18" customHeight="1">
      <c r="A9" s="304"/>
      <c r="B9" s="3687"/>
      <c r="C9" s="306"/>
      <c r="D9" s="307"/>
      <c r="E9" s="302" t="s">
        <v>699</v>
      </c>
      <c r="F9" s="312">
        <f ca="1">INDIRECT("'数据-取费表'!w"&amp;$G$1)</f>
        <v>0.1</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75</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v>
      </c>
      <c r="D14" s="1345" t="s">
        <v>708</v>
      </c>
      <c r="E14" s="1342"/>
      <c r="F14" s="319"/>
      <c r="G14" s="1384"/>
      <c r="H14" s="982" t="s">
        <v>398</v>
      </c>
      <c r="I14" s="302" t="s">
        <v>709</v>
      </c>
      <c r="J14" s="21">
        <f ca="1">C29</f>
        <v>99</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0.1</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0.11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46.92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1.98</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15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v>
      </c>
      <c r="D29" s="1092"/>
      <c r="E29" s="1090"/>
      <c r="F29" s="1093"/>
      <c r="G29" s="1396"/>
      <c r="H29" s="334" t="s">
        <v>396</v>
      </c>
      <c r="I29" s="335" t="s">
        <v>768</v>
      </c>
      <c r="J29" s="336">
        <f ca="1">ROUND(J26/(1+F40)^F41,0)</f>
        <v>0</v>
      </c>
      <c r="K29" s="337" t="s">
        <v>769</v>
      </c>
      <c r="L29" s="338"/>
      <c r="M29" s="339">
        <f ca="1">INDIRECT("'数据-取费表'!k"&amp;$G$1)</f>
        <v>197.05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1.47</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46.92</v>
      </c>
      <c r="G35" s="1384"/>
      <c r="H35" s="2695"/>
      <c r="I35" s="1398"/>
      <c r="J35" s="1399"/>
      <c r="K35" s="2699"/>
      <c r="L35" s="2698"/>
      <c r="M35" s="2698"/>
    </row>
    <row r="36" spans="1:18" ht="18" customHeight="1">
      <c r="A36" s="1102" t="s">
        <v>402</v>
      </c>
      <c r="B36" s="302" t="s">
        <v>738</v>
      </c>
      <c r="C36" s="21">
        <f ca="1">ROUND(C29*F36,2)</f>
        <v>1.98</v>
      </c>
      <c r="D36" s="1344" t="s">
        <v>771</v>
      </c>
      <c r="E36" s="302" t="s">
        <v>712</v>
      </c>
      <c r="F36" s="328">
        <f ca="1">INDIRECT("'数据-取费表'!Ak"&amp;$G$1)</f>
        <v>0.02</v>
      </c>
      <c r="G36" s="1384"/>
      <c r="H36" s="2698"/>
      <c r="I36" s="1398"/>
      <c r="J36" s="1399"/>
      <c r="K36" s="2542"/>
      <c r="L36" s="2698"/>
      <c r="M36" s="2698"/>
    </row>
    <row r="37" spans="1:18" ht="18" customHeight="1">
      <c r="A37" s="982" t="s">
        <v>437</v>
      </c>
      <c r="B37" s="302" t="s">
        <v>742</v>
      </c>
      <c r="C37" s="21">
        <f ca="1">ROUND(C13*F37,2)</f>
        <v>0.11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0.33</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18</v>
      </c>
      <c r="D39" s="1095" t="s">
        <v>773</v>
      </c>
      <c r="E39" s="1096"/>
      <c r="F39" s="1097"/>
      <c r="G39" s="1384"/>
      <c r="H39" s="2698"/>
      <c r="I39" s="1398"/>
      <c r="J39" s="1399"/>
      <c r="K39" s="2702"/>
      <c r="L39" s="2698"/>
      <c r="M39" s="2698"/>
    </row>
    <row r="40" spans="1:18" ht="18" customHeight="1">
      <c r="A40" s="299" t="s">
        <v>395</v>
      </c>
      <c r="B40" s="300" t="s">
        <v>774</v>
      </c>
      <c r="C40" s="301">
        <f ca="1">ROUND(C39*(1-((1+F42)/(1+F40))^F41)/(F40-F42),0)</f>
        <v>495</v>
      </c>
      <c r="D40" s="324" t="s">
        <v>758</v>
      </c>
      <c r="E40" s="302" t="s">
        <v>759</v>
      </c>
      <c r="F40" s="312">
        <f ca="1">INDIRECT("'数据-取费表'!I"&amp;$G$1)</f>
        <v>0.04</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47.84</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25121</v>
      </c>
      <c r="D43" s="337" t="s">
        <v>777</v>
      </c>
      <c r="E43" s="338" t="s">
        <v>778</v>
      </c>
      <c r="F43" s="339">
        <f ca="1">INDIRECT("'数据-取费表'!k"&amp;$G$1)</f>
        <v>197.05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-537</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3423</v>
      </c>
      <c r="K47" s="1416" t="s">
        <v>816</v>
      </c>
      <c r="L47" s="1417">
        <f ca="1">INDIRECT("'数据-取费表'!d"&amp;$G$1)</f>
        <v>70</v>
      </c>
      <c r="M47" s="1380" t="str">
        <f>IF(ISNUMBER(FIND("住宅",C1)),"住宅","非住宅")</f>
        <v>非住宅</v>
      </c>
      <c r="O47" s="1418" t="s">
        <v>403</v>
      </c>
      <c r="P47" s="1419" t="s">
        <v>817</v>
      </c>
      <c r="Q47" s="1420">
        <f ca="1">C40+J29</f>
        <v>495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3424</v>
      </c>
      <c r="K48" s="1423" t="s">
        <v>820</v>
      </c>
      <c r="L48" s="1424">
        <f ca="1">INDIRECT("'数据-取费表'!f"&amp;$G$1)</f>
        <v>47.84</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99</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267</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0.05</v>
      </c>
      <c r="O52" s="1428" t="s">
        <v>408</v>
      </c>
      <c r="P52" s="1419" t="s">
        <v>834</v>
      </c>
      <c r="Q52" s="1420">
        <f ca="1">J53</f>
        <v>40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40</v>
      </c>
      <c r="K53" s="3683" t="s">
        <v>837</v>
      </c>
      <c r="L53" s="3684"/>
      <c r="O53" s="1418" t="s">
        <v>409</v>
      </c>
      <c r="P53" s="1419" t="s">
        <v>838</v>
      </c>
      <c r="Q53" s="1420">
        <f ca="1">Q47+Q48</f>
        <v>495</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3426</v>
      </c>
      <c r="O55" s="1411" t="s">
        <v>811</v>
      </c>
      <c r="P55" s="1412" t="s">
        <v>812</v>
      </c>
      <c r="Q55" s="1413" t="s">
        <v>813</v>
      </c>
      <c r="R55" s="1413" t="s">
        <v>814</v>
      </c>
    </row>
    <row r="56" spans="1:18" s="1384" customFormat="1" ht="37.200000000000003" thickTop="1" thickBot="1">
      <c r="A56" s="957">
        <v>2</v>
      </c>
      <c r="B56" s="958" t="s">
        <v>704</v>
      </c>
      <c r="C56" s="232">
        <f ca="1">C13</f>
        <v>75</v>
      </c>
      <c r="D56" s="1447"/>
      <c r="E56" s="1448"/>
      <c r="F56" s="1440"/>
      <c r="I56" s="1449" t="s">
        <v>842</v>
      </c>
      <c r="J56" s="1450" t="s">
        <v>3425</v>
      </c>
      <c r="K56" s="1421" t="s">
        <v>843</v>
      </c>
      <c r="L56" s="1424">
        <f ca="1">IF(L48&lt;J51,"——",L48-J53)</f>
        <v>7.8400000000000034</v>
      </c>
      <c r="O56" s="1418" t="s">
        <v>403</v>
      </c>
      <c r="P56" s="1419" t="s">
        <v>817</v>
      </c>
      <c r="Q56" s="1420">
        <f ca="1">C40+J29</f>
        <v>495</v>
      </c>
      <c r="R56" s="1420" t="s">
        <v>818</v>
      </c>
    </row>
    <row r="57" spans="1:18" s="1384" customFormat="1" ht="24.6" thickBot="1">
      <c r="A57" s="1451"/>
      <c r="B57" s="950" t="s">
        <v>767</v>
      </c>
      <c r="C57" s="238">
        <f ca="1">C29</f>
        <v>99</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2</v>
      </c>
      <c r="D58" s="960" t="s">
        <v>715</v>
      </c>
      <c r="E58" s="961"/>
      <c r="F58" s="962"/>
      <c r="I58" s="1455" t="s">
        <v>848</v>
      </c>
      <c r="J58" s="1457" t="e">
        <f ca="1">IF(J55&lt;0.4,0.4,J55)</f>
        <v>#VALUE!</v>
      </c>
      <c r="K58" s="1434" t="s">
        <v>849</v>
      </c>
      <c r="L58" s="1424">
        <f ca="1">ROUND(POWER(1+L52,L47-L48)*(POWER(1+L52,L48)-1)/(POWER(1+L52,L47)-1),4)</f>
        <v>0.93379999999999996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0.8871</v>
      </c>
      <c r="M59" s="1380">
        <f ca="1">ROUND(POWER(1+L52,L47-(J51+'数据-取费表'!B24))*(POWER(1+L52,(J51+'数据-取费表'!B24))-1)/(POWER(1+L52,L47)-1),4)</f>
        <v>0.8871</v>
      </c>
      <c r="N59" s="1380">
        <f ca="1">ROUND(POWER(1+L52,L47-(J51+'数据-取费表'!B20))*(POWER(1+L52,(J51+'数据-取费表'!B20))-1)/(POWER(1+L52,L47)-1),4)</f>
        <v>0.90080000000000005</v>
      </c>
      <c r="O59" s="1428" t="s">
        <v>406</v>
      </c>
      <c r="P59" s="1419" t="s">
        <v>852</v>
      </c>
      <c r="Q59" s="1431">
        <f>L52</f>
        <v>0.05</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0.93379999999999996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f ca="1">L59</f>
        <v>0.8871</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495</v>
      </c>
      <c r="R62" s="1420" t="s">
        <v>410</v>
      </c>
    </row>
    <row r="63" spans="1:18" s="1384" customFormat="1" ht="13.8" thickBot="1">
      <c r="A63" s="326"/>
      <c r="B63" s="956"/>
      <c r="C63" s="26"/>
      <c r="D63" s="966"/>
      <c r="E63" s="950" t="s">
        <v>788</v>
      </c>
      <c r="F63" s="303">
        <f t="shared" ca="1" si="0"/>
        <v>46.92</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1.98</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0.11</v>
      </c>
      <c r="D65" s="964" t="s">
        <v>743</v>
      </c>
      <c r="E65" s="950" t="s">
        <v>744</v>
      </c>
      <c r="F65" s="330">
        <f t="shared" ca="1" si="0"/>
        <v>1.5E-3</v>
      </c>
      <c r="I65" s="1462" t="s">
        <v>867</v>
      </c>
      <c r="J65" s="1463">
        <v>40</v>
      </c>
      <c r="K65" s="1463">
        <v>30</v>
      </c>
      <c r="L65" s="1463">
        <v>50</v>
      </c>
      <c r="M65" s="1465">
        <v>0.02</v>
      </c>
      <c r="O65" s="1418" t="s">
        <v>403</v>
      </c>
      <c r="P65" s="1419" t="s">
        <v>868</v>
      </c>
      <c r="Q65" s="1420">
        <f ca="1">C40+J29</f>
        <v>495</v>
      </c>
      <c r="R65" s="1420" t="s">
        <v>818</v>
      </c>
    </row>
    <row r="66" spans="1:18" s="1384" customFormat="1" ht="16.2"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24.6" thickBot="1">
      <c r="A67" s="957" t="s">
        <v>394</v>
      </c>
      <c r="B67" s="967" t="s">
        <v>752</v>
      </c>
      <c r="C67" s="316">
        <f ca="1">C48-C58</f>
        <v>-2</v>
      </c>
      <c r="D67" s="963" t="s">
        <v>753</v>
      </c>
      <c r="E67" s="968"/>
      <c r="F67" s="969"/>
      <c r="O67" s="1428" t="s">
        <v>405</v>
      </c>
      <c r="P67" s="1419" t="s">
        <v>850</v>
      </c>
      <c r="Q67" s="1466">
        <f ca="1">L51</f>
        <v>267</v>
      </c>
      <c r="R67" s="1420" t="s">
        <v>870</v>
      </c>
    </row>
    <row r="68" spans="1:18" s="1384" customFormat="1" ht="16.2" thickBot="1">
      <c r="A68" s="947" t="s">
        <v>395</v>
      </c>
      <c r="B68" s="948" t="s">
        <v>774</v>
      </c>
      <c r="C68" s="301">
        <f ca="1">ROUND(C67*(1-((1+F70)/(1+F68))^F69)/(F68-F70),0)</f>
        <v>-42</v>
      </c>
      <c r="D68" s="965" t="s">
        <v>758</v>
      </c>
      <c r="E68" s="950" t="s">
        <v>759</v>
      </c>
      <c r="F68" s="312">
        <f ca="1">F40</f>
        <v>0.04</v>
      </c>
      <c r="O68" s="1428" t="s">
        <v>406</v>
      </c>
      <c r="P68" s="1467" t="s">
        <v>871</v>
      </c>
      <c r="Q68" s="1420">
        <f ca="1">ROUND(Q69-Q70*Q71,0)</f>
        <v>14</v>
      </c>
      <c r="R68" s="1420" t="s">
        <v>414</v>
      </c>
    </row>
    <row r="69" spans="1:18" s="1384" customFormat="1" ht="13.8" thickBot="1">
      <c r="A69" s="951"/>
      <c r="B69" s="952"/>
      <c r="C69" s="306"/>
      <c r="D69" s="970" t="s">
        <v>762</v>
      </c>
      <c r="E69" s="950" t="s">
        <v>763</v>
      </c>
      <c r="F69" s="333">
        <f ca="1">F41</f>
        <v>47.84</v>
      </c>
      <c r="O69" s="1428" t="s">
        <v>411</v>
      </c>
      <c r="P69" s="1467" t="s">
        <v>872</v>
      </c>
      <c r="Q69" s="1420">
        <f ca="1">C39</f>
        <v>18</v>
      </c>
      <c r="R69" s="1420" t="s">
        <v>818</v>
      </c>
    </row>
    <row r="70" spans="1:18" s="1384" customFormat="1" ht="13.8" thickBot="1">
      <c r="A70" s="954"/>
      <c r="B70" s="955"/>
      <c r="C70" s="310"/>
      <c r="D70" s="966"/>
      <c r="E70" s="950" t="s">
        <v>766</v>
      </c>
      <c r="F70" s="1054"/>
      <c r="O70" s="1428" t="s">
        <v>412</v>
      </c>
      <c r="P70" s="1467" t="s">
        <v>873</v>
      </c>
      <c r="Q70" s="1420">
        <f ca="1">C13</f>
        <v>75</v>
      </c>
      <c r="R70" s="1420" t="s">
        <v>818</v>
      </c>
    </row>
    <row r="71" spans="1:18" s="1384" customFormat="1" ht="13.8" thickBot="1">
      <c r="A71" s="971" t="s">
        <v>396</v>
      </c>
      <c r="B71" s="972" t="s">
        <v>776</v>
      </c>
      <c r="C71" s="336">
        <f ca="1">ROUND(C68*10000/F71,0)</f>
        <v>-2131</v>
      </c>
      <c r="D71" s="973" t="s">
        <v>777</v>
      </c>
      <c r="E71" s="974" t="s">
        <v>778</v>
      </c>
      <c r="F71" s="339">
        <f ca="1">F43</f>
        <v>197.05</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0.93379999999999996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0.8871</v>
      </c>
      <c r="R74" s="1420" t="s">
        <v>857</v>
      </c>
    </row>
    <row r="75" spans="1:18" ht="13.8" thickBot="1">
      <c r="A75" s="1384"/>
      <c r="B75" s="340" t="s">
        <v>795</v>
      </c>
      <c r="C75" s="341">
        <f ca="1">ROUND(C13*C76,0)</f>
        <v>5</v>
      </c>
      <c r="D75" s="1384"/>
      <c r="E75" s="1384"/>
      <c r="F75" s="1384"/>
      <c r="K75" s="1402"/>
      <c r="L75" s="1384"/>
      <c r="O75" s="1418" t="s">
        <v>409</v>
      </c>
      <c r="P75" s="1419" t="s">
        <v>838</v>
      </c>
      <c r="Q75" s="1420">
        <f ca="1">Q65+Q66</f>
        <v>495</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0" t="str">
        <f>项目基本情况!B1</f>
        <v>北京市房地产市场价值预评估</v>
      </c>
      <c r="C37" s="3500"/>
      <c r="D37" s="3500"/>
      <c r="E37" s="3500"/>
      <c r="F37" s="3500"/>
      <c r="G37" s="3500"/>
      <c r="H37" s="3500"/>
      <c r="I37" s="350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85.478300000000004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31528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31528</v>
      </c>
      <c r="D8" s="222"/>
      <c r="E8" s="220"/>
      <c r="F8" s="221"/>
      <c r="G8" s="1856"/>
    </row>
    <row r="9" spans="1:8" s="214" customFormat="1" ht="13.5" customHeight="1">
      <c r="A9" s="779" t="s">
        <v>355</v>
      </c>
      <c r="B9" s="224" t="s">
        <v>1478</v>
      </c>
      <c r="C9" s="225">
        <f ca="1">ROUND(D9*E9,0)</f>
        <v>31528</v>
      </c>
      <c r="D9" s="845">
        <f ca="1">IF(B1="",'数据-汇总表'!E5,IF(INDIRECT("'数据-取费表'!c"&amp;$G$1)="住宅",INDIRECT("'数据-取费表'!k"&amp;$G$1),0))</f>
        <v>197.05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39410</v>
      </c>
      <c r="D19" s="849">
        <f ca="1">D9+D10</f>
        <v>197.05</v>
      </c>
      <c r="E19" s="211">
        <f>'数据-取费表'!B31</f>
        <v>200</v>
      </c>
      <c r="F19" s="231"/>
      <c r="G19" s="1856"/>
    </row>
    <row r="20" spans="1:7" s="214" customFormat="1" ht="13.5" customHeight="1">
      <c r="A20" s="255" t="s">
        <v>1574</v>
      </c>
      <c r="B20" s="210" t="s">
        <v>1575</v>
      </c>
      <c r="C20" s="232">
        <f ca="1">ROUND((C5+C19)*F20,0)</f>
        <v>1419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4510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2481</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14471</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14471</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100393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719233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591150</v>
      </c>
      <c r="D34" s="217"/>
      <c r="E34" s="220"/>
      <c r="F34" s="257"/>
      <c r="G34" s="219"/>
    </row>
    <row r="35" spans="1:7" ht="13.5" customHeight="1">
      <c r="A35" s="780" t="s">
        <v>351</v>
      </c>
      <c r="B35" s="215" t="s">
        <v>1527</v>
      </c>
      <c r="C35" s="220">
        <f ca="1">ROUND(C34*F35,0)</f>
        <v>17735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59115</v>
      </c>
      <c r="D36" s="220"/>
      <c r="E36" s="220"/>
      <c r="F36" s="259">
        <f>'数据-取费表'!B34</f>
        <v>0.1</v>
      </c>
      <c r="G36" s="260" t="s">
        <v>1530</v>
      </c>
    </row>
    <row r="37" spans="1:7" s="258" customFormat="1" ht="13.5" customHeight="1">
      <c r="A37" s="780" t="s">
        <v>353</v>
      </c>
      <c r="B37" s="215" t="s">
        <v>1531</v>
      </c>
      <c r="C37" s="249">
        <f ca="1">ROUND(E37*D37,0)</f>
        <v>39410</v>
      </c>
      <c r="D37" s="217">
        <f ca="1">D19</f>
        <v>197.05</v>
      </c>
      <c r="E37" s="249">
        <f>'数据-取费表'!B35</f>
        <v>200</v>
      </c>
      <c r="F37" s="259"/>
      <c r="G37" s="261"/>
    </row>
    <row r="38" spans="1:7" ht="13.5" customHeight="1">
      <c r="A38" s="780" t="s">
        <v>354</v>
      </c>
      <c r="B38" s="215" t="s">
        <v>1533</v>
      </c>
      <c r="C38" s="220">
        <f ca="1">ROUND(C34*F38,0)</f>
        <v>11823</v>
      </c>
      <c r="D38" s="220"/>
      <c r="E38" s="220"/>
      <c r="F38" s="259">
        <f>'数据-取费表'!B36</f>
        <v>0.02</v>
      </c>
      <c r="G38" s="219" t="s">
        <v>1528</v>
      </c>
    </row>
    <row r="39" spans="1:7" s="214" customFormat="1" ht="13.5" customHeight="1">
      <c r="A39" s="255" t="s">
        <v>1534</v>
      </c>
      <c r="B39" s="210" t="s">
        <v>1535</v>
      </c>
      <c r="C39" s="232">
        <f ca="1">ROUND(C33*F20,0)</f>
        <v>14385</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22742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22296</v>
      </c>
      <c r="D42" s="238"/>
      <c r="E42" s="238"/>
      <c r="F42" s="239"/>
      <c r="G42" s="3688" t="s">
        <v>1591</v>
      </c>
    </row>
    <row r="43" spans="1:7" ht="13.5" customHeight="1">
      <c r="A43" s="780" t="s">
        <v>347</v>
      </c>
      <c r="B43" s="215" t="s">
        <v>1545</v>
      </c>
      <c r="C43" s="238">
        <f ca="1">ROUND(IF('数据-取费表'!B22&lt;=1,C39*F22*'数据-取费表'!B20/2,C39*(POWER((1+F22),'数据-取费表'!B20/2)-1)),0)</f>
        <v>446</v>
      </c>
      <c r="D43" s="238"/>
      <c r="E43" s="238"/>
      <c r="F43" s="239"/>
      <c r="G43" s="3689"/>
    </row>
    <row r="44" spans="1:7" ht="13.5" customHeight="1">
      <c r="A44" s="780" t="s">
        <v>348</v>
      </c>
      <c r="B44" s="215" t="s">
        <v>1546</v>
      </c>
      <c r="C44" s="238">
        <f ca="1">ROUND(IF('数据-取费表'!B22&lt;=1,C40*F22*'数据-取费表'!B20/2,C40*(POWER((1+F22),'数据-取费表'!B20/2)-1)),4)</f>
        <v>8.9999999999999998E-4</v>
      </c>
      <c r="D44" s="238"/>
      <c r="E44" s="238"/>
      <c r="F44" s="239"/>
      <c r="G44" s="3690"/>
    </row>
    <row r="45" spans="1:7" s="214" customFormat="1" ht="13.5" customHeight="1">
      <c r="A45" s="255" t="s">
        <v>1547</v>
      </c>
      <c r="B45" s="244" t="s">
        <v>1513</v>
      </c>
      <c r="C45" s="245">
        <f ca="1">C46</f>
        <v>146724</v>
      </c>
      <c r="D45" s="235">
        <f ca="1">C47</f>
        <v>6.0000000000000001E-3</v>
      </c>
      <c r="E45" s="236" t="s">
        <v>1539</v>
      </c>
      <c r="F45" s="246">
        <f ca="1">F27</f>
        <v>0.2</v>
      </c>
      <c r="G45" s="247" t="s">
        <v>1548</v>
      </c>
    </row>
    <row r="46" spans="1:7" s="214" customFormat="1" ht="13.5" customHeight="1">
      <c r="A46" s="780" t="s">
        <v>346</v>
      </c>
      <c r="B46" s="248" t="s">
        <v>1549</v>
      </c>
      <c r="C46" s="249">
        <f ca="1">ROUND((C33+C39)*F27,0)</f>
        <v>146724</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992618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754390</v>
      </c>
      <c r="D51" s="232"/>
      <c r="E51" s="232"/>
      <c r="F51" s="264"/>
      <c r="G51" s="234" t="s">
        <v>1560</v>
      </c>
    </row>
    <row r="52" spans="1:7" s="208" customFormat="1" ht="16.8" thickBot="1">
      <c r="A52" s="265" t="s">
        <v>1561</v>
      </c>
      <c r="B52" s="266"/>
      <c r="C52" s="267">
        <f ca="1">C31+C51</f>
        <v>854783</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-203</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197.05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5" t="s">
        <v>694</v>
      </c>
      <c r="C6" s="1074">
        <f ca="1">ROUND(F6*F8*F7*(1-F9),0)</f>
        <v>0</v>
      </c>
      <c r="D6" s="155" t="s">
        <v>2106</v>
      </c>
      <c r="E6" s="302" t="s">
        <v>696</v>
      </c>
      <c r="F6" s="303">
        <f ca="1">INDIRECT("'数据-取费表'!u"&amp;$G$1)</f>
        <v>0</v>
      </c>
      <c r="G6" s="1384"/>
      <c r="H6" s="1069" t="s">
        <v>398</v>
      </c>
      <c r="I6" s="3685" t="s">
        <v>694</v>
      </c>
      <c r="J6" s="301">
        <f ca="1">ROUND(M6*M8*M7*(1-M9),0)</f>
        <v>0</v>
      </c>
      <c r="K6" s="1376" t="s">
        <v>2107</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3359</v>
      </c>
      <c r="E2" s="3442"/>
      <c r="F2" s="2844"/>
      <c r="G2" s="2845"/>
      <c r="H2" s="2846"/>
      <c r="I2" s="2847"/>
      <c r="J2" s="3697" t="s">
        <v>2317</v>
      </c>
      <c r="K2" s="3698"/>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699" t="s">
        <v>2327</v>
      </c>
      <c r="K3" s="3700"/>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699" t="s">
        <v>2329</v>
      </c>
      <c r="K4" s="3700"/>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705" t="s">
        <v>2333</v>
      </c>
      <c r="B6" s="3706"/>
      <c r="C6" s="3707"/>
      <c r="D6" s="2868"/>
      <c r="E6" s="2869"/>
      <c r="F6" s="2870"/>
      <c r="G6" s="2871"/>
      <c r="H6" s="2846"/>
      <c r="I6" s="2847"/>
      <c r="J6" s="3691">
        <v>1</v>
      </c>
      <c r="K6" s="369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691"/>
      <c r="K7" s="3693"/>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08" t="s">
        <v>2347</v>
      </c>
      <c r="C8" s="3709"/>
      <c r="D8" s="2887" t="s">
        <v>2348</v>
      </c>
      <c r="E8" s="2888" t="s">
        <v>2349</v>
      </c>
      <c r="F8" s="2889" t="s">
        <v>2350</v>
      </c>
      <c r="G8" s="2890"/>
      <c r="H8" s="2846"/>
      <c r="I8" s="2847"/>
      <c r="J8" s="3691"/>
      <c r="K8" s="3693"/>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08" t="s">
        <v>2353</v>
      </c>
      <c r="C9" s="3709"/>
      <c r="D9" s="2887">
        <f>ROUND(D6*E9,0)</f>
        <v>0</v>
      </c>
      <c r="E9" s="2891"/>
      <c r="F9" s="2892" t="s">
        <v>2354</v>
      </c>
      <c r="G9" s="2871"/>
      <c r="H9" s="2846"/>
      <c r="I9" s="2847"/>
      <c r="J9" s="3691"/>
      <c r="K9" s="3693"/>
      <c r="L9" s="2881" t="s">
        <v>2355</v>
      </c>
      <c r="M9" s="2882"/>
      <c r="N9" s="2858"/>
      <c r="O9" s="2883"/>
      <c r="P9" s="2883"/>
      <c r="Q9" s="2884">
        <v>365</v>
      </c>
      <c r="R9" s="2885">
        <f t="shared" si="0"/>
        <v>0</v>
      </c>
      <c r="S9" s="2839"/>
      <c r="T9" s="2839"/>
      <c r="U9" s="2839"/>
      <c r="V9" s="2847"/>
    </row>
    <row r="10" spans="1:22" s="2851" customFormat="1" ht="13.2" customHeight="1">
      <c r="A10" s="2886">
        <v>2</v>
      </c>
      <c r="B10" s="3708" t="s">
        <v>2356</v>
      </c>
      <c r="C10" s="3709"/>
      <c r="D10" s="2887">
        <f>ROUND(D6*E10,0)</f>
        <v>0</v>
      </c>
      <c r="E10" s="2891"/>
      <c r="F10" s="2892" t="s">
        <v>2357</v>
      </c>
      <c r="G10" s="2871"/>
      <c r="H10" s="2846"/>
      <c r="I10" s="2847"/>
      <c r="J10" s="3691"/>
      <c r="K10" s="3693"/>
      <c r="L10" s="2881" t="s">
        <v>2358</v>
      </c>
      <c r="M10" s="2882"/>
      <c r="N10" s="2858"/>
      <c r="O10" s="2883"/>
      <c r="P10" s="2883"/>
      <c r="Q10" s="2884">
        <v>365</v>
      </c>
      <c r="R10" s="2885">
        <f t="shared" si="0"/>
        <v>0</v>
      </c>
      <c r="S10" s="2839"/>
      <c r="T10" s="2839"/>
      <c r="U10" s="2839"/>
      <c r="V10" s="2847"/>
    </row>
    <row r="11" spans="1:22" s="2851" customFormat="1" ht="13.2" customHeight="1">
      <c r="A11" s="2886">
        <v>3</v>
      </c>
      <c r="B11" s="3708" t="s">
        <v>2359</v>
      </c>
      <c r="C11" s="3709"/>
      <c r="D11" s="2887">
        <f>D12+D14+D15+D16</f>
        <v>0</v>
      </c>
      <c r="E11" s="2893" t="e">
        <f>D11/D6</f>
        <v>#DIV/0!</v>
      </c>
      <c r="F11" s="2889"/>
      <c r="G11" s="2890"/>
      <c r="H11" s="2846"/>
      <c r="I11" s="2847"/>
      <c r="J11" s="3691"/>
      <c r="K11" s="3693"/>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01" t="s">
        <v>2362</v>
      </c>
      <c r="C12" s="3702"/>
      <c r="D12" s="2895">
        <f>ROUND(D13*1.2%*(1-30%),0)</f>
        <v>0</v>
      </c>
      <c r="E12" s="2896">
        <v>1.2E-2</v>
      </c>
      <c r="F12" s="2889" t="s">
        <v>2363</v>
      </c>
      <c r="G12" s="2890"/>
      <c r="H12" s="2846"/>
      <c r="I12" s="2847"/>
      <c r="J12" s="3691"/>
      <c r="K12" s="3693"/>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691"/>
      <c r="K13" s="3693"/>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01" t="s">
        <v>2368</v>
      </c>
      <c r="C14" s="3702"/>
      <c r="D14" s="2895">
        <f>ROUND(E14*B5/10000,0)</f>
        <v>0</v>
      </c>
      <c r="E14" s="2884"/>
      <c r="F14" s="2889" t="s">
        <v>2369</v>
      </c>
      <c r="G14" s="2890"/>
      <c r="H14" s="2846"/>
      <c r="I14" s="2847"/>
      <c r="J14" s="3691"/>
      <c r="K14" s="369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01" t="s">
        <v>2372</v>
      </c>
      <c r="C15" s="3702"/>
      <c r="D15" s="2895">
        <f>ROUND(D6*E15,0)</f>
        <v>0</v>
      </c>
      <c r="E15" s="2896">
        <v>5.5E-2</v>
      </c>
      <c r="F15" s="2889" t="s">
        <v>2373</v>
      </c>
      <c r="G15" s="2871"/>
      <c r="H15" s="2846"/>
      <c r="I15" s="2847"/>
      <c r="J15" s="3691">
        <v>2</v>
      </c>
      <c r="K15" s="369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01" t="s">
        <v>2381</v>
      </c>
      <c r="C16" s="3702"/>
      <c r="D16" s="2906">
        <f>D6*E16</f>
        <v>0</v>
      </c>
      <c r="E16" s="2907"/>
      <c r="F16" s="2892" t="s">
        <v>2382</v>
      </c>
      <c r="G16" s="2871"/>
      <c r="H16" s="2846"/>
      <c r="I16" s="2847"/>
      <c r="J16" s="3691"/>
      <c r="K16" s="3693"/>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03" t="s">
        <v>2384</v>
      </c>
      <c r="C17" s="3704"/>
      <c r="D17" s="2909">
        <f>ROUND(D6*E17,0)</f>
        <v>0</v>
      </c>
      <c r="E17" s="2910"/>
      <c r="F17" s="2911" t="s">
        <v>2385</v>
      </c>
      <c r="G17" s="2871"/>
      <c r="H17" s="2846"/>
      <c r="I17" s="2847"/>
      <c r="J17" s="3691"/>
      <c r="K17" s="3693"/>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691"/>
      <c r="K18" s="3693"/>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691"/>
      <c r="K19" s="369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1">
        <v>3</v>
      </c>
      <c r="K20" s="369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691"/>
      <c r="K21" s="3693"/>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691"/>
      <c r="K22" s="3693"/>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691"/>
      <c r="K23" s="3693"/>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691"/>
      <c r="K24" s="369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695">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696"/>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697" t="s">
        <v>2317</v>
      </c>
      <c r="K32" s="3698"/>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699" t="s">
        <v>2327</v>
      </c>
      <c r="K33" s="3700"/>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699" t="s">
        <v>2329</v>
      </c>
      <c r="K34" s="3700"/>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691">
        <v>1</v>
      </c>
      <c r="K36" s="3692"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691"/>
      <c r="K37" s="3693"/>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1"/>
      <c r="K38" s="3693"/>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691"/>
      <c r="K39" s="3693"/>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691"/>
      <c r="K40" s="3694"/>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695">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696"/>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197.05</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10" t="s">
        <v>1654</v>
      </c>
      <c r="C5" s="3711"/>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197.05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topLeftCell="A67" workbookViewId="0">
      <selection activeCell="R16" sqref="R16"/>
    </sheetView>
  </sheetViews>
  <sheetFormatPr defaultRowHeight="14.4"/>
  <sheetData>
    <row r="1" spans="15:17">
      <c r="O1" s="3471"/>
      <c r="P1" s="3471" t="s">
        <v>3444</v>
      </c>
      <c r="Q1" s="3471"/>
    </row>
    <row r="68" spans="1:1">
      <c r="A68" s="3472" t="s">
        <v>3445</v>
      </c>
    </row>
    <row r="124" spans="2:11">
      <c r="B124">
        <f>22000/191.95</f>
        <v>114.61318051575932</v>
      </c>
      <c r="F124">
        <f>13000/120.76</f>
        <v>107.65154024511428</v>
      </c>
      <c r="K124">
        <f>8600/67.28</f>
        <v>127.82401902497027</v>
      </c>
    </row>
    <row r="127" spans="2:11">
      <c r="F127">
        <f>(B124+F124+K124)/3</f>
        <v>116.69624659528129</v>
      </c>
    </row>
    <row r="128" spans="2:11">
      <c r="F128">
        <f>F127*'数据-汇总表'!E19</f>
        <v>22994.99539160018</v>
      </c>
    </row>
  </sheetData>
  <phoneticPr fontId="134" type="noConversion"/>
  <hyperlinks>
    <hyperlink ref="A68"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197.05</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31" t="s">
        <v>1770</v>
      </c>
      <c r="D4" s="3732"/>
      <c r="E4" s="3733" t="s">
        <v>1771</v>
      </c>
      <c r="F4" s="3734"/>
      <c r="G4" s="3731" t="s">
        <v>1772</v>
      </c>
      <c r="H4" s="3732"/>
      <c r="I4" s="3731" t="s">
        <v>1773</v>
      </c>
      <c r="J4" s="3732"/>
      <c r="K4" s="559" t="s">
        <v>1774</v>
      </c>
      <c r="L4" s="2713"/>
      <c r="M4" s="2714"/>
      <c r="N4" s="2714"/>
      <c r="O4" s="2714"/>
      <c r="P4" s="3735" t="s">
        <v>1775</v>
      </c>
      <c r="Q4" s="3736"/>
      <c r="R4" s="3741" t="s">
        <v>1771</v>
      </c>
      <c r="S4" s="3742"/>
      <c r="T4" s="3741" t="s">
        <v>1772</v>
      </c>
      <c r="U4" s="3742"/>
      <c r="V4" s="3726" t="s">
        <v>1773</v>
      </c>
      <c r="W4" s="3726"/>
      <c r="X4" s="1355"/>
      <c r="Y4" s="3741" t="s">
        <v>1775</v>
      </c>
      <c r="Z4" s="3742"/>
      <c r="AA4" s="3728" t="s">
        <v>1771</v>
      </c>
      <c r="AB4" s="3726" t="s">
        <v>1772</v>
      </c>
      <c r="AC4" s="3728" t="s">
        <v>1773</v>
      </c>
    </row>
    <row r="5" spans="1:29">
      <c r="A5" s="358"/>
      <c r="B5" s="359"/>
      <c r="C5" s="3749" t="s">
        <v>1673</v>
      </c>
      <c r="D5" s="3750"/>
      <c r="E5" s="3756" t="s">
        <v>1674</v>
      </c>
      <c r="F5" s="3757"/>
      <c r="G5" s="3749" t="s">
        <v>1675</v>
      </c>
      <c r="H5" s="3750"/>
      <c r="I5" s="3749" t="s">
        <v>1676</v>
      </c>
      <c r="J5" s="3750"/>
      <c r="K5" s="559"/>
      <c r="L5" s="2713"/>
      <c r="M5" s="2714"/>
      <c r="N5" s="2714"/>
      <c r="O5" s="2714"/>
      <c r="P5" s="3737"/>
      <c r="Q5" s="3738"/>
      <c r="R5" s="3743"/>
      <c r="S5" s="3744"/>
      <c r="T5" s="3743"/>
      <c r="U5" s="3744"/>
      <c r="V5" s="3726"/>
      <c r="W5" s="3726"/>
      <c r="X5" s="1355"/>
      <c r="Y5" s="3743"/>
      <c r="Z5" s="3744"/>
      <c r="AA5" s="3729"/>
      <c r="AB5" s="3726"/>
      <c r="AC5" s="3729"/>
    </row>
    <row r="6" spans="1:29" ht="15" thickBot="1">
      <c r="A6" s="360"/>
      <c r="B6" s="361"/>
      <c r="C6" s="3747" t="s">
        <v>1677</v>
      </c>
      <c r="D6" s="3748"/>
      <c r="E6" s="3754" t="s">
        <v>1677</v>
      </c>
      <c r="F6" s="3755"/>
      <c r="G6" s="3747" t="s">
        <v>1677</v>
      </c>
      <c r="H6" s="3748"/>
      <c r="I6" s="3747" t="s">
        <v>1677</v>
      </c>
      <c r="J6" s="3748"/>
      <c r="K6" s="559" t="s">
        <v>1678</v>
      </c>
      <c r="L6" s="2713"/>
      <c r="M6" s="2714"/>
      <c r="N6" s="2714"/>
      <c r="O6" s="2714"/>
      <c r="P6" s="3739"/>
      <c r="Q6" s="3740"/>
      <c r="R6" s="3743"/>
      <c r="S6" s="3744"/>
      <c r="T6" s="3745"/>
      <c r="U6" s="3746"/>
      <c r="V6" s="3726"/>
      <c r="W6" s="3726"/>
      <c r="X6" s="1355"/>
      <c r="Y6" s="3745"/>
      <c r="Z6" s="3746"/>
      <c r="AA6" s="3730"/>
      <c r="AB6" s="3726"/>
      <c r="AC6" s="3730"/>
    </row>
    <row r="7" spans="1:29" s="108" customFormat="1" ht="15" thickBot="1">
      <c r="A7" s="362" t="s">
        <v>1679</v>
      </c>
      <c r="B7" s="363"/>
      <c r="C7" s="364">
        <f>'数据-取费表'!B2</f>
        <v>45793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51" t="s">
        <v>1683</v>
      </c>
      <c r="Q8" s="3752"/>
      <c r="R8" s="701" t="s">
        <v>14</v>
      </c>
      <c r="S8" s="702">
        <f t="shared" si="0"/>
        <v>100</v>
      </c>
      <c r="T8" s="701" t="s">
        <v>14</v>
      </c>
      <c r="U8" s="702">
        <f t="shared" si="1"/>
        <v>100</v>
      </c>
      <c r="V8" s="701" t="s">
        <v>14</v>
      </c>
      <c r="W8" s="702">
        <f t="shared" si="2"/>
        <v>100</v>
      </c>
      <c r="X8" s="703"/>
      <c r="Y8" s="3751" t="s">
        <v>1683</v>
      </c>
      <c r="Z8" s="375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7"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7"/>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7"/>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7"/>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7"/>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7"/>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8"/>
      <c r="Q16" s="1352"/>
      <c r="R16" s="705"/>
      <c r="S16" s="706"/>
      <c r="T16" s="705"/>
      <c r="U16" s="706"/>
      <c r="V16" s="705"/>
      <c r="W16" s="706"/>
      <c r="X16" s="1355"/>
      <c r="Y16" s="372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8"/>
      <c r="Q18" s="1352"/>
      <c r="R18" s="705"/>
      <c r="S18" s="706"/>
      <c r="T18" s="705"/>
      <c r="U18" s="706"/>
      <c r="V18" s="705"/>
      <c r="W18" s="706"/>
      <c r="X18" s="1355"/>
      <c r="Y18" s="372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8"/>
      <c r="Q20" s="1352"/>
      <c r="R20" s="705"/>
      <c r="S20" s="706"/>
      <c r="T20" s="705"/>
      <c r="U20" s="706"/>
      <c r="V20" s="705"/>
      <c r="W20" s="706"/>
      <c r="X20" s="1355"/>
      <c r="Y20" s="372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8"/>
      <c r="Q22" s="1352"/>
      <c r="R22" s="705"/>
      <c r="S22" s="706"/>
      <c r="T22" s="705"/>
      <c r="U22" s="706"/>
      <c r="V22" s="705"/>
      <c r="W22" s="706"/>
      <c r="X22" s="1355"/>
      <c r="Y22" s="3720"/>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8"/>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8"/>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12" t="str">
        <f>A47</f>
        <v>成交单价（元/平方米）</v>
      </c>
      <c r="Q47" s="3712"/>
      <c r="R47" s="3726">
        <f>E47</f>
        <v>0</v>
      </c>
      <c r="S47" s="3726"/>
      <c r="T47" s="3726">
        <f>G47</f>
        <v>0</v>
      </c>
      <c r="U47" s="3726"/>
      <c r="V47" s="3726">
        <f>I47</f>
        <v>0</v>
      </c>
      <c r="W47" s="3726"/>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197.05</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31" t="s">
        <v>1770</v>
      </c>
      <c r="D4" s="3732"/>
      <c r="E4" s="3733" t="s">
        <v>1771</v>
      </c>
      <c r="F4" s="3734"/>
      <c r="G4" s="3731" t="s">
        <v>1772</v>
      </c>
      <c r="H4" s="3732"/>
      <c r="I4" s="3731" t="s">
        <v>1773</v>
      </c>
      <c r="J4" s="3732"/>
      <c r="K4" s="559" t="s">
        <v>1774</v>
      </c>
      <c r="L4" s="2713"/>
      <c r="M4" s="2714"/>
      <c r="N4" s="2714"/>
      <c r="O4" s="2714"/>
      <c r="P4" s="3764" t="s">
        <v>1775</v>
      </c>
      <c r="Q4" s="3765"/>
      <c r="R4" s="3768" t="s">
        <v>1771</v>
      </c>
      <c r="S4" s="3769"/>
      <c r="T4" s="3768" t="s">
        <v>1772</v>
      </c>
      <c r="U4" s="3769"/>
      <c r="V4" s="3770" t="s">
        <v>1773</v>
      </c>
      <c r="W4" s="3770"/>
      <c r="X4" s="1956"/>
      <c r="Y4" s="3768" t="s">
        <v>1775</v>
      </c>
      <c r="Z4" s="3769"/>
      <c r="AA4" s="3772" t="s">
        <v>1771</v>
      </c>
      <c r="AB4" s="3772" t="s">
        <v>1772</v>
      </c>
      <c r="AC4" s="3761" t="s">
        <v>1773</v>
      </c>
    </row>
    <row r="5" spans="1:29">
      <c r="A5" s="358"/>
      <c r="B5" s="359"/>
      <c r="C5" s="3749" t="s">
        <v>1673</v>
      </c>
      <c r="D5" s="3750"/>
      <c r="E5" s="3756" t="s">
        <v>1674</v>
      </c>
      <c r="F5" s="3757"/>
      <c r="G5" s="3749" t="s">
        <v>1675</v>
      </c>
      <c r="H5" s="3750"/>
      <c r="I5" s="3749" t="s">
        <v>1676</v>
      </c>
      <c r="J5" s="3750"/>
      <c r="K5" s="559"/>
      <c r="L5" s="2713"/>
      <c r="M5" s="2714"/>
      <c r="N5" s="2714"/>
      <c r="O5" s="2714"/>
      <c r="P5" s="3766"/>
      <c r="Q5" s="3738"/>
      <c r="R5" s="3743"/>
      <c r="S5" s="3744"/>
      <c r="T5" s="3743"/>
      <c r="U5" s="3744"/>
      <c r="V5" s="3726"/>
      <c r="W5" s="3726"/>
      <c r="X5" s="1355"/>
      <c r="Y5" s="3743"/>
      <c r="Z5" s="3744"/>
      <c r="AA5" s="3729"/>
      <c r="AB5" s="3729"/>
      <c r="AC5" s="3762"/>
    </row>
    <row r="6" spans="1:29" ht="15" thickBot="1">
      <c r="A6" s="360"/>
      <c r="B6" s="361"/>
      <c r="C6" s="3747" t="s">
        <v>1677</v>
      </c>
      <c r="D6" s="3748"/>
      <c r="E6" s="3754" t="s">
        <v>1677</v>
      </c>
      <c r="F6" s="3755"/>
      <c r="G6" s="3747" t="s">
        <v>1677</v>
      </c>
      <c r="H6" s="3748"/>
      <c r="I6" s="3747" t="s">
        <v>1677</v>
      </c>
      <c r="J6" s="3748"/>
      <c r="K6" s="559" t="s">
        <v>1678</v>
      </c>
      <c r="L6" s="2713"/>
      <c r="M6" s="2714"/>
      <c r="N6" s="2714"/>
      <c r="O6" s="2714"/>
      <c r="P6" s="3767"/>
      <c r="Q6" s="3740"/>
      <c r="R6" s="3743"/>
      <c r="S6" s="3744"/>
      <c r="T6" s="3745"/>
      <c r="U6" s="3746"/>
      <c r="V6" s="3726"/>
      <c r="W6" s="3726"/>
      <c r="X6" s="1355"/>
      <c r="Y6" s="3745"/>
      <c r="Z6" s="3746"/>
      <c r="AA6" s="3730"/>
      <c r="AB6" s="3730"/>
      <c r="AC6" s="3763"/>
    </row>
    <row r="7" spans="1:29" s="108" customFormat="1" ht="15" thickBot="1">
      <c r="A7" s="362" t="s">
        <v>1679</v>
      </c>
      <c r="B7" s="363"/>
      <c r="C7" s="364">
        <f>'数据-取费表'!B2</f>
        <v>45793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1" t="s">
        <v>1683</v>
      </c>
      <c r="Q8" s="3752"/>
      <c r="R8" s="701" t="s">
        <v>14</v>
      </c>
      <c r="S8" s="702">
        <f t="shared" si="0"/>
        <v>100</v>
      </c>
      <c r="T8" s="701" t="s">
        <v>14</v>
      </c>
      <c r="U8" s="702">
        <f t="shared" si="1"/>
        <v>100</v>
      </c>
      <c r="V8" s="701" t="s">
        <v>14</v>
      </c>
      <c r="W8" s="702">
        <f t="shared" si="2"/>
        <v>100</v>
      </c>
      <c r="X8" s="703"/>
      <c r="Y8" s="3751" t="s">
        <v>1683</v>
      </c>
      <c r="Z8" s="3752"/>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7"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7"/>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7"/>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27"/>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27"/>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1957">
        <f t="shared" si="5"/>
        <v>1</v>
      </c>
    </row>
    <row r="14" spans="1:29" ht="15.6"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27"/>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7"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718"/>
      <c r="Q16" s="1352"/>
      <c r="R16" s="705"/>
      <c r="S16" s="706"/>
      <c r="T16" s="705"/>
      <c r="U16" s="706"/>
      <c r="V16" s="705"/>
      <c r="W16" s="706"/>
      <c r="X16" s="1355"/>
      <c r="Y16" s="3720"/>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718"/>
      <c r="Q18" s="1352"/>
      <c r="R18" s="705"/>
      <c r="S18" s="706"/>
      <c r="T18" s="705"/>
      <c r="U18" s="706"/>
      <c r="V18" s="705"/>
      <c r="W18" s="706"/>
      <c r="X18" s="1355"/>
      <c r="Y18" s="3720"/>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718"/>
      <c r="Q20" s="1352"/>
      <c r="R20" s="705"/>
      <c r="S20" s="706"/>
      <c r="T20" s="705"/>
      <c r="U20" s="706"/>
      <c r="V20" s="705"/>
      <c r="W20" s="706"/>
      <c r="X20" s="1355"/>
      <c r="Y20" s="3720"/>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718"/>
      <c r="Q22" s="1352"/>
      <c r="R22" s="705"/>
      <c r="S22" s="706"/>
      <c r="T22" s="705"/>
      <c r="U22" s="706"/>
      <c r="V22" s="705"/>
      <c r="W22" s="706"/>
      <c r="X22" s="1355"/>
      <c r="Y22" s="3720"/>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8"/>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718"/>
      <c r="Q24" s="1352"/>
      <c r="R24" s="705"/>
      <c r="S24" s="706"/>
      <c r="T24" s="705"/>
      <c r="U24" s="706"/>
      <c r="V24" s="705"/>
      <c r="W24" s="706"/>
      <c r="X24" s="1355"/>
      <c r="Y24" s="3720"/>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8"/>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18"/>
      <c r="Q26" s="1352"/>
      <c r="R26" s="705"/>
      <c r="S26" s="706"/>
      <c r="T26" s="705"/>
      <c r="U26" s="706"/>
      <c r="V26" s="705"/>
      <c r="W26" s="706"/>
      <c r="X26" s="1355"/>
      <c r="Y26" s="3720"/>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8"/>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8"/>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0">
        <f t="shared" si="5"/>
        <v>1</v>
      </c>
    </row>
    <row r="32" spans="1:29" ht="15.6"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8"/>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0">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0">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0">
        <f t="shared" si="5"/>
        <v>1</v>
      </c>
    </row>
    <row r="48" spans="1:29" ht="14.4">
      <c r="A48" s="430" t="s">
        <v>1708</v>
      </c>
      <c r="B48" s="431"/>
      <c r="C48" s="1154" t="s">
        <v>0</v>
      </c>
      <c r="D48" s="1155"/>
      <c r="E48" s="1156"/>
      <c r="F48" s="1157"/>
      <c r="G48" s="1158"/>
      <c r="H48" s="1159"/>
      <c r="I48" s="1156"/>
      <c r="J48" s="436"/>
      <c r="K48" s="714"/>
      <c r="L48" s="2722"/>
      <c r="M48" s="2714"/>
      <c r="N48" s="2714"/>
      <c r="O48" s="2714"/>
      <c r="P48" s="3727" t="str">
        <f>A48</f>
        <v>成交单价（元/平方米）</v>
      </c>
      <c r="Q48" s="3712"/>
      <c r="R48" s="3713">
        <f>E48</f>
        <v>0</v>
      </c>
      <c r="S48" s="3713"/>
      <c r="T48" s="3713">
        <f>G48</f>
        <v>0</v>
      </c>
      <c r="U48" s="3713"/>
      <c r="V48" s="3713">
        <f>I48</f>
        <v>0</v>
      </c>
      <c r="W48" s="3713"/>
      <c r="X48" s="397"/>
      <c r="Y48" s="712"/>
      <c r="Z48" s="397"/>
      <c r="AA48" s="397"/>
      <c r="AB48" s="397"/>
      <c r="AC48" s="578"/>
    </row>
    <row r="49" spans="1:29" ht="1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727"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1" t="s">
        <v>1770</v>
      </c>
      <c r="D4" s="3732"/>
      <c r="E4" s="3733" t="s">
        <v>1771</v>
      </c>
      <c r="F4" s="3734"/>
      <c r="G4" s="3731" t="s">
        <v>1772</v>
      </c>
      <c r="H4" s="3732"/>
      <c r="I4" s="3731" t="s">
        <v>1773</v>
      </c>
      <c r="J4" s="3732"/>
      <c r="K4" s="559" t="s">
        <v>1774</v>
      </c>
      <c r="L4" s="913"/>
      <c r="M4" s="914"/>
      <c r="N4" s="914"/>
      <c r="O4" s="914"/>
      <c r="P4" s="3735" t="s">
        <v>1775</v>
      </c>
      <c r="Q4" s="3736"/>
      <c r="R4" s="3741" t="s">
        <v>1771</v>
      </c>
      <c r="S4" s="3742"/>
      <c r="T4" s="3741" t="s">
        <v>1772</v>
      </c>
      <c r="U4" s="3742"/>
      <c r="V4" s="3726" t="s">
        <v>1773</v>
      </c>
      <c r="W4" s="3726"/>
      <c r="X4" s="1355"/>
      <c r="Y4" s="3741" t="s">
        <v>1775</v>
      </c>
      <c r="Z4" s="3742"/>
      <c r="AA4" s="3728" t="s">
        <v>1771</v>
      </c>
      <c r="AB4" s="3729" t="s">
        <v>1772</v>
      </c>
      <c r="AC4" s="3728" t="s">
        <v>1773</v>
      </c>
    </row>
    <row r="5" spans="1:29">
      <c r="A5" s="358"/>
      <c r="B5" s="359"/>
      <c r="C5" s="3749" t="s">
        <v>1673</v>
      </c>
      <c r="D5" s="3750"/>
      <c r="E5" s="3756" t="s">
        <v>1674</v>
      </c>
      <c r="F5" s="3757"/>
      <c r="G5" s="3749" t="s">
        <v>1675</v>
      </c>
      <c r="H5" s="3750"/>
      <c r="I5" s="3749" t="s">
        <v>1676</v>
      </c>
      <c r="J5" s="3750"/>
      <c r="K5" s="559"/>
      <c r="L5" s="913"/>
      <c r="M5" s="914"/>
      <c r="N5" s="914"/>
      <c r="O5" s="914"/>
      <c r="P5" s="3737"/>
      <c r="Q5" s="3738"/>
      <c r="R5" s="3743"/>
      <c r="S5" s="3744"/>
      <c r="T5" s="3743"/>
      <c r="U5" s="3744"/>
      <c r="V5" s="3726"/>
      <c r="W5" s="3726"/>
      <c r="X5" s="1355"/>
      <c r="Y5" s="3743"/>
      <c r="Z5" s="3744"/>
      <c r="AA5" s="3729"/>
      <c r="AB5" s="3729"/>
      <c r="AC5" s="3729"/>
    </row>
    <row r="6" spans="1:29" ht="15" thickBot="1">
      <c r="A6" s="360"/>
      <c r="B6" s="361"/>
      <c r="C6" s="3747" t="s">
        <v>1677</v>
      </c>
      <c r="D6" s="3748"/>
      <c r="E6" s="3754" t="s">
        <v>1677</v>
      </c>
      <c r="F6" s="3755"/>
      <c r="G6" s="3747" t="s">
        <v>1677</v>
      </c>
      <c r="H6" s="3748"/>
      <c r="I6" s="3747" t="s">
        <v>1677</v>
      </c>
      <c r="J6" s="3748"/>
      <c r="K6" s="559" t="s">
        <v>1678</v>
      </c>
      <c r="L6" s="913"/>
      <c r="M6" s="914"/>
      <c r="N6" s="914"/>
      <c r="O6" s="914"/>
      <c r="P6" s="3739"/>
      <c r="Q6" s="3740"/>
      <c r="R6" s="3743"/>
      <c r="S6" s="3744"/>
      <c r="T6" s="3745"/>
      <c r="U6" s="3746"/>
      <c r="V6" s="3726"/>
      <c r="W6" s="3726"/>
      <c r="X6" s="1355"/>
      <c r="Y6" s="3745"/>
      <c r="Z6" s="3746"/>
      <c r="AA6" s="3730"/>
      <c r="AB6" s="3730"/>
      <c r="AC6" s="3730"/>
    </row>
    <row r="7" spans="1:29" s="108" customFormat="1" ht="15" thickBot="1">
      <c r="A7" s="362" t="s">
        <v>1679</v>
      </c>
      <c r="B7" s="363"/>
      <c r="C7" s="364">
        <f>'数据-取费表'!B2</f>
        <v>45793</v>
      </c>
      <c r="D7" s="365">
        <v>100</v>
      </c>
      <c r="E7" s="366"/>
      <c r="F7" s="367">
        <f>SUMIF(52:52,YEAR(E7)&amp;"-"&amp;MONTH(E7),53:53)</f>
        <v>0</v>
      </c>
      <c r="G7" s="366"/>
      <c r="H7" s="365">
        <f>SUMIF(52:52,YEAR(G7)&amp;"-"&amp;MONTH(G7),53:53)</f>
        <v>0</v>
      </c>
      <c r="I7" s="366"/>
      <c r="J7" s="365">
        <f>SUMIF(52:52,YEAR(I7)&amp;"-"&amp;MONTH(I7),53:53)</f>
        <v>0</v>
      </c>
      <c r="K7" s="560"/>
      <c r="L7" s="915"/>
      <c r="M7" s="916"/>
      <c r="N7" s="916"/>
      <c r="O7" s="916"/>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1" t="s">
        <v>1683</v>
      </c>
      <c r="Q8" s="3752"/>
      <c r="R8" s="701" t="s">
        <v>14</v>
      </c>
      <c r="S8" s="702">
        <f t="shared" si="0"/>
        <v>100</v>
      </c>
      <c r="T8" s="701" t="s">
        <v>14</v>
      </c>
      <c r="U8" s="702">
        <f t="shared" si="1"/>
        <v>100</v>
      </c>
      <c r="V8" s="701" t="s">
        <v>14</v>
      </c>
      <c r="W8" s="702">
        <f t="shared" si="2"/>
        <v>100</v>
      </c>
      <c r="X8" s="703"/>
      <c r="Y8" s="3751" t="s">
        <v>1683</v>
      </c>
      <c r="Z8" s="375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7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31" t="s">
        <v>1770</v>
      </c>
      <c r="D4" s="3732"/>
      <c r="E4" s="3733" t="s">
        <v>1771</v>
      </c>
      <c r="F4" s="3734"/>
      <c r="G4" s="3731" t="s">
        <v>1772</v>
      </c>
      <c r="H4" s="3732"/>
      <c r="I4" s="3731" t="s">
        <v>1773</v>
      </c>
      <c r="J4" s="3732"/>
      <c r="K4" s="559" t="s">
        <v>1774</v>
      </c>
      <c r="L4" s="2713"/>
      <c r="M4" s="2714"/>
      <c r="N4" s="2714"/>
      <c r="O4" s="2714"/>
      <c r="P4" s="3735" t="s">
        <v>1775</v>
      </c>
      <c r="Q4" s="3736"/>
      <c r="R4" s="3741" t="s">
        <v>1771</v>
      </c>
      <c r="S4" s="3742"/>
      <c r="T4" s="3741" t="s">
        <v>1772</v>
      </c>
      <c r="U4" s="3742"/>
      <c r="V4" s="3726" t="s">
        <v>1773</v>
      </c>
      <c r="W4" s="3726"/>
      <c r="X4" s="1355"/>
      <c r="Y4" s="3741" t="s">
        <v>1775</v>
      </c>
      <c r="Z4" s="3742"/>
      <c r="AA4" s="3728" t="s">
        <v>1771</v>
      </c>
      <c r="AB4" s="3729" t="s">
        <v>1772</v>
      </c>
      <c r="AC4" s="3728" t="s">
        <v>1773</v>
      </c>
    </row>
    <row r="5" spans="1:29">
      <c r="A5" s="358"/>
      <c r="B5" s="359"/>
      <c r="C5" s="3749" t="s">
        <v>1673</v>
      </c>
      <c r="D5" s="3750"/>
      <c r="E5" s="3756" t="s">
        <v>1674</v>
      </c>
      <c r="F5" s="3757"/>
      <c r="G5" s="3749" t="s">
        <v>1675</v>
      </c>
      <c r="H5" s="3750"/>
      <c r="I5" s="3749" t="s">
        <v>1676</v>
      </c>
      <c r="J5" s="3750"/>
      <c r="K5" s="559"/>
      <c r="L5" s="2713"/>
      <c r="M5" s="2714"/>
      <c r="N5" s="2714"/>
      <c r="O5" s="2714"/>
      <c r="P5" s="3737"/>
      <c r="Q5" s="3738"/>
      <c r="R5" s="3743"/>
      <c r="S5" s="3744"/>
      <c r="T5" s="3743"/>
      <c r="U5" s="3744"/>
      <c r="V5" s="3726"/>
      <c r="W5" s="3726"/>
      <c r="X5" s="1355"/>
      <c r="Y5" s="3743"/>
      <c r="Z5" s="3744"/>
      <c r="AA5" s="3729"/>
      <c r="AB5" s="3729"/>
      <c r="AC5" s="3729"/>
    </row>
    <row r="6" spans="1:29" ht="15" thickBot="1">
      <c r="A6" s="360"/>
      <c r="B6" s="361"/>
      <c r="C6" s="3747" t="s">
        <v>1677</v>
      </c>
      <c r="D6" s="3748"/>
      <c r="E6" s="3754" t="s">
        <v>1677</v>
      </c>
      <c r="F6" s="3755"/>
      <c r="G6" s="3747" t="s">
        <v>1677</v>
      </c>
      <c r="H6" s="3748"/>
      <c r="I6" s="3747" t="s">
        <v>1677</v>
      </c>
      <c r="J6" s="3748"/>
      <c r="K6" s="559" t="s">
        <v>1678</v>
      </c>
      <c r="L6" s="2713"/>
      <c r="M6" s="2714"/>
      <c r="N6" s="2714"/>
      <c r="O6" s="2714"/>
      <c r="P6" s="3739"/>
      <c r="Q6" s="3740"/>
      <c r="R6" s="3743"/>
      <c r="S6" s="3744"/>
      <c r="T6" s="3745"/>
      <c r="U6" s="3746"/>
      <c r="V6" s="3726"/>
      <c r="W6" s="3726"/>
      <c r="X6" s="1355"/>
      <c r="Y6" s="3745"/>
      <c r="Z6" s="3746"/>
      <c r="AA6" s="3730"/>
      <c r="AB6" s="3730"/>
      <c r="AC6" s="3730"/>
    </row>
    <row r="7" spans="1:29" s="108" customFormat="1" ht="15" thickBot="1">
      <c r="A7" s="362" t="s">
        <v>1679</v>
      </c>
      <c r="B7" s="363"/>
      <c r="C7" s="364">
        <f>'数据-取费表'!B2</f>
        <v>45793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51" t="s">
        <v>1680</v>
      </c>
      <c r="Q7" s="3753"/>
      <c r="R7" s="701" t="s">
        <v>14</v>
      </c>
      <c r="S7" s="702">
        <f t="shared" ref="S7:S14" si="0">F7</f>
        <v>0</v>
      </c>
      <c r="T7" s="701" t="s">
        <v>14</v>
      </c>
      <c r="U7" s="702">
        <f t="shared" ref="U7:U14" si="1">H7</f>
        <v>0</v>
      </c>
      <c r="V7" s="701" t="s">
        <v>14</v>
      </c>
      <c r="W7" s="702">
        <f t="shared" ref="W7:W14"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51" t="s">
        <v>1683</v>
      </c>
      <c r="Q8" s="3752"/>
      <c r="R8" s="701" t="s">
        <v>14</v>
      </c>
      <c r="S8" s="702">
        <f t="shared" si="0"/>
        <v>100</v>
      </c>
      <c r="T8" s="701" t="s">
        <v>14</v>
      </c>
      <c r="U8" s="702">
        <f t="shared" si="1"/>
        <v>100</v>
      </c>
      <c r="V8" s="701" t="s">
        <v>14</v>
      </c>
      <c r="W8" s="702">
        <f t="shared" si="2"/>
        <v>100</v>
      </c>
      <c r="X8" s="703"/>
      <c r="Y8" s="3751" t="s">
        <v>1683</v>
      </c>
      <c r="Z8" s="375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2" t="s">
        <v>1686</v>
      </c>
      <c r="Q9" s="1343" t="str">
        <f t="shared" ref="Q9:Q14" si="6">B9</f>
        <v>用途</v>
      </c>
      <c r="R9" s="701" t="s">
        <v>14</v>
      </c>
      <c r="S9" s="702">
        <f t="shared" si="0"/>
        <v>100</v>
      </c>
      <c r="T9" s="701" t="s">
        <v>14</v>
      </c>
      <c r="U9" s="702">
        <f t="shared" si="1"/>
        <v>100</v>
      </c>
      <c r="V9" s="701" t="s">
        <v>14</v>
      </c>
      <c r="W9" s="702">
        <f t="shared" si="2"/>
        <v>100</v>
      </c>
      <c r="X9" s="703"/>
      <c r="Y9" s="3590"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2"/>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2"/>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2"/>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2"/>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0"/>
      <c r="Q15" s="1352"/>
      <c r="R15" s="705"/>
      <c r="S15" s="706"/>
      <c r="T15" s="705"/>
      <c r="U15" s="706"/>
      <c r="V15" s="705"/>
      <c r="W15" s="706"/>
      <c r="X15" s="1355"/>
      <c r="Y15" s="372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0"/>
      <c r="Q17" s="1352"/>
      <c r="R17" s="705"/>
      <c r="S17" s="706"/>
      <c r="T17" s="705"/>
      <c r="U17" s="706"/>
      <c r="V17" s="705"/>
      <c r="W17" s="706"/>
      <c r="X17" s="1355"/>
      <c r="Y17" s="372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0"/>
      <c r="Q19" s="1352"/>
      <c r="R19" s="705"/>
      <c r="S19" s="706"/>
      <c r="T19" s="705"/>
      <c r="U19" s="706"/>
      <c r="V19" s="705"/>
      <c r="W19" s="706"/>
      <c r="X19" s="1355"/>
      <c r="Y19" s="372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4.4">
      <c r="A37" s="430" t="s">
        <v>1844</v>
      </c>
      <c r="B37" s="1971" t="s">
        <v>3354</v>
      </c>
      <c r="C37" s="1154" t="s">
        <v>0</v>
      </c>
      <c r="D37" s="1155"/>
      <c r="E37" s="1156"/>
      <c r="F37" s="1157"/>
      <c r="G37" s="1158"/>
      <c r="H37" s="1159"/>
      <c r="I37" s="1156"/>
      <c r="J37" s="1159"/>
      <c r="K37" s="568"/>
      <c r="L37" s="2722"/>
      <c r="M37" s="2723"/>
      <c r="N37" s="2714"/>
      <c r="O37" s="2723"/>
      <c r="P37" s="3712" t="str">
        <f>A37</f>
        <v>成交单价</v>
      </c>
      <c r="Q37" s="3712"/>
      <c r="R37" s="3713">
        <f>E37</f>
        <v>0</v>
      </c>
      <c r="S37" s="3713"/>
      <c r="T37" s="3713">
        <f>G37</f>
        <v>0</v>
      </c>
      <c r="U37" s="3713"/>
      <c r="V37" s="3713">
        <f>I37</f>
        <v>0</v>
      </c>
      <c r="W37" s="3713"/>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14" t="str">
        <f>A39</f>
        <v>估价对象XX用房的比较价值（楼面单价，元/平方米）</v>
      </c>
      <c r="Q39" s="3715"/>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估价对象为北京市房地产，为所有。根据《国有土地使用证》[]，估价对象（分摊）出让国有建设用地使用权面积为46.92平方米，建筑面积为197.05平方米。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估价对象为北京市房地产,属开发建设的，该项目尚在开发建设中。根据《国有土地使用证》[]，估价对象（分摊）出让国有建设用地使用权面积为46.92平方米，规划建筑面积为197.05平方米。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2025年5月16日（评估专业人员实地查勘之日）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1" t="s">
        <v>1770</v>
      </c>
      <c r="D4" s="3732"/>
      <c r="E4" s="3733" t="s">
        <v>1771</v>
      </c>
      <c r="F4" s="3734"/>
      <c r="G4" s="3731" t="s">
        <v>1772</v>
      </c>
      <c r="H4" s="3732"/>
      <c r="I4" s="3731" t="s">
        <v>1773</v>
      </c>
      <c r="J4" s="3732"/>
      <c r="K4" s="559" t="s">
        <v>1774</v>
      </c>
      <c r="L4" s="2713"/>
      <c r="M4" s="2714"/>
      <c r="N4" s="2714"/>
      <c r="O4" s="2714"/>
      <c r="P4" s="3735" t="s">
        <v>1775</v>
      </c>
      <c r="Q4" s="3736"/>
      <c r="R4" s="3741" t="s">
        <v>1771</v>
      </c>
      <c r="S4" s="3742"/>
      <c r="T4" s="3741" t="s">
        <v>1772</v>
      </c>
      <c r="U4" s="3742"/>
      <c r="V4" s="3726" t="s">
        <v>1773</v>
      </c>
      <c r="W4" s="3726"/>
      <c r="X4" s="1355"/>
      <c r="Y4" s="3741" t="s">
        <v>1775</v>
      </c>
      <c r="Z4" s="3742"/>
      <c r="AA4" s="3728" t="s">
        <v>1771</v>
      </c>
      <c r="AB4" s="3729" t="s">
        <v>1772</v>
      </c>
      <c r="AC4" s="3728" t="s">
        <v>1773</v>
      </c>
    </row>
    <row r="5" spans="1:29">
      <c r="A5" s="358"/>
      <c r="B5" s="359"/>
      <c r="C5" s="3749" t="s">
        <v>1673</v>
      </c>
      <c r="D5" s="3750"/>
      <c r="E5" s="3756" t="s">
        <v>1674</v>
      </c>
      <c r="F5" s="3757"/>
      <c r="G5" s="3749" t="s">
        <v>1675</v>
      </c>
      <c r="H5" s="3750"/>
      <c r="I5" s="3749" t="s">
        <v>1676</v>
      </c>
      <c r="J5" s="3750"/>
      <c r="K5" s="559"/>
      <c r="L5" s="2713"/>
      <c r="M5" s="2714"/>
      <c r="N5" s="2714"/>
      <c r="O5" s="2714"/>
      <c r="P5" s="3737"/>
      <c r="Q5" s="3738"/>
      <c r="R5" s="3743"/>
      <c r="S5" s="3744"/>
      <c r="T5" s="3743"/>
      <c r="U5" s="3744"/>
      <c r="V5" s="3726"/>
      <c r="W5" s="3726"/>
      <c r="X5" s="1355"/>
      <c r="Y5" s="3743"/>
      <c r="Z5" s="3744"/>
      <c r="AA5" s="3729"/>
      <c r="AB5" s="3729"/>
      <c r="AC5" s="3729"/>
    </row>
    <row r="6" spans="1:29" ht="15" thickBot="1">
      <c r="A6" s="360"/>
      <c r="B6" s="361"/>
      <c r="C6" s="3747" t="s">
        <v>1677</v>
      </c>
      <c r="D6" s="3748"/>
      <c r="E6" s="3754" t="s">
        <v>1677</v>
      </c>
      <c r="F6" s="3755"/>
      <c r="G6" s="3747" t="s">
        <v>1677</v>
      </c>
      <c r="H6" s="3748"/>
      <c r="I6" s="3747" t="s">
        <v>1677</v>
      </c>
      <c r="J6" s="3748"/>
      <c r="K6" s="559" t="s">
        <v>1678</v>
      </c>
      <c r="L6" s="2713"/>
      <c r="M6" s="2714"/>
      <c r="N6" s="2714"/>
      <c r="O6" s="2714"/>
      <c r="P6" s="3739"/>
      <c r="Q6" s="3740"/>
      <c r="R6" s="3743"/>
      <c r="S6" s="3744"/>
      <c r="T6" s="3745"/>
      <c r="U6" s="3746"/>
      <c r="V6" s="3726"/>
      <c r="W6" s="3726"/>
      <c r="X6" s="1355"/>
      <c r="Y6" s="3745"/>
      <c r="Z6" s="3746"/>
      <c r="AA6" s="3730"/>
      <c r="AB6" s="3730"/>
      <c r="AC6" s="3730"/>
    </row>
    <row r="7" spans="1:29" s="108" customFormat="1" ht="15" thickBot="1">
      <c r="A7" s="362" t="s">
        <v>1679</v>
      </c>
      <c r="B7" s="363"/>
      <c r="C7" s="364">
        <f>'数据-取费表'!B2</f>
        <v>45793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51" t="s">
        <v>1680</v>
      </c>
      <c r="Q7" s="3753"/>
      <c r="R7" s="701" t="s">
        <v>14</v>
      </c>
      <c r="S7" s="702">
        <f t="shared" ref="S7:S14" si="0">F7</f>
        <v>0</v>
      </c>
      <c r="T7" s="701" t="s">
        <v>14</v>
      </c>
      <c r="U7" s="702">
        <f t="shared" ref="U7:U14" si="1">H7</f>
        <v>0</v>
      </c>
      <c r="V7" s="701" t="s">
        <v>14</v>
      </c>
      <c r="W7" s="702">
        <f t="shared" ref="W7:W14"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51" t="s">
        <v>1683</v>
      </c>
      <c r="Q8" s="3752"/>
      <c r="R8" s="701" t="s">
        <v>14</v>
      </c>
      <c r="S8" s="702">
        <f t="shared" si="0"/>
        <v>100</v>
      </c>
      <c r="T8" s="701" t="s">
        <v>14</v>
      </c>
      <c r="U8" s="702">
        <f t="shared" si="1"/>
        <v>100</v>
      </c>
      <c r="V8" s="701" t="s">
        <v>14</v>
      </c>
      <c r="W8" s="702">
        <f t="shared" si="2"/>
        <v>100</v>
      </c>
      <c r="X8" s="703"/>
      <c r="Y8" s="3751" t="s">
        <v>1683</v>
      </c>
      <c r="Z8" s="375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2" t="s">
        <v>1686</v>
      </c>
      <c r="Q9" s="1343" t="str">
        <f t="shared" ref="Q9:Q14" si="6">B9</f>
        <v>用途</v>
      </c>
      <c r="R9" s="701" t="s">
        <v>14</v>
      </c>
      <c r="S9" s="702">
        <f t="shared" si="0"/>
        <v>100</v>
      </c>
      <c r="T9" s="701" t="s">
        <v>14</v>
      </c>
      <c r="U9" s="702">
        <f t="shared" si="1"/>
        <v>100</v>
      </c>
      <c r="V9" s="701" t="s">
        <v>14</v>
      </c>
      <c r="W9" s="702">
        <f t="shared" si="2"/>
        <v>100</v>
      </c>
      <c r="X9" s="703"/>
      <c r="Y9" s="3590"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2"/>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2"/>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2"/>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2"/>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0"/>
      <c r="Q15" s="1352"/>
      <c r="R15" s="705"/>
      <c r="S15" s="706"/>
      <c r="T15" s="705"/>
      <c r="U15" s="706"/>
      <c r="V15" s="705"/>
      <c r="W15" s="706"/>
      <c r="X15" s="1355"/>
      <c r="Y15" s="372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0"/>
      <c r="Q17" s="1352"/>
      <c r="R17" s="705"/>
      <c r="S17" s="706"/>
      <c r="T17" s="705"/>
      <c r="U17" s="706"/>
      <c r="V17" s="705"/>
      <c r="W17" s="706"/>
      <c r="X17" s="1355"/>
      <c r="Y17" s="372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0"/>
      <c r="Q19" s="1352"/>
      <c r="R19" s="705"/>
      <c r="S19" s="706"/>
      <c r="T19" s="705"/>
      <c r="U19" s="706"/>
      <c r="V19" s="705"/>
      <c r="W19" s="706"/>
      <c r="X19" s="1355"/>
      <c r="Y19" s="372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7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14" t="str">
        <f>A37</f>
        <v>估价对象XX用房的比较价值（楼面单价，元/平方米）</v>
      </c>
      <c r="Q37" s="3715"/>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31" t="s">
        <v>1770</v>
      </c>
      <c r="D4" s="3732"/>
      <c r="E4" s="3733" t="s">
        <v>1771</v>
      </c>
      <c r="F4" s="3734"/>
      <c r="G4" s="3731" t="s">
        <v>1772</v>
      </c>
      <c r="H4" s="3732"/>
      <c r="I4" s="3731" t="s">
        <v>1773</v>
      </c>
      <c r="J4" s="3732"/>
      <c r="K4" s="559" t="s">
        <v>1774</v>
      </c>
      <c r="L4" s="2713"/>
      <c r="M4" s="2714"/>
      <c r="N4" s="2714"/>
      <c r="O4" s="2714"/>
      <c r="P4" s="3735" t="s">
        <v>1775</v>
      </c>
      <c r="Q4" s="3736"/>
      <c r="R4" s="3741" t="s">
        <v>1771</v>
      </c>
      <c r="S4" s="3742"/>
      <c r="T4" s="3741" t="s">
        <v>1772</v>
      </c>
      <c r="U4" s="3742"/>
      <c r="V4" s="3726" t="s">
        <v>1773</v>
      </c>
      <c r="W4" s="3726"/>
      <c r="X4" s="1355"/>
      <c r="Y4" s="3741" t="s">
        <v>1775</v>
      </c>
      <c r="Z4" s="3742"/>
      <c r="AA4" s="3728" t="s">
        <v>1771</v>
      </c>
      <c r="AB4" s="3729" t="s">
        <v>1772</v>
      </c>
      <c r="AC4" s="3728" t="s">
        <v>1773</v>
      </c>
    </row>
    <row r="5" spans="1:30">
      <c r="A5" s="358"/>
      <c r="B5" s="359"/>
      <c r="C5" s="3749" t="s">
        <v>1673</v>
      </c>
      <c r="D5" s="3750"/>
      <c r="E5" s="3756" t="s">
        <v>1674</v>
      </c>
      <c r="F5" s="3757"/>
      <c r="G5" s="3749" t="s">
        <v>1675</v>
      </c>
      <c r="H5" s="3750"/>
      <c r="I5" s="3749" t="s">
        <v>1676</v>
      </c>
      <c r="J5" s="3750"/>
      <c r="K5" s="559"/>
      <c r="L5" s="2713"/>
      <c r="M5" s="2714"/>
      <c r="N5" s="2714"/>
      <c r="O5" s="2714"/>
      <c r="P5" s="3737"/>
      <c r="Q5" s="3738"/>
      <c r="R5" s="3743"/>
      <c r="S5" s="3744"/>
      <c r="T5" s="3743"/>
      <c r="U5" s="3744"/>
      <c r="V5" s="3726"/>
      <c r="W5" s="3726"/>
      <c r="X5" s="1355"/>
      <c r="Y5" s="3743"/>
      <c r="Z5" s="3744"/>
      <c r="AA5" s="3729"/>
      <c r="AB5" s="3729"/>
      <c r="AC5" s="3729"/>
    </row>
    <row r="6" spans="1:30" ht="15" thickBot="1">
      <c r="A6" s="360"/>
      <c r="B6" s="361"/>
      <c r="C6" s="3747" t="s">
        <v>1677</v>
      </c>
      <c r="D6" s="3748"/>
      <c r="E6" s="3754" t="s">
        <v>1677</v>
      </c>
      <c r="F6" s="3755"/>
      <c r="G6" s="3747" t="s">
        <v>1677</v>
      </c>
      <c r="H6" s="3748"/>
      <c r="I6" s="3747" t="s">
        <v>1677</v>
      </c>
      <c r="J6" s="3748"/>
      <c r="K6" s="559" t="s">
        <v>1678</v>
      </c>
      <c r="L6" s="2713"/>
      <c r="M6" s="2714"/>
      <c r="N6" s="2714"/>
      <c r="O6" s="2714"/>
      <c r="P6" s="3739"/>
      <c r="Q6" s="3740"/>
      <c r="R6" s="3743"/>
      <c r="S6" s="3744"/>
      <c r="T6" s="3745"/>
      <c r="U6" s="3746"/>
      <c r="V6" s="3726"/>
      <c r="W6" s="3726"/>
      <c r="X6" s="1355"/>
      <c r="Y6" s="3745"/>
      <c r="Z6" s="3746"/>
      <c r="AA6" s="3730"/>
      <c r="AB6" s="3730"/>
      <c r="AC6" s="3730"/>
    </row>
    <row r="7" spans="1:30" s="108" customFormat="1" ht="15" thickBot="1">
      <c r="A7" s="362" t="s">
        <v>1679</v>
      </c>
      <c r="B7" s="363"/>
      <c r="C7" s="364">
        <f>'数据-取费表'!B2</f>
        <v>45793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51" t="s">
        <v>1683</v>
      </c>
      <c r="Q8" s="3752"/>
      <c r="R8" s="701" t="s">
        <v>14</v>
      </c>
      <c r="S8" s="702">
        <f t="shared" si="0"/>
        <v>0</v>
      </c>
      <c r="T8" s="701" t="s">
        <v>14</v>
      </c>
      <c r="U8" s="702">
        <f t="shared" si="1"/>
        <v>0</v>
      </c>
      <c r="V8" s="701" t="s">
        <v>14</v>
      </c>
      <c r="W8" s="702">
        <f t="shared" si="2"/>
        <v>0</v>
      </c>
      <c r="X8" s="703"/>
      <c r="Y8" s="3751" t="s">
        <v>1683</v>
      </c>
      <c r="Z8" s="3752"/>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2"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12"/>
      <c r="Q10" s="1343" t="str">
        <f t="shared" si="6"/>
        <v>土地使用年限（年）</v>
      </c>
      <c r="R10" s="701" t="s">
        <v>14</v>
      </c>
      <c r="S10" s="702">
        <f t="shared" si="0"/>
        <v>110</v>
      </c>
      <c r="T10" s="701" t="s">
        <v>14</v>
      </c>
      <c r="U10" s="702">
        <f t="shared" si="1"/>
        <v>110</v>
      </c>
      <c r="V10" s="701" t="s">
        <v>14</v>
      </c>
      <c r="W10" s="702">
        <f t="shared" si="2"/>
        <v>110</v>
      </c>
      <c r="X10" s="703"/>
      <c r="Y10" s="359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2"/>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2"/>
      <c r="Q12" s="1343" t="str">
        <f t="shared" si="6"/>
        <v>配建</v>
      </c>
      <c r="R12" s="701" t="s">
        <v>14</v>
      </c>
      <c r="S12" s="702">
        <f t="shared" si="0"/>
        <v>100</v>
      </c>
      <c r="T12" s="701" t="s">
        <v>14</v>
      </c>
      <c r="U12" s="702">
        <f t="shared" si="1"/>
        <v>100</v>
      </c>
      <c r="V12" s="701" t="s">
        <v>14</v>
      </c>
      <c r="W12" s="702">
        <f t="shared" si="2"/>
        <v>100</v>
      </c>
      <c r="X12" s="703"/>
      <c r="Y12" s="359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2"/>
      <c r="Q13" s="1343">
        <f t="shared" si="6"/>
        <v>111</v>
      </c>
      <c r="R13" s="701" t="s">
        <v>14</v>
      </c>
      <c r="S13" s="702">
        <f t="shared" si="0"/>
        <v>100</v>
      </c>
      <c r="T13" s="701" t="s">
        <v>14</v>
      </c>
      <c r="U13" s="702">
        <f t="shared" si="1"/>
        <v>100</v>
      </c>
      <c r="V13" s="701" t="s">
        <v>14</v>
      </c>
      <c r="W13" s="702">
        <f t="shared" si="2"/>
        <v>100</v>
      </c>
      <c r="X13" s="703"/>
      <c r="Y13" s="359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2"/>
      <c r="Q14" s="1343">
        <f t="shared" si="6"/>
        <v>111</v>
      </c>
      <c r="R14" s="701" t="s">
        <v>14</v>
      </c>
      <c r="S14" s="702">
        <f t="shared" si="0"/>
        <v>100</v>
      </c>
      <c r="T14" s="701" t="s">
        <v>14</v>
      </c>
      <c r="U14" s="702">
        <f t="shared" si="1"/>
        <v>100</v>
      </c>
      <c r="V14" s="701" t="s">
        <v>14</v>
      </c>
      <c r="W14" s="702">
        <f t="shared" si="2"/>
        <v>100</v>
      </c>
      <c r="X14" s="703"/>
      <c r="Y14" s="359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0"/>
      <c r="Q20" s="1352"/>
      <c r="R20" s="705"/>
      <c r="S20" s="706"/>
      <c r="T20" s="705"/>
      <c r="U20" s="706"/>
      <c r="V20" s="705"/>
      <c r="W20" s="706"/>
      <c r="X20" s="1355"/>
      <c r="Y20" s="372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0"/>
      <c r="Q24" s="1352"/>
      <c r="R24" s="705"/>
      <c r="S24" s="706"/>
      <c r="T24" s="705"/>
      <c r="U24" s="706"/>
      <c r="V24" s="705"/>
      <c r="W24" s="706"/>
      <c r="X24" s="1355"/>
      <c r="Y24" s="3720"/>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0"/>
      <c r="Q26" s="1352"/>
      <c r="R26" s="705"/>
      <c r="S26" s="706"/>
      <c r="T26" s="705"/>
      <c r="U26" s="706"/>
      <c r="V26" s="705"/>
      <c r="W26" s="706"/>
      <c r="X26" s="1355"/>
      <c r="Y26" s="372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20"/>
      <c r="Q28" s="1343"/>
      <c r="R28" s="701"/>
      <c r="S28" s="702"/>
      <c r="T28" s="701"/>
      <c r="U28" s="702"/>
      <c r="V28" s="701"/>
      <c r="W28" s="702"/>
      <c r="X28" s="703"/>
      <c r="Y28" s="372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12" t="str">
        <f>A46</f>
        <v>成交单价</v>
      </c>
      <c r="Q46" s="3712"/>
      <c r="R46" s="3726">
        <f>E46</f>
        <v>0</v>
      </c>
      <c r="S46" s="3726"/>
      <c r="T46" s="3726">
        <f>G46</f>
        <v>0</v>
      </c>
      <c r="U46" s="3726"/>
      <c r="V46" s="3726">
        <f>I46</f>
        <v>0</v>
      </c>
      <c r="W46" s="3726"/>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12" t="str">
        <f>A47</f>
        <v>比较价值（元/平方米）</v>
      </c>
      <c r="Q47" s="3712"/>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14" t="str">
        <f>A48</f>
        <v>估价对象XX用房的比较价值（楼面单价，元/平方米）</v>
      </c>
      <c r="Q48" s="3715"/>
      <c r="R48" s="3776" t="e">
        <f>ROUND(IF(D47="简单平均",AVERAGE(R47:W47),R47*F47+T47*H47+V47*J47),0)</f>
        <v>#DIV/0!</v>
      </c>
      <c r="S48" s="3776"/>
      <c r="T48" s="3776"/>
      <c r="U48" s="3776"/>
      <c r="V48" s="3776"/>
      <c r="W48" s="377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31" t="s">
        <v>1887</v>
      </c>
      <c r="H55" s="377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197.05</v>
      </c>
      <c r="F56" s="886" t="e">
        <f t="shared" ref="F56:F64" si="15">ROUND(B56*E56/10000,0)</f>
        <v>#DIV/0!</v>
      </c>
      <c r="G56" s="3727"/>
      <c r="H56" s="371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197.05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1" t="s">
        <v>1770</v>
      </c>
      <c r="D4" s="3732"/>
      <c r="E4" s="3733" t="s">
        <v>1771</v>
      </c>
      <c r="F4" s="3734"/>
      <c r="G4" s="3731" t="s">
        <v>1772</v>
      </c>
      <c r="H4" s="3732"/>
      <c r="I4" s="3731" t="s">
        <v>1773</v>
      </c>
      <c r="J4" s="3732"/>
      <c r="K4" s="559" t="s">
        <v>1774</v>
      </c>
      <c r="L4" s="2713"/>
      <c r="M4" s="2714"/>
      <c r="N4" s="2714"/>
      <c r="O4" s="2714"/>
      <c r="P4" s="3735" t="s">
        <v>1775</v>
      </c>
      <c r="Q4" s="3736"/>
      <c r="R4" s="3741" t="s">
        <v>1771</v>
      </c>
      <c r="S4" s="3742"/>
      <c r="T4" s="3741" t="s">
        <v>1772</v>
      </c>
      <c r="U4" s="3742"/>
      <c r="V4" s="3726" t="s">
        <v>1773</v>
      </c>
      <c r="W4" s="3726"/>
      <c r="X4" s="1355"/>
      <c r="Y4" s="3741" t="s">
        <v>1775</v>
      </c>
      <c r="Z4" s="3742"/>
      <c r="AA4" s="3728" t="s">
        <v>1771</v>
      </c>
      <c r="AB4" s="3729" t="s">
        <v>1772</v>
      </c>
      <c r="AC4" s="3728" t="s">
        <v>1773</v>
      </c>
    </row>
    <row r="5" spans="1:29">
      <c r="A5" s="358"/>
      <c r="B5" s="359"/>
      <c r="C5" s="3749" t="s">
        <v>1673</v>
      </c>
      <c r="D5" s="3750"/>
      <c r="E5" s="3756" t="s">
        <v>1674</v>
      </c>
      <c r="F5" s="3757"/>
      <c r="G5" s="3749" t="s">
        <v>1675</v>
      </c>
      <c r="H5" s="3750"/>
      <c r="I5" s="3749" t="s">
        <v>1676</v>
      </c>
      <c r="J5" s="3750"/>
      <c r="K5" s="559"/>
      <c r="L5" s="2713"/>
      <c r="M5" s="2714"/>
      <c r="N5" s="2714"/>
      <c r="O5" s="2714"/>
      <c r="P5" s="3737"/>
      <c r="Q5" s="3738"/>
      <c r="R5" s="3743"/>
      <c r="S5" s="3744"/>
      <c r="T5" s="3743"/>
      <c r="U5" s="3744"/>
      <c r="V5" s="3726"/>
      <c r="W5" s="3726"/>
      <c r="X5" s="1355"/>
      <c r="Y5" s="3743"/>
      <c r="Z5" s="3744"/>
      <c r="AA5" s="3729"/>
      <c r="AB5" s="3729"/>
      <c r="AC5" s="3729"/>
    </row>
    <row r="6" spans="1:29" ht="15" thickBot="1">
      <c r="A6" s="360"/>
      <c r="B6" s="361"/>
      <c r="C6" s="3778" t="s">
        <v>1919</v>
      </c>
      <c r="D6" s="3779"/>
      <c r="E6" s="3780" t="s">
        <v>1919</v>
      </c>
      <c r="F6" s="3781"/>
      <c r="G6" s="3778" t="s">
        <v>1919</v>
      </c>
      <c r="H6" s="3779"/>
      <c r="I6" s="3778" t="s">
        <v>1919</v>
      </c>
      <c r="J6" s="3779"/>
      <c r="K6" s="559" t="s">
        <v>1678</v>
      </c>
      <c r="L6" s="2713"/>
      <c r="M6" s="2714"/>
      <c r="N6" s="2714"/>
      <c r="O6" s="2714"/>
      <c r="P6" s="3739"/>
      <c r="Q6" s="3740"/>
      <c r="R6" s="3743"/>
      <c r="S6" s="3744"/>
      <c r="T6" s="3745"/>
      <c r="U6" s="3746"/>
      <c r="V6" s="3726"/>
      <c r="W6" s="3726"/>
      <c r="X6" s="1355"/>
      <c r="Y6" s="3745"/>
      <c r="Z6" s="3746"/>
      <c r="AA6" s="3730"/>
      <c r="AB6" s="3730"/>
      <c r="AC6" s="3730"/>
    </row>
    <row r="7" spans="1:29" s="108" customFormat="1" ht="15" thickBot="1">
      <c r="A7" s="362" t="s">
        <v>1679</v>
      </c>
      <c r="B7" s="363"/>
      <c r="C7" s="364">
        <f>'数据-取费表'!B2</f>
        <v>45793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51" t="s">
        <v>1683</v>
      </c>
      <c r="Q8" s="3752"/>
      <c r="R8" s="701" t="s">
        <v>14</v>
      </c>
      <c r="S8" s="702">
        <f t="shared" si="0"/>
        <v>0</v>
      </c>
      <c r="T8" s="701" t="s">
        <v>14</v>
      </c>
      <c r="U8" s="702">
        <f t="shared" si="1"/>
        <v>0</v>
      </c>
      <c r="V8" s="701" t="s">
        <v>14</v>
      </c>
      <c r="W8" s="702">
        <f t="shared" si="2"/>
        <v>0</v>
      </c>
      <c r="X8" s="703"/>
      <c r="Y8" s="3751" t="s">
        <v>1683</v>
      </c>
      <c r="Z8" s="3752"/>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2"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12"/>
      <c r="Q10" s="1343" t="str">
        <f t="shared" si="6"/>
        <v>土地使用年限（年）</v>
      </c>
      <c r="R10" s="701" t="s">
        <v>14</v>
      </c>
      <c r="S10" s="702">
        <f t="shared" si="0"/>
        <v>110</v>
      </c>
      <c r="T10" s="701" t="s">
        <v>14</v>
      </c>
      <c r="U10" s="702">
        <f t="shared" si="1"/>
        <v>110</v>
      </c>
      <c r="V10" s="701" t="s">
        <v>14</v>
      </c>
      <c r="W10" s="702">
        <f t="shared" si="2"/>
        <v>110</v>
      </c>
      <c r="X10" s="703"/>
      <c r="Y10" s="359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2"/>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2"/>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2"/>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2"/>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0"/>
      <c r="Q20" s="1352"/>
      <c r="R20" s="705"/>
      <c r="S20" s="706"/>
      <c r="T20" s="705"/>
      <c r="U20" s="706"/>
      <c r="V20" s="705"/>
      <c r="W20" s="706"/>
      <c r="X20" s="1355"/>
      <c r="Y20" s="372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20"/>
      <c r="Q24" s="1343"/>
      <c r="R24" s="701"/>
      <c r="S24" s="702"/>
      <c r="T24" s="701"/>
      <c r="U24" s="702"/>
      <c r="V24" s="701"/>
      <c r="W24" s="702"/>
      <c r="X24" s="703"/>
      <c r="Y24" s="372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12" t="str">
        <f>A41</f>
        <v>成交单价</v>
      </c>
      <c r="Q41" s="3712"/>
      <c r="R41" s="3726">
        <f>E41</f>
        <v>0</v>
      </c>
      <c r="S41" s="3726"/>
      <c r="T41" s="3726">
        <f>G41</f>
        <v>0</v>
      </c>
      <c r="U41" s="3726"/>
      <c r="V41" s="3726">
        <f>I41</f>
        <v>0</v>
      </c>
      <c r="W41" s="3726"/>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12" t="str">
        <f>A42</f>
        <v>比较价值（元/平方米）</v>
      </c>
      <c r="Q42" s="3712"/>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14" t="str">
        <f>A43</f>
        <v>估价对象XX用房的比较价值（楼面单价，元/平方米）</v>
      </c>
      <c r="Q43" s="3715"/>
      <c r="R43" s="3776" t="e">
        <f>ROUND(IF(D42="简单平均",AVERAGE(R42:W42),R42*F42+T42*H42+V42*J42),0)</f>
        <v>#DIV/0!</v>
      </c>
      <c r="S43" s="3776"/>
      <c r="T43" s="3776"/>
      <c r="U43" s="3776"/>
      <c r="V43" s="3776"/>
      <c r="W43" s="377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31" t="s">
        <v>1887</v>
      </c>
      <c r="H50" s="3777"/>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197.05</v>
      </c>
      <c r="F51" s="639" t="e">
        <f t="shared" ref="F51:F60" si="15">ROUND(B51*E51/10000,0)</f>
        <v>#DIV/0!</v>
      </c>
      <c r="G51" s="3727"/>
      <c r="H51" s="371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46.92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5" t="s">
        <v>2084</v>
      </c>
      <c r="D1" s="3786"/>
      <c r="E1" s="3786"/>
      <c r="F1" s="3786"/>
      <c r="G1" s="3786"/>
      <c r="H1" s="3786"/>
      <c r="I1" s="3786"/>
      <c r="J1" s="3786"/>
      <c r="K1" s="3786"/>
      <c r="L1" s="3786"/>
      <c r="M1" s="3786"/>
      <c r="N1" s="3786"/>
      <c r="O1" s="3786"/>
      <c r="P1" s="3786"/>
      <c r="Q1" s="3786"/>
      <c r="R1" s="3786"/>
      <c r="S1" s="378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580</v>
      </c>
      <c r="C2" s="2143" t="s">
        <v>2074</v>
      </c>
      <c r="D2" s="2143" t="s">
        <v>2075</v>
      </c>
      <c r="E2" s="2610">
        <f ca="1">SUMIF(E6:E13,"&lt;&gt;#ref!",E6:E13)</f>
        <v>197.05</v>
      </c>
      <c r="F2" s="2791"/>
      <c r="G2" s="2791"/>
      <c r="H2" s="2791"/>
      <c r="I2" s="2791"/>
      <c r="J2" s="2791"/>
      <c r="K2" s="2791"/>
      <c r="L2" s="2791"/>
      <c r="M2" s="2791"/>
      <c r="N2" s="2791"/>
      <c r="O2" s="2791"/>
      <c r="P2" s="2791"/>
    </row>
    <row r="3" spans="1:16" ht="15.6">
      <c r="A3" s="2143" t="s">
        <v>2076</v>
      </c>
      <c r="B3" s="2600">
        <f ca="1">ROUND(B2*10000/E2,0)</f>
        <v>29434</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580</v>
      </c>
      <c r="C6" s="2143" t="s">
        <v>2074</v>
      </c>
      <c r="D6" s="2791"/>
      <c r="E6" s="2610">
        <f ca="1">SUMIF(INDIRECT("'"&amp;A6&amp;"'"&amp;"!C:C"),"建筑面积",INDIRECT("'"&amp;A6&amp;"'"&amp;"!D:D"))</f>
        <v>197.05</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9" sqref="K5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3418</v>
      </c>
      <c r="C1" s="198"/>
      <c r="D1" s="198"/>
      <c r="E1" s="198"/>
      <c r="F1" s="198"/>
      <c r="G1" s="1126">
        <f>MATCH(B1,'数据-取费表'!A6:A16,0)+5</f>
        <v>6</v>
      </c>
    </row>
    <row r="2" spans="1:9" s="200" customFormat="1" ht="18" customHeight="1">
      <c r="A2" s="201" t="s">
        <v>1462</v>
      </c>
      <c r="B2" s="202">
        <f ca="1">IF(D2="——",C52,C52-E2)</f>
        <v>921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46739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598</v>
      </c>
      <c r="D5" s="211" t="s">
        <v>1469</v>
      </c>
      <c r="E5" s="212" t="s">
        <v>1470</v>
      </c>
      <c r="F5" s="212" t="s">
        <v>1471</v>
      </c>
      <c r="G5" s="213"/>
    </row>
    <row r="6" spans="1:9" s="214" customFormat="1" ht="13.5" customHeight="1">
      <c r="A6" s="778" t="s">
        <v>1472</v>
      </c>
      <c r="B6" s="215" t="s">
        <v>1473</v>
      </c>
      <c r="C6" s="216">
        <f>基准地价修正!E33</f>
        <v>580</v>
      </c>
      <c r="D6" s="217"/>
      <c r="E6" s="218"/>
      <c r="F6" s="218"/>
      <c r="G6" s="219"/>
    </row>
    <row r="7" spans="1:9" s="214" customFormat="1" ht="13.5" customHeight="1">
      <c r="A7" s="778" t="s">
        <v>1474</v>
      </c>
      <c r="B7" s="215" t="s">
        <v>1475</v>
      </c>
      <c r="C7" s="220">
        <f>ROUND(C6*F7,0)</f>
        <v>18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3442</v>
      </c>
    </row>
    <row r="9" spans="1:9" s="214" customFormat="1" ht="13.5" customHeight="1">
      <c r="A9" s="779" t="s">
        <v>355</v>
      </c>
      <c r="B9" s="224" t="s">
        <v>1478</v>
      </c>
      <c r="C9" s="225">
        <f ca="1">ROUND(D9*E9/10000,0)</f>
        <v>3</v>
      </c>
      <c r="D9" s="845">
        <f ca="1">IF(B1="",'数据-汇总表'!E5,IF(INDIRECT("'数据-取费表'!c"&amp;$G$1)="住宅",INDIRECT("'数据-取费表'!k"&amp;$G$1),0))</f>
        <v>197.05</v>
      </c>
      <c r="E9" s="225">
        <f>'数据-取费表'!B27</f>
        <v>160</v>
      </c>
      <c r="F9" s="221"/>
      <c r="G9" s="1857" t="s">
        <v>3546</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197.05</v>
      </c>
      <c r="E19" s="211">
        <f>'数据-取费表'!B31</f>
        <v>200</v>
      </c>
      <c r="F19" s="231"/>
      <c r="G19" s="1856" t="s">
        <v>3443</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38</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122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122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846</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4</v>
      </c>
      <c r="D37" s="217">
        <f ca="1">D19</f>
        <v>197.05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88" t="s">
        <v>1544</v>
      </c>
    </row>
    <row r="43" spans="1:7" ht="13.5" customHeight="1">
      <c r="A43" s="780" t="s">
        <v>347</v>
      </c>
      <c r="B43" s="215" t="s">
        <v>1545</v>
      </c>
      <c r="C43" s="238">
        <f ca="1">ROUND(IF('数据-取费表'!B22&lt;=1,C39*F22*'数据-取费表'!B21/2,C39*(POWER((1+F22),'数据-取费表'!B21/2)-1)),0)</f>
        <v>0</v>
      </c>
      <c r="D43" s="238"/>
      <c r="E43" s="238"/>
      <c r="F43" s="239"/>
      <c r="G43" s="3689"/>
    </row>
    <row r="44" spans="1:7" ht="13.5" customHeight="1">
      <c r="A44" s="780" t="s">
        <v>348</v>
      </c>
      <c r="B44" s="215" t="s">
        <v>1546</v>
      </c>
      <c r="C44" s="238">
        <f ca="1">ROUND(IF('数据-取费表'!B22&lt;=1,C40*F22*'数据-取费表'!B21/2,C40*(POWER((1+F22),'数据-取费表'!B21/2)-1)),4)</f>
        <v>8.9999999999999998E-4</v>
      </c>
      <c r="D44" s="238"/>
      <c r="E44" s="238"/>
      <c r="F44" s="239"/>
      <c r="G44" s="3690"/>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75</v>
      </c>
      <c r="D51" s="232"/>
      <c r="E51" s="232"/>
      <c r="F51" s="264"/>
      <c r="G51" s="234" t="s">
        <v>1560</v>
      </c>
    </row>
    <row r="52" spans="1:7" s="208" customFormat="1" ht="16.8" thickBot="1">
      <c r="A52" s="265" t="s">
        <v>1561</v>
      </c>
      <c r="B52" s="266"/>
      <c r="C52" s="267">
        <f ca="1">C31+C51</f>
        <v>921</v>
      </c>
      <c r="D52" s="266"/>
      <c r="E52" s="266"/>
      <c r="F52" s="266"/>
      <c r="G52" s="268"/>
    </row>
    <row r="55" spans="1:7" ht="15">
      <c r="B55" s="270" t="s">
        <v>1562</v>
      </c>
      <c r="C55" s="271"/>
    </row>
    <row r="56" spans="1:7">
      <c r="B56" s="273" t="s">
        <v>802</v>
      </c>
      <c r="C56" s="275">
        <f ca="1">1-C57</f>
        <v>0.91900000000000004</v>
      </c>
    </row>
    <row r="57" spans="1:7">
      <c r="B57" s="273" t="s">
        <v>803</v>
      </c>
      <c r="C57" s="274">
        <f ca="1">ROUND(C51/C52,3)</f>
        <v>8.1000000000000003E-2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4" sqref="G24"/>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197.05</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580</v>
      </c>
      <c r="C2" s="1997" t="s">
        <v>1935</v>
      </c>
      <c r="D2" s="1998" t="s">
        <v>1936</v>
      </c>
      <c r="E2" s="3420" t="s">
        <v>3406</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f t="shared" ref="T2:T16" si="0">ROUND($C$5*$C$22*$C$23*$C$24*S2*$C$28,0)</f>
        <v>48427</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29434</v>
      </c>
      <c r="C3" s="1997" t="s">
        <v>1941</v>
      </c>
      <c r="D3" s="1998" t="s">
        <v>1942</v>
      </c>
      <c r="E3" s="3418" t="s">
        <v>3427</v>
      </c>
      <c r="F3" s="2002" t="s">
        <v>3428</v>
      </c>
      <c r="G3" s="752">
        <f>IF(F3="宗地容积率",'数据-汇总表'!I4,IF(F3="估价对象容积率",'数据-汇总表'!I6,'数据-汇总表'!I7))</f>
        <v>4.2</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38446</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95"/>
      <c r="B4" s="3796"/>
      <c r="C4" s="3796"/>
      <c r="D4" s="3797"/>
      <c r="E4" s="3797"/>
      <c r="F4" s="3797"/>
      <c r="G4" s="3797"/>
      <c r="H4" s="3797"/>
      <c r="I4" s="3797"/>
      <c r="J4" s="3798"/>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33220</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30791</v>
      </c>
      <c r="D5" s="1339">
        <f>ROUND(C6*C17+C20,0)</f>
        <v>27990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30061</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28010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28650</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4.2</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92" t="s">
        <v>1960</v>
      </c>
      <c r="X8" s="379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94"/>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9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1.1000000000000001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3429</v>
      </c>
      <c r="D15" s="2042" t="s">
        <v>3429</v>
      </c>
      <c r="E15" s="2043" t="s">
        <v>3430</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799" t="s">
        <v>3254</v>
      </c>
      <c r="B20" s="167" t="s">
        <v>1994</v>
      </c>
      <c r="C20" s="3323">
        <f>ROUND(IF(F21="与级别开发程度一致",0,(G21-E21)/C21),0)</f>
        <v>-20</v>
      </c>
      <c r="D20" s="3339" t="s">
        <v>1998</v>
      </c>
      <c r="E20" s="3340"/>
      <c r="F20" s="3805" t="s">
        <v>1995</v>
      </c>
      <c r="G20" s="3806"/>
      <c r="H20" s="3324" t="s">
        <v>3431</v>
      </c>
      <c r="I20" s="3324" t="s">
        <v>3432</v>
      </c>
      <c r="J20" s="3325" t="s">
        <v>3433</v>
      </c>
      <c r="K20" s="2045" t="s">
        <v>3434</v>
      </c>
      <c r="L20" s="2045" t="s">
        <v>3435</v>
      </c>
      <c r="M20" s="2045" t="s">
        <v>3436</v>
      </c>
      <c r="N20" s="2045"/>
      <c r="O20" s="2046" t="s">
        <v>3437</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80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325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0</v>
      </c>
      <c r="O21" s="2165">
        <f>SUMPRODUCT((七通一平=O20)*(修正!B1:M1=G2)*(修正!B8:M16))</f>
        <v>20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2" t="s">
        <v>2002</v>
      </c>
      <c r="E23" s="761">
        <v>44197</v>
      </c>
      <c r="F23" s="2052" t="s">
        <v>2003</v>
      </c>
      <c r="G23" s="762">
        <f>'数据-取费表'!B2</f>
        <v>45793</v>
      </c>
      <c r="H23" s="3341" t="s">
        <v>3256</v>
      </c>
      <c r="I23" s="3342" t="str">
        <f>IF(H23="季度增幅（自定义）",SUMIF(N25:N28,E2,O25:O28),"")</f>
        <v/>
      </c>
      <c r="J23" s="3444" t="s">
        <v>3255</v>
      </c>
      <c r="K23" s="1125"/>
      <c r="L23" s="2053" t="s">
        <v>2004</v>
      </c>
      <c r="M23" s="1328">
        <f>ROUND(SUMIF(地价!B2:G2,E2,地价!B16:G16),0)</f>
        <v>687</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0.93379999999999996</v>
      </c>
      <c r="D24" s="2058" t="s">
        <v>2007</v>
      </c>
      <c r="E24" s="1335">
        <f>存贷款利率!E28/100</f>
        <v>4.3499999999999997E-2</v>
      </c>
      <c r="F24" s="2058" t="s">
        <v>1999</v>
      </c>
      <c r="G24" s="768">
        <f>SUMIF(M30:Q30,E2,M33:Q33)</f>
        <v>0.05</v>
      </c>
      <c r="H24" s="2058" t="s">
        <v>2008</v>
      </c>
      <c r="I24" s="769">
        <f>SUMIF('数据-取费表'!C6:C15,E2,'数据-取费表'!F6:F15)/COUNTIF('数据-取费表'!C6:C15,E2)</f>
        <v>47.84</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3335</v>
      </c>
      <c r="C25" s="771">
        <f>IF(B25="容积率修正",IF(G3&lt;10,D26,J26),C27)</f>
        <v>0.92479999999999996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3257</v>
      </c>
      <c r="D26" s="1352">
        <f>IF(E26=G26,F26,IF(G3&lt;10,ROUND(F26+(H26-F26)*(G3-E26)/(G26-E26),4),"——"))</f>
        <v>0.92479999999999996</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0.92479999999999996</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0.92479999999999996</v>
      </c>
      <c r="I26" s="3343" t="s">
        <v>3258</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1.0371999999999999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580</v>
      </c>
      <c r="D30" s="2081"/>
      <c r="E30" s="2044"/>
      <c r="F30" s="2082"/>
      <c r="G30" s="2044"/>
      <c r="H30" s="2044"/>
      <c r="I30" s="2044"/>
      <c r="J30" s="2083"/>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29452</v>
      </c>
      <c r="D33" s="2096">
        <f>'数据-汇总表'!E19</f>
        <v>197.05</v>
      </c>
      <c r="E33" s="773">
        <f>ROUND(C33*D33/10000,0)</f>
        <v>580</v>
      </c>
      <c r="F33" s="3344" t="s">
        <v>3260</v>
      </c>
      <c r="G33" s="2097"/>
      <c r="H33" s="2097"/>
      <c r="I33" s="2097"/>
      <c r="J33" s="2098"/>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7363</v>
      </c>
      <c r="D34" s="2101"/>
      <c r="E34" s="773">
        <f>ROUND(IF(B25="楼层修正",SUM(V2:V16)*M40,C34*D34/10000),0)</f>
        <v>0</v>
      </c>
      <c r="F34" s="2102" t="s">
        <v>2032</v>
      </c>
      <c r="G34" s="2103"/>
      <c r="H34" s="2103"/>
      <c r="I34" s="2103"/>
      <c r="J34" s="2104"/>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3261</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803"/>
      <c r="B37" s="2111" t="s">
        <v>2036</v>
      </c>
      <c r="C37" s="175">
        <f>ROUND(D5*C22*C23*C24*C28*F37,0)</f>
        <v>20265</v>
      </c>
      <c r="D37" s="2096"/>
      <c r="E37" s="171">
        <f>ROUND(C37*D37/10000,0)</f>
        <v>0</v>
      </c>
      <c r="F37" s="171">
        <f>SUMIF(修正!A57:A68,G2,修正!B57:B68)</f>
        <v>0.7</v>
      </c>
      <c r="G37" s="171">
        <f>ROUND(IF(E2="工业",C37*$M$42,C37*$M$41),0)</f>
        <v>5066</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04"/>
      <c r="B38" s="2039" t="s">
        <v>2037</v>
      </c>
      <c r="C38" s="175">
        <f>ROUND(D5*C22*C23*C24*C28*F38,0)</f>
        <v>11580</v>
      </c>
      <c r="D38" s="2096"/>
      <c r="E38" s="171">
        <f t="shared" ref="E38:E42" si="4">ROUND(C38*D38/10000,0)</f>
        <v>0</v>
      </c>
      <c r="F38" s="171">
        <f>SUMIF(修正!A57:A68,G2,修正!C57:C68)</f>
        <v>0.4</v>
      </c>
      <c r="G38" s="171">
        <f>ROUND(IF(E2="工业",C38*$M$42,C38*$M$41),0)</f>
        <v>2895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4"/>
      <c r="B39" s="2039" t="s">
        <v>3259</v>
      </c>
      <c r="C39" s="175">
        <f>ROUND(D5*C22*C23*C24*C28*F39,0)</f>
        <v>8685</v>
      </c>
      <c r="D39" s="2096"/>
      <c r="E39" s="171">
        <f t="shared" si="4"/>
        <v>0</v>
      </c>
      <c r="F39" s="171">
        <f>SUMIF(修正!A57:A68,G2,修正!D57:D68)</f>
        <v>0.3</v>
      </c>
      <c r="G39" s="171">
        <f>ROUND(IF(E2="工业",C39*$M$42,C39*$M$41),0)</f>
        <v>2171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8685</v>
      </c>
      <c r="D40" s="2096"/>
      <c r="E40" s="171">
        <f t="shared" si="4"/>
        <v>0</v>
      </c>
      <c r="F40" s="175">
        <f>SUMIF(修正!A57:A68,G2,修正!E57:E68)</f>
        <v>0.3</v>
      </c>
      <c r="G40" s="171">
        <f>ROUND(IF(E2="工业",C40*$M$42,C40*$M$41),0)</f>
        <v>2171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3267</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3269</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3269</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4" t="s">
        <v>2065</v>
      </c>
      <c r="B70" s="2125">
        <f>1+E72</f>
        <v>1.0371999999999999</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3439</v>
      </c>
      <c r="D72" s="1065">
        <f t="shared" ref="D72:D80" si="17">SUMIF($J$71:$N$71,C72,J72:N72)</f>
        <v>7.1999999999999998E-3</v>
      </c>
      <c r="E72" s="744">
        <f>ROUND(SUM(D72:D80),4)</f>
        <v>3.7199999999999997E-2</v>
      </c>
      <c r="F72" s="1814">
        <f>IF(E2="住宅",SUMIF(L1:L12,G2,N1:N12),"——")</f>
        <v>7.1999999999999995E-2</v>
      </c>
      <c r="G72" s="1063">
        <f>H72</f>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3439</v>
      </c>
      <c r="D73" s="1065">
        <f t="shared" si="17"/>
        <v>9.2999999999999992E-3</v>
      </c>
      <c r="E73" s="747"/>
      <c r="F73" s="1814"/>
      <c r="G73" s="1063">
        <f t="shared" ref="G73:G80" si="22">H73</f>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5" customFormat="1" ht="48">
      <c r="A74" s="3367" t="s">
        <v>3269</v>
      </c>
      <c r="B74" s="2132">
        <f>估价对象房地状况!C19</f>
        <v>0</v>
      </c>
      <c r="C74" s="2042" t="s">
        <v>3439</v>
      </c>
      <c r="D74" s="1065">
        <f t="shared" si="17"/>
        <v>3.5999999999999999E-3</v>
      </c>
      <c r="E74" s="747"/>
      <c r="F74" s="1814"/>
      <c r="G74" s="1063">
        <f t="shared" si="22"/>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3441</v>
      </c>
      <c r="D75" s="1065">
        <f t="shared" si="17"/>
        <v>0</v>
      </c>
      <c r="E75" s="747"/>
      <c r="F75" s="1814"/>
      <c r="G75" s="1063">
        <f t="shared" si="22"/>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5"/>
      <c r="Z75" s="1996"/>
      <c r="AA75" s="2051"/>
      <c r="AG75" s="1121"/>
      <c r="AK75" s="2051"/>
    </row>
    <row r="76" spans="1:37" ht="26.4">
      <c r="A76" s="2128" t="s">
        <v>2059</v>
      </c>
      <c r="B76" s="1326" t="str">
        <f>估价对象房地状况!C21</f>
        <v>估价对象所在区域公共配套设施齐备情况</v>
      </c>
      <c r="C76" s="2042" t="s">
        <v>3439</v>
      </c>
      <c r="D76" s="1065">
        <f t="shared" si="17"/>
        <v>2.8E-3</v>
      </c>
      <c r="E76" s="747"/>
      <c r="F76" s="1814"/>
      <c r="G76" s="1063">
        <f t="shared" si="22"/>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6"/>
      <c r="AA76" s="2051"/>
      <c r="AG76" s="1121"/>
      <c r="AK76" s="2051"/>
    </row>
    <row r="77" spans="1:37" ht="26.4">
      <c r="A77" s="2128" t="s">
        <v>2060</v>
      </c>
      <c r="B77" s="1326" t="str">
        <f>估价对象房地状况!C22</f>
        <v>估价对象所在区域基础设施水平</v>
      </c>
      <c r="C77" s="2042" t="s">
        <v>3440</v>
      </c>
      <c r="D77" s="1065">
        <f t="shared" si="17"/>
        <v>6.4000000000000003E-3</v>
      </c>
      <c r="E77" s="747"/>
      <c r="F77" s="1814"/>
      <c r="G77" s="1063">
        <f t="shared" si="22"/>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6"/>
      <c r="AA77" s="2051"/>
      <c r="AG77" s="1121"/>
      <c r="AK77" s="2051"/>
    </row>
    <row r="78" spans="1:37" ht="36">
      <c r="A78" s="2128" t="s">
        <v>2057</v>
      </c>
      <c r="B78" s="2134" t="s">
        <v>2058</v>
      </c>
      <c r="C78" s="2042" t="s">
        <v>3439</v>
      </c>
      <c r="D78" s="1065">
        <f t="shared" si="17"/>
        <v>1.8E-3</v>
      </c>
      <c r="E78" s="747"/>
      <c r="F78" s="1814"/>
      <c r="G78" s="1063">
        <f t="shared" si="22"/>
        <v>1.8E-3</v>
      </c>
      <c r="H78" s="1066">
        <f t="shared" si="18"/>
        <v>1.8E-3</v>
      </c>
      <c r="I78" s="3365">
        <v>0.05</v>
      </c>
      <c r="J78" s="1064">
        <f t="shared" si="19"/>
        <v>3.5999999999999999E-3</v>
      </c>
      <c r="K78" s="1064">
        <f t="shared" si="20"/>
        <v>1.8E-3</v>
      </c>
      <c r="L78" s="1064">
        <v>0</v>
      </c>
      <c r="M78" s="1064">
        <f t="shared" si="21"/>
        <v>-1.8E-3</v>
      </c>
      <c r="N78" s="1064">
        <f t="shared" si="21"/>
        <v>-3.5999999999999999E-3</v>
      </c>
      <c r="O78" s="1995"/>
      <c r="P78" s="1995"/>
      <c r="Z78" s="1996"/>
      <c r="AA78" s="2051"/>
      <c r="AG78" s="1121"/>
      <c r="AK78" s="2051"/>
    </row>
    <row r="79" spans="1:37" ht="39.6">
      <c r="A79" s="2128" t="s">
        <v>2061</v>
      </c>
      <c r="B79" s="2131" t="str">
        <f>估价对象房地状况!C20</f>
        <v>区域自然环境：；人文环境；综合评价环境状况一般</v>
      </c>
      <c r="C79" s="2042" t="s">
        <v>3439</v>
      </c>
      <c r="D79" s="1065">
        <f t="shared" si="17"/>
        <v>4.3E-3</v>
      </c>
      <c r="E79" s="747"/>
      <c r="F79" s="1814"/>
      <c r="G79" s="1063">
        <f t="shared" si="22"/>
        <v>4.3E-3</v>
      </c>
      <c r="H79" s="1066">
        <f t="shared" si="18"/>
        <v>4.3E-3</v>
      </c>
      <c r="I79" s="3365">
        <v>0.12</v>
      </c>
      <c r="J79" s="1064">
        <f t="shared" si="19"/>
        <v>8.6E-3</v>
      </c>
      <c r="K79" s="1064">
        <f t="shared" si="20"/>
        <v>4.3E-3</v>
      </c>
      <c r="L79" s="1064">
        <v>0</v>
      </c>
      <c r="M79" s="1064">
        <f t="shared" si="21"/>
        <v>-4.3E-3</v>
      </c>
      <c r="N79" s="1064">
        <f t="shared" si="21"/>
        <v>-8.6E-3</v>
      </c>
      <c r="Z79" s="1996"/>
      <c r="AA79" s="2051"/>
      <c r="AG79" s="1121"/>
      <c r="AK79" s="2051"/>
    </row>
    <row r="80" spans="1:37" ht="36.6" thickBot="1">
      <c r="A80" s="2136" t="s">
        <v>2068</v>
      </c>
      <c r="B80" s="2140"/>
      <c r="C80" s="2042" t="s">
        <v>3439</v>
      </c>
      <c r="D80" s="1065">
        <f t="shared" si="17"/>
        <v>1.8E-3</v>
      </c>
      <c r="E80" s="748"/>
      <c r="F80" s="1814"/>
      <c r="G80" s="1063">
        <f t="shared" si="22"/>
        <v>1.8E-3</v>
      </c>
      <c r="H80" s="1066">
        <f t="shared" si="18"/>
        <v>1.8E-3</v>
      </c>
      <c r="I80" s="3366">
        <v>0.05</v>
      </c>
      <c r="J80" s="1064">
        <f t="shared" si="19"/>
        <v>3.5999999999999999E-3</v>
      </c>
      <c r="K80" s="1064">
        <f t="shared" si="20"/>
        <v>1.8E-3</v>
      </c>
      <c r="L80" s="1064">
        <v>0</v>
      </c>
      <c r="M80" s="1064">
        <f t="shared" si="21"/>
        <v>-1.8E-3</v>
      </c>
      <c r="N80" s="1064">
        <f t="shared" si="21"/>
        <v>-3.5999999999999999E-3</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6"/>
      <c r="AA84" s="2051"/>
      <c r="AG84" s="1121"/>
      <c r="AK84" s="2051"/>
    </row>
    <row r="85" spans="1:37" ht="48">
      <c r="A85" s="3367" t="s">
        <v>3270</v>
      </c>
      <c r="B85" s="2132">
        <f>估价对象房地状况!G17</f>
        <v>0</v>
      </c>
      <c r="C85" s="2042"/>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6"/>
      <c r="AA85" s="2051"/>
      <c r="AG85" s="1121"/>
      <c r="AK85" s="2051"/>
    </row>
    <row r="86" spans="1:37" ht="13.8">
      <c r="A86" s="2128" t="s">
        <v>2067</v>
      </c>
      <c r="B86" s="2132">
        <f>估价对象房地状况!G22</f>
        <v>0</v>
      </c>
      <c r="C86" s="2042"/>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6"/>
      <c r="AA86" s="2051"/>
      <c r="AG86" s="1121"/>
      <c r="AK86" s="2051"/>
    </row>
    <row r="87" spans="1:37" ht="26.4">
      <c r="A87" s="2128" t="s">
        <v>2059</v>
      </c>
      <c r="B87" s="1326" t="str">
        <f>估价对象房地状况!G19</f>
        <v>估价对象所在区域公共配套设施齐备情况</v>
      </c>
      <c r="C87" s="2042"/>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6.4">
      <c r="A88" s="2128" t="s">
        <v>2060</v>
      </c>
      <c r="B88" s="1326" t="str">
        <f>估价对象房地状况!G20</f>
        <v>估价对象所在区域基础设施水平</v>
      </c>
      <c r="C88" s="2042"/>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36">
      <c r="A89" s="2128" t="s">
        <v>2057</v>
      </c>
      <c r="B89" s="2134" t="s">
        <v>2071</v>
      </c>
      <c r="C89" s="2042"/>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40.200000000000003" thickBot="1">
      <c r="A90" s="2136" t="s">
        <v>2072</v>
      </c>
      <c r="B90" s="2141" t="str">
        <f>估价对象房地状况!G18</f>
        <v>该园区内是否有污染型企业，绿化情况，卫生条件，整体环境状况判断</v>
      </c>
      <c r="C90" s="2042"/>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3273</v>
      </c>
      <c r="B94" s="3368" t="str">
        <f>估价对象房地状况!C18</f>
        <v>估价对象周边道路状况、公共交通通达情况、停车便捷程度，综合评价交通便捷度较好</v>
      </c>
      <c r="C94" s="2042"/>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3269</v>
      </c>
      <c r="B95" s="3368">
        <f>估价对象房地状况!C19</f>
        <v>0</v>
      </c>
      <c r="C95" s="2042"/>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3274</v>
      </c>
      <c r="B96" s="3383" t="s">
        <v>3285</v>
      </c>
      <c r="C96" s="2042"/>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2"/>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36">
      <c r="A98" s="3377" t="s">
        <v>3276</v>
      </c>
      <c r="B98" s="3384" t="s">
        <v>3286</v>
      </c>
      <c r="C98" s="2042"/>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6.4">
      <c r="A99" s="3377" t="s">
        <v>3277</v>
      </c>
      <c r="B99" s="3368" t="str">
        <f>估价对象房地状况!C21</f>
        <v>估价对象所在区域公共配套设施齐备情况</v>
      </c>
      <c r="C99" s="2042"/>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6.4">
      <c r="A100" s="3377" t="s">
        <v>3278</v>
      </c>
      <c r="B100" s="3368" t="str">
        <f>估价对象房地状况!C22</f>
        <v>估价对象所在区域基础设施水平</v>
      </c>
      <c r="C100" s="2042"/>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3279</v>
      </c>
      <c r="B101" s="3385" t="str">
        <f>估价对象房地状况!C20</f>
        <v>区域自然环境：；人文环境；综合评价环境状况一般</v>
      </c>
      <c r="C101" s="2042"/>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801" t="s">
        <v>3294</v>
      </c>
      <c r="B103" s="3801"/>
      <c r="C103" s="3801"/>
      <c r="D103" s="3801"/>
      <c r="E103" s="3801"/>
      <c r="F103" s="3801"/>
      <c r="G103" s="3801"/>
      <c r="H103" s="3801"/>
      <c r="I103" s="3801"/>
      <c r="J103" s="3801"/>
      <c r="K103" s="3388"/>
      <c r="L103" s="3388"/>
      <c r="M103" s="3388"/>
      <c r="N103" s="3388"/>
    </row>
    <row r="104" spans="1:14">
      <c r="A104" s="3802" t="s">
        <v>3295</v>
      </c>
      <c r="B104" s="3802" t="s">
        <v>3296</v>
      </c>
      <c r="C104" s="3389" t="s">
        <v>3297</v>
      </c>
      <c r="D104" s="3390"/>
      <c r="E104" s="3390"/>
      <c r="F104" s="3390"/>
      <c r="G104" s="3390"/>
      <c r="H104" s="3390"/>
      <c r="I104" s="3390"/>
      <c r="J104" s="3391"/>
      <c r="K104" s="3392"/>
      <c r="L104" s="3392"/>
      <c r="M104" s="3392"/>
      <c r="N104" s="3392"/>
    </row>
    <row r="105" spans="1:14">
      <c r="A105" s="3802"/>
      <c r="B105" s="3802"/>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88"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8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8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8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8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89"/>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90"/>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91" t="s">
        <v>3311</v>
      </c>
      <c r="B113" s="3791"/>
      <c r="C113" s="3791"/>
      <c r="D113" s="3791"/>
      <c r="E113" s="3791"/>
      <c r="F113" s="3791"/>
      <c r="G113" s="3791"/>
      <c r="H113" s="3791"/>
      <c r="I113" s="3791"/>
      <c r="J113" s="379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3312</v>
      </c>
      <c r="B116" s="3414">
        <f>G3</f>
        <v>4.2</v>
      </c>
      <c r="C116" s="3398" t="s">
        <v>3313</v>
      </c>
      <c r="D116" s="3399">
        <f>SUMPRODUCT((A118:A122=F116)*(B117:M117=H116)*B118:M122)</f>
        <v>0.89649999999999996</v>
      </c>
      <c r="E116" s="1998" t="s">
        <v>3314</v>
      </c>
      <c r="F116" s="3400" t="str">
        <f>E2</f>
        <v>住宅</v>
      </c>
      <c r="G116" s="1998" t="s">
        <v>3315</v>
      </c>
      <c r="H116" s="3400" t="str">
        <f>G2</f>
        <v>二级</v>
      </c>
      <c r="I116" s="1998"/>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0.9506</v>
      </c>
      <c r="C118" s="3386">
        <f>B118</f>
        <v>0.9506</v>
      </c>
      <c r="D118" s="3386">
        <f>ROUND(0.949-0.014*B116,4)</f>
        <v>0.89019999999999999</v>
      </c>
      <c r="E118" s="3386">
        <f>D118</f>
        <v>0.89019999999999999</v>
      </c>
      <c r="F118" s="3386">
        <f>E118</f>
        <v>0.89019999999999999</v>
      </c>
      <c r="G118" s="3386">
        <f>F118</f>
        <v>0.89019999999999999</v>
      </c>
      <c r="H118" s="3386">
        <f>G118</f>
        <v>0.89019999999999999</v>
      </c>
      <c r="I118" s="3386">
        <f>ROUND(0.8486-0.018*B116,4)</f>
        <v>0.77300000000000002</v>
      </c>
      <c r="J118" s="3386">
        <f t="shared" ref="J118:M122" si="36">I118</f>
        <v>0.77300000000000002</v>
      </c>
      <c r="K118" s="3386">
        <f t="shared" si="36"/>
        <v>0.77300000000000002</v>
      </c>
      <c r="L118" s="3386">
        <f t="shared" si="36"/>
        <v>0.77300000000000002</v>
      </c>
      <c r="M118" s="3409">
        <f t="shared" si="36"/>
        <v>0.77300000000000002</v>
      </c>
      <c r="N118" s="3396"/>
    </row>
    <row r="119" spans="1:14">
      <c r="A119" s="3408" t="s">
        <v>3329</v>
      </c>
      <c r="B119" s="3386">
        <f>ROUND(0.993-0.0112*B116,4)</f>
        <v>0.94599999999999995</v>
      </c>
      <c r="C119" s="3386">
        <f>B119</f>
        <v>0.94599999999999995</v>
      </c>
      <c r="D119" s="3386">
        <f>ROUND(0.9415-0.0142*B116,4)</f>
        <v>0.88190000000000002</v>
      </c>
      <c r="E119" s="3386">
        <f t="shared" ref="E119:H120" si="37">D119</f>
        <v>0.88190000000000002</v>
      </c>
      <c r="F119" s="3386">
        <f t="shared" si="37"/>
        <v>0.88190000000000002</v>
      </c>
      <c r="G119" s="3386">
        <f t="shared" si="37"/>
        <v>0.88190000000000002</v>
      </c>
      <c r="H119" s="3386">
        <f t="shared" si="37"/>
        <v>0.88190000000000002</v>
      </c>
      <c r="I119" s="3386">
        <f>ROUND(0.838-0.0182*B116,4)</f>
        <v>0.76160000000000005</v>
      </c>
      <c r="J119" s="3386">
        <f t="shared" si="36"/>
        <v>0.76160000000000005</v>
      </c>
      <c r="K119" s="3386">
        <f t="shared" si="36"/>
        <v>0.76160000000000005</v>
      </c>
      <c r="L119" s="3386">
        <f t="shared" si="36"/>
        <v>0.76160000000000005</v>
      </c>
      <c r="M119" s="3409">
        <f t="shared" si="36"/>
        <v>0.76160000000000005</v>
      </c>
      <c r="N119" s="3396"/>
    </row>
    <row r="120" spans="1:14">
      <c r="A120" s="3408" t="s">
        <v>3330</v>
      </c>
      <c r="B120" s="3386">
        <f>ROUND(0.9448-0.0115*B116,4)</f>
        <v>0.89649999999999996</v>
      </c>
      <c r="C120" s="3386">
        <f>B120</f>
        <v>0.89649999999999996</v>
      </c>
      <c r="D120" s="3386">
        <f>ROUND(0.937-0.0145*B116,4)</f>
        <v>0.87609999999999999</v>
      </c>
      <c r="E120" s="3386">
        <f t="shared" si="37"/>
        <v>0.87609999999999999</v>
      </c>
      <c r="F120" s="3386">
        <f t="shared" si="37"/>
        <v>0.87609999999999999</v>
      </c>
      <c r="G120" s="3386">
        <f t="shared" si="37"/>
        <v>0.87609999999999999</v>
      </c>
      <c r="H120" s="3386">
        <f t="shared" si="37"/>
        <v>0.87609999999999999</v>
      </c>
      <c r="I120" s="3386">
        <f>ROUND(0.7965-0.0185*B116,4)</f>
        <v>0.71879999999999999</v>
      </c>
      <c r="J120" s="3386">
        <f t="shared" si="36"/>
        <v>0.71879999999999999</v>
      </c>
      <c r="K120" s="3386">
        <f t="shared" si="36"/>
        <v>0.71879999999999999</v>
      </c>
      <c r="L120" s="3386">
        <f t="shared" si="36"/>
        <v>0.71879999999999999</v>
      </c>
      <c r="M120" s="3409">
        <f t="shared" si="36"/>
        <v>0.71879999999999999</v>
      </c>
      <c r="N120" s="3396"/>
    </row>
    <row r="121" spans="1:14" ht="13.8" thickBot="1">
      <c r="A121" s="3410" t="s">
        <v>3331</v>
      </c>
      <c r="B121" s="3411">
        <f>ROUND(0.7836-0.012*B116,4)</f>
        <v>0.73319999999999996</v>
      </c>
      <c r="C121" s="3411">
        <f>B121</f>
        <v>0.73319999999999996</v>
      </c>
      <c r="D121" s="3411">
        <f>ROUND(0.753-0.015*B116,4)</f>
        <v>0.69</v>
      </c>
      <c r="E121" s="3411">
        <f>D121</f>
        <v>0.69</v>
      </c>
      <c r="F121" s="3411">
        <f>E121</f>
        <v>0.69</v>
      </c>
      <c r="G121" s="3411">
        <f>ROUND(0.6612-0.018*B116,4)</f>
        <v>0.58560000000000001</v>
      </c>
      <c r="H121" s="3411">
        <f>G121</f>
        <v>0.58560000000000001</v>
      </c>
      <c r="I121" s="3411">
        <f>ROUND(0.5905-0.019*B116,4)</f>
        <v>0.51070000000000004</v>
      </c>
      <c r="J121" s="3411">
        <f t="shared" si="36"/>
        <v>0.51070000000000004</v>
      </c>
      <c r="K121" s="3411">
        <f t="shared" si="36"/>
        <v>0.51070000000000004</v>
      </c>
      <c r="L121" s="3411">
        <f t="shared" si="36"/>
        <v>0.51070000000000004</v>
      </c>
      <c r="M121" s="3412">
        <f t="shared" si="36"/>
        <v>0.51070000000000004</v>
      </c>
      <c r="N121" s="3396"/>
    </row>
    <row r="122" spans="1:14">
      <c r="A122" s="3413" t="s">
        <v>2612</v>
      </c>
      <c r="B122" s="3386">
        <f>ROUND(0.9404-0.0106*B116,4)</f>
        <v>0.89590000000000003</v>
      </c>
      <c r="C122" s="3386">
        <f>B122</f>
        <v>0.89590000000000003</v>
      </c>
      <c r="D122" s="3386">
        <f>ROUND(0.8955-0.0135*B116,4)</f>
        <v>0.83879999999999999</v>
      </c>
      <c r="E122" s="3386">
        <f t="shared" ref="E122:H122" si="38">D122</f>
        <v>0.83879999999999999</v>
      </c>
      <c r="F122" s="3386">
        <f t="shared" si="38"/>
        <v>0.83879999999999999</v>
      </c>
      <c r="G122" s="3386">
        <f t="shared" si="38"/>
        <v>0.83879999999999999</v>
      </c>
      <c r="H122" s="3386">
        <f t="shared" si="38"/>
        <v>0.83879999999999999</v>
      </c>
      <c r="I122" s="3386">
        <f>ROUND(0.7632-0.0166*B116,4)</f>
        <v>0.69350000000000001</v>
      </c>
      <c r="J122" s="3386">
        <f t="shared" si="36"/>
        <v>0.69350000000000001</v>
      </c>
      <c r="K122" s="3386">
        <f t="shared" si="36"/>
        <v>0.69350000000000001</v>
      </c>
      <c r="L122" s="3386">
        <f t="shared" si="36"/>
        <v>0.69350000000000001</v>
      </c>
      <c r="M122" s="3409">
        <f t="shared" si="36"/>
        <v>0.69350000000000001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16" t="s">
        <v>2607</v>
      </c>
      <c r="B20" s="3811" t="s">
        <v>2628</v>
      </c>
      <c r="C20" s="3101" t="s">
        <v>2439</v>
      </c>
      <c r="D20" s="3102"/>
      <c r="E20" s="3103">
        <v>1</v>
      </c>
      <c r="F20" s="3104" t="s">
        <v>2440</v>
      </c>
      <c r="G20" s="3104"/>
    </row>
    <row r="21" spans="1:13" ht="19.5" customHeight="1">
      <c r="A21" s="3817"/>
      <c r="B21" s="3810"/>
      <c r="C21" s="3105" t="s">
        <v>2441</v>
      </c>
      <c r="D21" s="3106"/>
      <c r="E21" s="3107">
        <v>1</v>
      </c>
      <c r="F21" s="3104" t="s">
        <v>2442</v>
      </c>
      <c r="G21" s="3104"/>
    </row>
    <row r="22" spans="1:13" ht="19.5" customHeight="1">
      <c r="A22" s="3817"/>
      <c r="B22" s="3810"/>
      <c r="C22" s="3105" t="s">
        <v>2443</v>
      </c>
      <c r="D22" s="3106"/>
      <c r="E22" s="3107">
        <v>0.9</v>
      </c>
      <c r="F22" s="3104" t="s">
        <v>2444</v>
      </c>
      <c r="G22" s="3104"/>
    </row>
    <row r="23" spans="1:13" ht="19.5" customHeight="1">
      <c r="A23" s="3817"/>
      <c r="B23" s="3810"/>
      <c r="C23" s="3105" t="s">
        <v>2445</v>
      </c>
      <c r="D23" s="3106"/>
      <c r="E23" s="3107">
        <v>0.9</v>
      </c>
      <c r="F23" s="3104" t="s">
        <v>2446</v>
      </c>
      <c r="G23" s="3104"/>
    </row>
    <row r="24" spans="1:13" ht="19.5" customHeight="1">
      <c r="A24" s="3817"/>
      <c r="B24" s="3810"/>
      <c r="C24" s="3105" t="s">
        <v>2447</v>
      </c>
      <c r="D24" s="3106"/>
      <c r="E24" s="3107">
        <v>0.8</v>
      </c>
      <c r="F24" s="3104" t="s">
        <v>2448</v>
      </c>
      <c r="G24" s="3104"/>
    </row>
    <row r="25" spans="1:13" ht="19.5" customHeight="1" thickBot="1">
      <c r="A25" s="3818"/>
      <c r="B25" s="381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13" t="s">
        <v>2631</v>
      </c>
      <c r="B27" s="3811" t="s">
        <v>2612</v>
      </c>
      <c r="C27" s="3101" t="s">
        <v>2452</v>
      </c>
      <c r="D27" s="3102"/>
      <c r="E27" s="3103">
        <v>1</v>
      </c>
      <c r="F27" s="3104" t="s">
        <v>2453</v>
      </c>
      <c r="G27" s="3104"/>
    </row>
    <row r="28" spans="1:13" ht="19.5" customHeight="1">
      <c r="A28" s="3814"/>
      <c r="B28" s="3810"/>
      <c r="C28" s="3105" t="s">
        <v>2454</v>
      </c>
      <c r="D28" s="3106"/>
      <c r="E28" s="3107">
        <v>1</v>
      </c>
      <c r="F28" s="3104" t="s">
        <v>2455</v>
      </c>
      <c r="G28" s="3104"/>
    </row>
    <row r="29" spans="1:13" ht="19.5" customHeight="1">
      <c r="A29" s="3814"/>
      <c r="B29" s="3810"/>
      <c r="C29" s="3105" t="s">
        <v>2456</v>
      </c>
      <c r="D29" s="3106"/>
      <c r="E29" s="3107">
        <v>0.8</v>
      </c>
      <c r="F29" s="3104" t="s">
        <v>2457</v>
      </c>
      <c r="G29" s="3104"/>
    </row>
    <row r="30" spans="1:13" ht="19.5" customHeight="1">
      <c r="A30" s="3814"/>
      <c r="B30" s="3810"/>
      <c r="C30" s="3105" t="s">
        <v>2458</v>
      </c>
      <c r="D30" s="3106"/>
      <c r="E30" s="3107">
        <v>0.8</v>
      </c>
      <c r="F30" s="3104" t="s">
        <v>2459</v>
      </c>
      <c r="G30" s="3104"/>
    </row>
    <row r="31" spans="1:13" ht="19.5" customHeight="1">
      <c r="A31" s="3814"/>
      <c r="B31" s="3810"/>
      <c r="C31" s="3105" t="s">
        <v>2460</v>
      </c>
      <c r="D31" s="3106"/>
      <c r="E31" s="3107">
        <v>0.8</v>
      </c>
      <c r="F31" s="3104" t="s">
        <v>2461</v>
      </c>
      <c r="G31" s="3104"/>
    </row>
    <row r="32" spans="1:13" ht="19.5" customHeight="1">
      <c r="A32" s="3814"/>
      <c r="B32" s="3810"/>
      <c r="C32" s="3105" t="s">
        <v>2462</v>
      </c>
      <c r="D32" s="3106"/>
      <c r="E32" s="3107">
        <v>0.7</v>
      </c>
      <c r="F32" s="3104" t="s">
        <v>2463</v>
      </c>
      <c r="G32" s="3104"/>
    </row>
    <row r="33" spans="1:7" ht="19.5" customHeight="1">
      <c r="A33" s="3814"/>
      <c r="B33" s="3810"/>
      <c r="C33" s="3105" t="s">
        <v>2464</v>
      </c>
      <c r="D33" s="3106"/>
      <c r="E33" s="3107">
        <v>0.8</v>
      </c>
      <c r="F33" s="3104" t="s">
        <v>2465</v>
      </c>
      <c r="G33" s="3104"/>
    </row>
    <row r="34" spans="1:7" ht="19.5" customHeight="1">
      <c r="A34" s="3814"/>
      <c r="B34" s="3810"/>
      <c r="C34" s="3105" t="s">
        <v>2466</v>
      </c>
      <c r="D34" s="3106"/>
      <c r="E34" s="3107">
        <v>0.6</v>
      </c>
      <c r="F34" s="3104" t="s">
        <v>2467</v>
      </c>
      <c r="G34" s="3104"/>
    </row>
    <row r="35" spans="1:7" ht="19.5" customHeight="1">
      <c r="A35" s="3814"/>
      <c r="B35" s="3810"/>
      <c r="C35" s="3105" t="s">
        <v>2468</v>
      </c>
      <c r="D35" s="3106"/>
      <c r="E35" s="3107">
        <v>0.2</v>
      </c>
      <c r="F35" s="3104" t="s">
        <v>2469</v>
      </c>
      <c r="G35" s="3104"/>
    </row>
    <row r="36" spans="1:7" ht="19.5" customHeight="1">
      <c r="A36" s="3814"/>
      <c r="B36" s="3810"/>
      <c r="C36" s="3105" t="s">
        <v>2470</v>
      </c>
      <c r="D36" s="3106"/>
      <c r="E36" s="3107">
        <v>0.2</v>
      </c>
      <c r="F36" s="3104" t="s">
        <v>2471</v>
      </c>
      <c r="G36" s="3104"/>
    </row>
    <row r="37" spans="1:7" ht="19.5" customHeight="1">
      <c r="A37" s="3814"/>
      <c r="B37" s="3808" t="s">
        <v>2632</v>
      </c>
      <c r="C37" s="3105" t="s">
        <v>2472</v>
      </c>
      <c r="D37" s="3106"/>
      <c r="E37" s="3107">
        <v>0.6</v>
      </c>
      <c r="F37" s="3104" t="s">
        <v>2473</v>
      </c>
      <c r="G37" s="3104"/>
    </row>
    <row r="38" spans="1:7" ht="19.5" customHeight="1">
      <c r="A38" s="3814"/>
      <c r="B38" s="3810"/>
      <c r="C38" s="3105" t="s">
        <v>2474</v>
      </c>
      <c r="D38" s="3106"/>
      <c r="E38" s="3107">
        <v>0.6</v>
      </c>
      <c r="F38" s="3104" t="s">
        <v>2475</v>
      </c>
      <c r="G38" s="3104"/>
    </row>
    <row r="39" spans="1:7" ht="19.5" customHeight="1" thickBot="1">
      <c r="A39" s="3815"/>
      <c r="B39" s="381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16" t="s">
        <v>2610</v>
      </c>
      <c r="B41" s="3811" t="s">
        <v>2634</v>
      </c>
      <c r="C41" s="3101" t="s">
        <v>2479</v>
      </c>
      <c r="D41" s="3102"/>
      <c r="E41" s="3103">
        <v>1</v>
      </c>
      <c r="F41" s="3104" t="s">
        <v>2480</v>
      </c>
      <c r="G41" s="3104"/>
    </row>
    <row r="42" spans="1:7" ht="19.5" customHeight="1">
      <c r="A42" s="3817"/>
      <c r="B42" s="3810"/>
      <c r="C42" s="3105" t="s">
        <v>2481</v>
      </c>
      <c r="D42" s="3106"/>
      <c r="E42" s="3107">
        <v>1</v>
      </c>
      <c r="F42" s="3104" t="s">
        <v>2482</v>
      </c>
      <c r="G42" s="3104"/>
    </row>
    <row r="43" spans="1:7" ht="19.5" customHeight="1">
      <c r="A43" s="3817"/>
      <c r="B43" s="3809"/>
      <c r="C43" s="3105" t="s">
        <v>2483</v>
      </c>
      <c r="D43" s="3106"/>
      <c r="E43" s="3107">
        <v>1.5</v>
      </c>
      <c r="F43" s="3104" t="s">
        <v>2484</v>
      </c>
      <c r="G43" s="3104"/>
    </row>
    <row r="44" spans="1:7" ht="19.5" customHeight="1">
      <c r="A44" s="3817"/>
      <c r="B44" s="3116" t="s">
        <v>2635</v>
      </c>
      <c r="C44" s="3105" t="s">
        <v>2636</v>
      </c>
      <c r="D44" s="3106"/>
      <c r="E44" s="3107">
        <v>2</v>
      </c>
      <c r="F44" s="3104" t="s">
        <v>2485</v>
      </c>
      <c r="G44" s="3104"/>
    </row>
    <row r="45" spans="1:7" ht="19.5" customHeight="1">
      <c r="A45" s="3817"/>
      <c r="B45" s="3808" t="s">
        <v>2637</v>
      </c>
      <c r="C45" s="3105" t="s">
        <v>2486</v>
      </c>
      <c r="D45" s="3106"/>
      <c r="E45" s="3107">
        <v>1</v>
      </c>
      <c r="F45" s="3104" t="s">
        <v>2487</v>
      </c>
      <c r="G45" s="3104"/>
    </row>
    <row r="46" spans="1:7" ht="19.5" customHeight="1">
      <c r="A46" s="3817"/>
      <c r="B46" s="3810"/>
      <c r="C46" s="3105" t="s">
        <v>2488</v>
      </c>
      <c r="D46" s="3106"/>
      <c r="E46" s="3107">
        <v>1</v>
      </c>
      <c r="F46" s="3104" t="s">
        <v>2489</v>
      </c>
      <c r="G46" s="3104"/>
    </row>
    <row r="47" spans="1:7" ht="19.5" customHeight="1">
      <c r="A47" s="3817"/>
      <c r="B47" s="3810"/>
      <c r="C47" s="3105" t="s">
        <v>2490</v>
      </c>
      <c r="D47" s="3106"/>
      <c r="E47" s="3107">
        <v>1</v>
      </c>
      <c r="F47" s="3104" t="s">
        <v>2491</v>
      </c>
      <c r="G47" s="3104"/>
    </row>
    <row r="48" spans="1:7" ht="19.5" customHeight="1">
      <c r="A48" s="3817"/>
      <c r="B48" s="3810"/>
      <c r="C48" s="3105" t="s">
        <v>2492</v>
      </c>
      <c r="D48" s="3106"/>
      <c r="E48" s="3107">
        <v>1</v>
      </c>
      <c r="F48" s="3104" t="s">
        <v>2493</v>
      </c>
      <c r="G48" s="3104"/>
    </row>
    <row r="49" spans="1:7" ht="19.5" customHeight="1">
      <c r="A49" s="3817"/>
      <c r="B49" s="3810"/>
      <c r="C49" s="3105" t="s">
        <v>2494</v>
      </c>
      <c r="D49" s="3106"/>
      <c r="E49" s="3107">
        <v>1</v>
      </c>
      <c r="F49" s="3104" t="s">
        <v>2495</v>
      </c>
      <c r="G49" s="3104"/>
    </row>
    <row r="50" spans="1:7" ht="19.5" customHeight="1">
      <c r="A50" s="3817"/>
      <c r="B50" s="3810"/>
      <c r="C50" s="3105" t="s">
        <v>2496</v>
      </c>
      <c r="D50" s="3106"/>
      <c r="E50" s="3107">
        <v>1</v>
      </c>
      <c r="F50" s="3104" t="s">
        <v>2497</v>
      </c>
      <c r="G50" s="3104"/>
    </row>
    <row r="51" spans="1:7" ht="19.5" customHeight="1" thickBot="1">
      <c r="A51" s="3818"/>
      <c r="B51" s="381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08" t="s">
        <v>2651</v>
      </c>
      <c r="C73" s="3090" t="s">
        <v>2652</v>
      </c>
      <c r="D73" s="3090" t="s">
        <v>2653</v>
      </c>
      <c r="E73" s="3116">
        <v>0.2</v>
      </c>
      <c r="F73" s="3116">
        <v>25</v>
      </c>
    </row>
    <row r="74" spans="1:7" ht="24">
      <c r="A74" s="3116">
        <v>2</v>
      </c>
      <c r="B74" s="3810"/>
      <c r="C74" s="3090" t="s">
        <v>2654</v>
      </c>
      <c r="D74" s="3090" t="s">
        <v>2655</v>
      </c>
      <c r="E74" s="3116">
        <v>0.2</v>
      </c>
      <c r="F74" s="3116">
        <v>25</v>
      </c>
    </row>
    <row r="75" spans="1:7" ht="24">
      <c r="A75" s="3116">
        <v>3</v>
      </c>
      <c r="B75" s="3810"/>
      <c r="C75" s="3090" t="s">
        <v>2656</v>
      </c>
      <c r="D75" s="3090" t="s">
        <v>2657</v>
      </c>
      <c r="E75" s="3116">
        <v>0.2</v>
      </c>
      <c r="F75" s="3116">
        <v>25</v>
      </c>
    </row>
    <row r="76" spans="1:7" ht="14.4">
      <c r="A76" s="3116">
        <v>4</v>
      </c>
      <c r="B76" s="3810"/>
      <c r="C76" s="3090" t="s">
        <v>2658</v>
      </c>
      <c r="D76" s="3090" t="s">
        <v>2659</v>
      </c>
      <c r="E76" s="3116">
        <v>0.15</v>
      </c>
      <c r="F76" s="3116">
        <v>20</v>
      </c>
    </row>
    <row r="77" spans="1:7" ht="24">
      <c r="A77" s="3116">
        <v>5</v>
      </c>
      <c r="B77" s="3810"/>
      <c r="C77" s="3090" t="s">
        <v>2660</v>
      </c>
      <c r="D77" s="3090" t="s">
        <v>2661</v>
      </c>
      <c r="E77" s="3116">
        <v>0.15</v>
      </c>
      <c r="F77" s="3116">
        <v>20</v>
      </c>
    </row>
    <row r="78" spans="1:7" ht="24">
      <c r="A78" s="3116">
        <v>6</v>
      </c>
      <c r="B78" s="3810"/>
      <c r="C78" s="3090" t="s">
        <v>2662</v>
      </c>
      <c r="D78" s="3090" t="s">
        <v>2663</v>
      </c>
      <c r="E78" s="3116">
        <v>0.15</v>
      </c>
      <c r="F78" s="3116">
        <v>20</v>
      </c>
    </row>
    <row r="79" spans="1:7" ht="24">
      <c r="A79" s="3116">
        <v>7</v>
      </c>
      <c r="B79" s="3810"/>
      <c r="C79" s="3090" t="s">
        <v>2664</v>
      </c>
      <c r="D79" s="3090" t="s">
        <v>2665</v>
      </c>
      <c r="E79" s="3116">
        <v>0.15</v>
      </c>
      <c r="F79" s="3116">
        <v>20</v>
      </c>
    </row>
    <row r="80" spans="1:7" ht="24">
      <c r="A80" s="3116">
        <v>8</v>
      </c>
      <c r="B80" s="3810"/>
      <c r="C80" s="3090" t="s">
        <v>2666</v>
      </c>
      <c r="D80" s="3090" t="s">
        <v>2667</v>
      </c>
      <c r="E80" s="3116">
        <v>0.1</v>
      </c>
      <c r="F80" s="3116">
        <v>15</v>
      </c>
    </row>
    <row r="81" spans="1:6" ht="24">
      <c r="A81" s="3116">
        <v>9</v>
      </c>
      <c r="B81" s="3810"/>
      <c r="C81" s="3090" t="s">
        <v>2668</v>
      </c>
      <c r="D81" s="3090" t="s">
        <v>2669</v>
      </c>
      <c r="E81" s="3116">
        <v>0.1</v>
      </c>
      <c r="F81" s="3116">
        <v>15</v>
      </c>
    </row>
    <row r="82" spans="1:6" ht="24">
      <c r="A82" s="3116">
        <v>10</v>
      </c>
      <c r="B82" s="3810"/>
      <c r="C82" s="3090" t="s">
        <v>2670</v>
      </c>
      <c r="D82" s="3090" t="s">
        <v>2671</v>
      </c>
      <c r="E82" s="3116">
        <v>0.1</v>
      </c>
      <c r="F82" s="3116">
        <v>15</v>
      </c>
    </row>
    <row r="83" spans="1:6" ht="24">
      <c r="A83" s="3116">
        <v>11</v>
      </c>
      <c r="B83" s="3810"/>
      <c r="C83" s="3090" t="s">
        <v>2672</v>
      </c>
      <c r="D83" s="3090" t="s">
        <v>2673</v>
      </c>
      <c r="E83" s="3116">
        <v>0.1</v>
      </c>
      <c r="F83" s="3116">
        <v>15</v>
      </c>
    </row>
    <row r="84" spans="1:6" ht="24">
      <c r="A84" s="3116">
        <v>12</v>
      </c>
      <c r="B84" s="3810"/>
      <c r="C84" s="3090" t="s">
        <v>2674</v>
      </c>
      <c r="D84" s="3090" t="s">
        <v>2675</v>
      </c>
      <c r="E84" s="3116">
        <v>0.1</v>
      </c>
      <c r="F84" s="3116">
        <v>15</v>
      </c>
    </row>
    <row r="85" spans="1:6" ht="24">
      <c r="A85" s="3116">
        <v>13</v>
      </c>
      <c r="B85" s="3810"/>
      <c r="C85" s="3090" t="s">
        <v>2676</v>
      </c>
      <c r="D85" s="3090" t="s">
        <v>2677</v>
      </c>
      <c r="E85" s="3116">
        <v>0.1</v>
      </c>
      <c r="F85" s="3116">
        <v>15</v>
      </c>
    </row>
    <row r="86" spans="1:6" ht="24">
      <c r="A86" s="3116">
        <v>14</v>
      </c>
      <c r="B86" s="3810"/>
      <c r="C86" s="3090" t="s">
        <v>2678</v>
      </c>
      <c r="D86" s="3090" t="s">
        <v>2679</v>
      </c>
      <c r="E86" s="3116">
        <v>0.1</v>
      </c>
      <c r="F86" s="3116">
        <v>15</v>
      </c>
    </row>
    <row r="87" spans="1:6" ht="24">
      <c r="A87" s="3116">
        <v>15</v>
      </c>
      <c r="B87" s="3810"/>
      <c r="C87" s="3090" t="s">
        <v>2680</v>
      </c>
      <c r="D87" s="3090" t="s">
        <v>2681</v>
      </c>
      <c r="E87" s="3116">
        <v>0.1</v>
      </c>
      <c r="F87" s="3116">
        <v>15</v>
      </c>
    </row>
    <row r="88" spans="1:6" ht="24">
      <c r="A88" s="3116">
        <v>16</v>
      </c>
      <c r="B88" s="3810"/>
      <c r="C88" s="3090" t="s">
        <v>2682</v>
      </c>
      <c r="D88" s="3090" t="s">
        <v>2683</v>
      </c>
      <c r="E88" s="3116">
        <v>0.1</v>
      </c>
      <c r="F88" s="3116">
        <v>15</v>
      </c>
    </row>
    <row r="89" spans="1:6" ht="24">
      <c r="A89" s="3116">
        <v>17</v>
      </c>
      <c r="B89" s="3809"/>
      <c r="C89" s="3090" t="s">
        <v>2684</v>
      </c>
      <c r="D89" s="3090" t="s">
        <v>2685</v>
      </c>
      <c r="E89" s="3116">
        <v>0.1</v>
      </c>
      <c r="F89" s="3116">
        <v>15</v>
      </c>
    </row>
    <row r="90" spans="1:6" ht="14.4">
      <c r="A90" s="3116">
        <v>18</v>
      </c>
      <c r="B90" s="3808" t="s">
        <v>2686</v>
      </c>
      <c r="C90" s="3090" t="s">
        <v>2687</v>
      </c>
      <c r="D90" s="3090" t="s">
        <v>2688</v>
      </c>
      <c r="E90" s="3116">
        <v>0.2</v>
      </c>
      <c r="F90" s="3116">
        <v>25</v>
      </c>
    </row>
    <row r="91" spans="1:6" ht="24">
      <c r="A91" s="3116">
        <v>19</v>
      </c>
      <c r="B91" s="3810"/>
      <c r="C91" s="3090" t="s">
        <v>2689</v>
      </c>
      <c r="D91" s="3090" t="s">
        <v>2690</v>
      </c>
      <c r="E91" s="3116">
        <v>0.2</v>
      </c>
      <c r="F91" s="3116">
        <v>25</v>
      </c>
    </row>
    <row r="92" spans="1:6" ht="14.4">
      <c r="A92" s="3116">
        <v>20</v>
      </c>
      <c r="B92" s="3810"/>
      <c r="C92" s="3090" t="s">
        <v>2691</v>
      </c>
      <c r="D92" s="3090" t="s">
        <v>2692</v>
      </c>
      <c r="E92" s="3116">
        <v>0.15</v>
      </c>
      <c r="F92" s="3116">
        <v>20</v>
      </c>
    </row>
    <row r="93" spans="1:6" ht="24">
      <c r="A93" s="3116">
        <v>21</v>
      </c>
      <c r="B93" s="3810"/>
      <c r="C93" s="3090" t="s">
        <v>2693</v>
      </c>
      <c r="D93" s="3090" t="s">
        <v>2694</v>
      </c>
      <c r="E93" s="3116">
        <v>0.15</v>
      </c>
      <c r="F93" s="3116">
        <v>20</v>
      </c>
    </row>
    <row r="94" spans="1:6" ht="24">
      <c r="A94" s="3116">
        <v>22</v>
      </c>
      <c r="B94" s="3810"/>
      <c r="C94" s="3090" t="s">
        <v>2695</v>
      </c>
      <c r="D94" s="3090" t="s">
        <v>2696</v>
      </c>
      <c r="E94" s="3116">
        <v>0.15</v>
      </c>
      <c r="F94" s="3116">
        <v>20</v>
      </c>
    </row>
    <row r="95" spans="1:6" ht="36">
      <c r="A95" s="3116">
        <v>23</v>
      </c>
      <c r="B95" s="3810"/>
      <c r="C95" s="3090" t="s">
        <v>2697</v>
      </c>
      <c r="D95" s="3090" t="s">
        <v>2698</v>
      </c>
      <c r="E95" s="3116">
        <v>0.15</v>
      </c>
      <c r="F95" s="3116">
        <v>20</v>
      </c>
    </row>
    <row r="96" spans="1:6" ht="24">
      <c r="A96" s="3116">
        <v>24</v>
      </c>
      <c r="B96" s="3810"/>
      <c r="C96" s="3090" t="s">
        <v>2699</v>
      </c>
      <c r="D96" s="3090" t="s">
        <v>2700</v>
      </c>
      <c r="E96" s="3116">
        <v>0.1</v>
      </c>
      <c r="F96" s="3116">
        <v>15</v>
      </c>
    </row>
    <row r="97" spans="1:6" ht="24">
      <c r="A97" s="3116">
        <v>25</v>
      </c>
      <c r="B97" s="3810"/>
      <c r="C97" s="3090" t="s">
        <v>2701</v>
      </c>
      <c r="D97" s="3090" t="s">
        <v>2702</v>
      </c>
      <c r="E97" s="3116">
        <v>0.1</v>
      </c>
      <c r="F97" s="3116">
        <v>15</v>
      </c>
    </row>
    <row r="98" spans="1:6" ht="24">
      <c r="A98" s="3116">
        <v>26</v>
      </c>
      <c r="B98" s="3810"/>
      <c r="C98" s="3090" t="s">
        <v>2703</v>
      </c>
      <c r="D98" s="3090" t="s">
        <v>2704</v>
      </c>
      <c r="E98" s="3116">
        <v>0.1</v>
      </c>
      <c r="F98" s="3116">
        <v>15</v>
      </c>
    </row>
    <row r="99" spans="1:6" ht="24">
      <c r="A99" s="3116">
        <v>27</v>
      </c>
      <c r="B99" s="3810"/>
      <c r="C99" s="3090" t="s">
        <v>2705</v>
      </c>
      <c r="D99" s="3090" t="s">
        <v>2706</v>
      </c>
      <c r="E99" s="3116">
        <v>0.1</v>
      </c>
      <c r="F99" s="3116">
        <v>15</v>
      </c>
    </row>
    <row r="100" spans="1:6" ht="24">
      <c r="A100" s="3116">
        <v>28</v>
      </c>
      <c r="B100" s="3810"/>
      <c r="C100" s="3090" t="s">
        <v>2707</v>
      </c>
      <c r="D100" s="3090" t="s">
        <v>2708</v>
      </c>
      <c r="E100" s="3116">
        <v>0.1</v>
      </c>
      <c r="F100" s="3116">
        <v>15</v>
      </c>
    </row>
    <row r="101" spans="1:6" ht="24">
      <c r="A101" s="3116">
        <v>29</v>
      </c>
      <c r="B101" s="3810"/>
      <c r="C101" s="3090" t="s">
        <v>2709</v>
      </c>
      <c r="D101" s="3090" t="s">
        <v>2710</v>
      </c>
      <c r="E101" s="3116">
        <v>0.1</v>
      </c>
      <c r="F101" s="3116">
        <v>15</v>
      </c>
    </row>
    <row r="102" spans="1:6" ht="24">
      <c r="A102" s="3116">
        <v>30</v>
      </c>
      <c r="B102" s="3810"/>
      <c r="C102" s="3090" t="s">
        <v>2711</v>
      </c>
      <c r="D102" s="3090" t="s">
        <v>2712</v>
      </c>
      <c r="E102" s="3116">
        <v>0.1</v>
      </c>
      <c r="F102" s="3116">
        <v>15</v>
      </c>
    </row>
    <row r="103" spans="1:6" ht="24">
      <c r="A103" s="3116">
        <v>31</v>
      </c>
      <c r="B103" s="3810"/>
      <c r="C103" s="3090" t="s">
        <v>2713</v>
      </c>
      <c r="D103" s="3090" t="s">
        <v>2714</v>
      </c>
      <c r="E103" s="3116">
        <v>0.1</v>
      </c>
      <c r="F103" s="3116">
        <v>15</v>
      </c>
    </row>
    <row r="104" spans="1:6" ht="24">
      <c r="A104" s="3116">
        <v>32</v>
      </c>
      <c r="B104" s="3810"/>
      <c r="C104" s="3090" t="s">
        <v>2715</v>
      </c>
      <c r="D104" s="3090" t="s">
        <v>2716</v>
      </c>
      <c r="E104" s="3116">
        <v>0.1</v>
      </c>
      <c r="F104" s="3116">
        <v>15</v>
      </c>
    </row>
    <row r="105" spans="1:6" ht="24">
      <c r="A105" s="3116">
        <v>33</v>
      </c>
      <c r="B105" s="3810"/>
      <c r="C105" s="3090" t="s">
        <v>2717</v>
      </c>
      <c r="D105" s="3090" t="s">
        <v>2718</v>
      </c>
      <c r="E105" s="3116">
        <v>0.1</v>
      </c>
      <c r="F105" s="3116">
        <v>15</v>
      </c>
    </row>
    <row r="106" spans="1:6" ht="24">
      <c r="A106" s="3116">
        <v>34</v>
      </c>
      <c r="B106" s="3809"/>
      <c r="C106" s="3090" t="s">
        <v>2719</v>
      </c>
      <c r="D106" s="3090" t="s">
        <v>2720</v>
      </c>
      <c r="E106" s="3116">
        <v>0.1</v>
      </c>
      <c r="F106" s="3116">
        <v>15</v>
      </c>
    </row>
    <row r="107" spans="1:6" ht="36">
      <c r="A107" s="3116">
        <v>35</v>
      </c>
      <c r="B107" s="3808" t="s">
        <v>2721</v>
      </c>
      <c r="C107" s="3116" t="s">
        <v>2722</v>
      </c>
      <c r="D107" s="3090" t="s">
        <v>2723</v>
      </c>
      <c r="E107" s="3116">
        <v>0.15</v>
      </c>
      <c r="F107" s="3116">
        <v>20</v>
      </c>
    </row>
    <row r="108" spans="1:6" ht="24">
      <c r="A108" s="3116">
        <v>36</v>
      </c>
      <c r="B108" s="3810"/>
      <c r="C108" s="3116" t="s">
        <v>2724</v>
      </c>
      <c r="D108" s="3090" t="s">
        <v>2725</v>
      </c>
      <c r="E108" s="3116">
        <v>0.15</v>
      </c>
      <c r="F108" s="3116">
        <v>20</v>
      </c>
    </row>
    <row r="109" spans="1:6" ht="24">
      <c r="A109" s="3116">
        <v>37</v>
      </c>
      <c r="B109" s="3810"/>
      <c r="C109" s="3116" t="s">
        <v>2726</v>
      </c>
      <c r="D109" s="3090" t="s">
        <v>2727</v>
      </c>
      <c r="E109" s="3116">
        <v>0.15</v>
      </c>
      <c r="F109" s="3116">
        <v>20</v>
      </c>
    </row>
    <row r="110" spans="1:6" ht="24">
      <c r="A110" s="3116">
        <v>38</v>
      </c>
      <c r="B110" s="3810"/>
      <c r="C110" s="3116" t="s">
        <v>2728</v>
      </c>
      <c r="D110" s="3090" t="s">
        <v>2729</v>
      </c>
      <c r="E110" s="3116">
        <v>0.1</v>
      </c>
      <c r="F110" s="3116">
        <v>15</v>
      </c>
    </row>
    <row r="111" spans="1:6" ht="24">
      <c r="A111" s="3116">
        <v>39</v>
      </c>
      <c r="B111" s="3810"/>
      <c r="C111" s="3116" t="s">
        <v>2730</v>
      </c>
      <c r="D111" s="3090" t="s">
        <v>2731</v>
      </c>
      <c r="E111" s="3116">
        <v>0.1</v>
      </c>
      <c r="F111" s="3116">
        <v>15</v>
      </c>
    </row>
    <row r="112" spans="1:6" ht="24">
      <c r="A112" s="3116">
        <v>40</v>
      </c>
      <c r="B112" s="3809"/>
      <c r="C112" s="3116" t="s">
        <v>2732</v>
      </c>
      <c r="D112" s="3090" t="s">
        <v>2733</v>
      </c>
      <c r="E112" s="3116">
        <v>0.1</v>
      </c>
      <c r="F112" s="3116">
        <v>15</v>
      </c>
    </row>
    <row r="113" spans="1:6" ht="24">
      <c r="A113" s="3116">
        <v>41</v>
      </c>
      <c r="B113" s="3807" t="s">
        <v>2734</v>
      </c>
      <c r="C113" s="3116" t="s">
        <v>2735</v>
      </c>
      <c r="D113" s="3090" t="s">
        <v>2736</v>
      </c>
      <c r="E113" s="3116">
        <v>0.1</v>
      </c>
      <c r="F113" s="3116">
        <v>15</v>
      </c>
    </row>
    <row r="114" spans="1:6" ht="24">
      <c r="A114" s="3116">
        <v>42</v>
      </c>
      <c r="B114" s="3807"/>
      <c r="C114" s="3116" t="s">
        <v>2737</v>
      </c>
      <c r="D114" s="3090" t="s">
        <v>2738</v>
      </c>
      <c r="E114" s="3116">
        <v>0.1</v>
      </c>
      <c r="F114" s="3116">
        <v>15</v>
      </c>
    </row>
    <row r="115" spans="1:6" ht="24">
      <c r="A115" s="3116">
        <v>43</v>
      </c>
      <c r="B115" s="3807"/>
      <c r="C115" s="3116" t="s">
        <v>2739</v>
      </c>
      <c r="D115" s="3090" t="s">
        <v>2740</v>
      </c>
      <c r="E115" s="3116">
        <v>0.1</v>
      </c>
      <c r="F115" s="3116">
        <v>15</v>
      </c>
    </row>
    <row r="116" spans="1:6" ht="24">
      <c r="A116" s="3116">
        <v>44</v>
      </c>
      <c r="B116" s="3808" t="s">
        <v>2741</v>
      </c>
      <c r="C116" s="3116" t="s">
        <v>2742</v>
      </c>
      <c r="D116" s="3090" t="s">
        <v>2743</v>
      </c>
      <c r="E116" s="3116">
        <v>0.1</v>
      </c>
      <c r="F116" s="3116">
        <v>15</v>
      </c>
    </row>
    <row r="117" spans="1:6" ht="24">
      <c r="A117" s="3116">
        <v>45</v>
      </c>
      <c r="B117" s="3809"/>
      <c r="C117" s="3090" t="s">
        <v>2744</v>
      </c>
      <c r="D117" s="3090" t="s">
        <v>2745</v>
      </c>
      <c r="E117" s="3116">
        <v>0.1</v>
      </c>
      <c r="F117" s="3116">
        <v>15</v>
      </c>
    </row>
    <row r="118" spans="1:6" ht="24">
      <c r="A118" s="3116">
        <v>46</v>
      </c>
      <c r="B118" s="3808" t="s">
        <v>2746</v>
      </c>
      <c r="C118" s="3116" t="s">
        <v>2747</v>
      </c>
      <c r="D118" s="3090" t="s">
        <v>2748</v>
      </c>
      <c r="E118" s="3116">
        <v>0.1</v>
      </c>
      <c r="F118" s="3116">
        <v>15</v>
      </c>
    </row>
    <row r="119" spans="1:6" ht="24">
      <c r="A119" s="3116">
        <v>47</v>
      </c>
      <c r="B119" s="3809"/>
      <c r="C119" s="3116" t="s">
        <v>2749</v>
      </c>
      <c r="D119" s="3090" t="s">
        <v>2750</v>
      </c>
      <c r="E119" s="3116">
        <v>0.1</v>
      </c>
      <c r="F119" s="3116">
        <v>15</v>
      </c>
    </row>
    <row r="120" spans="1:6" ht="24">
      <c r="A120" s="3116">
        <v>48</v>
      </c>
      <c r="B120" s="3808" t="s">
        <v>2751</v>
      </c>
      <c r="C120" s="3116" t="s">
        <v>2752</v>
      </c>
      <c r="D120" s="3090" t="s">
        <v>2753</v>
      </c>
      <c r="E120" s="3116">
        <v>0.1</v>
      </c>
      <c r="F120" s="3116">
        <v>15</v>
      </c>
    </row>
    <row r="121" spans="1:6" ht="24">
      <c r="A121" s="3116">
        <v>49</v>
      </c>
      <c r="B121" s="3809"/>
      <c r="C121" s="3116" t="s">
        <v>2754</v>
      </c>
      <c r="D121" s="3090" t="s">
        <v>2755</v>
      </c>
      <c r="E121" s="3116">
        <v>0.1</v>
      </c>
      <c r="F121" s="3116">
        <v>15</v>
      </c>
    </row>
    <row r="122" spans="1:6" ht="24">
      <c r="A122" s="3116">
        <v>50</v>
      </c>
      <c r="B122" s="3807" t="s">
        <v>2756</v>
      </c>
      <c r="C122" s="3116" t="s">
        <v>2757</v>
      </c>
      <c r="D122" s="3090" t="s">
        <v>2758</v>
      </c>
      <c r="E122" s="3116">
        <v>0.1</v>
      </c>
      <c r="F122" s="3116">
        <v>15</v>
      </c>
    </row>
    <row r="123" spans="1:6" ht="24">
      <c r="A123" s="3116">
        <v>51</v>
      </c>
      <c r="B123" s="3807"/>
      <c r="C123" s="3116" t="s">
        <v>2759</v>
      </c>
      <c r="D123" s="3090" t="s">
        <v>2760</v>
      </c>
      <c r="E123" s="3116">
        <v>0.1</v>
      </c>
      <c r="F123" s="3116">
        <v>15</v>
      </c>
    </row>
    <row r="124" spans="1:6" ht="24">
      <c r="A124" s="3116">
        <v>52</v>
      </c>
      <c r="B124" s="3807" t="s">
        <v>2761</v>
      </c>
      <c r="C124" s="3116" t="s">
        <v>2762</v>
      </c>
      <c r="D124" s="3090" t="s">
        <v>2763</v>
      </c>
      <c r="E124" s="3116">
        <v>0.1</v>
      </c>
      <c r="F124" s="3116">
        <v>15</v>
      </c>
    </row>
    <row r="125" spans="1:6" ht="24">
      <c r="A125" s="3116">
        <v>53</v>
      </c>
      <c r="B125" s="3807"/>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07" t="s">
        <v>2769</v>
      </c>
      <c r="C127" s="3116" t="s">
        <v>2770</v>
      </c>
      <c r="D127" s="3090" t="s">
        <v>2771</v>
      </c>
      <c r="E127" s="3116">
        <v>0.1</v>
      </c>
      <c r="F127" s="3116">
        <v>15</v>
      </c>
    </row>
    <row r="128" spans="1:6" ht="24">
      <c r="A128" s="3116">
        <v>56</v>
      </c>
      <c r="B128" s="3807"/>
      <c r="C128" s="3116" t="s">
        <v>2772</v>
      </c>
      <c r="D128" s="3090" t="s">
        <v>2773</v>
      </c>
      <c r="E128" s="3116">
        <v>0.1</v>
      </c>
      <c r="F128" s="3116">
        <v>15</v>
      </c>
    </row>
    <row r="129" spans="1:6" ht="24">
      <c r="A129" s="3116">
        <v>57</v>
      </c>
      <c r="B129" s="3807"/>
      <c r="C129" s="3116" t="s">
        <v>2774</v>
      </c>
      <c r="D129" s="3090" t="s">
        <v>2775</v>
      </c>
      <c r="E129" s="3116">
        <v>0.1</v>
      </c>
      <c r="F129" s="3116">
        <v>15</v>
      </c>
    </row>
    <row r="130" spans="1:6" ht="24">
      <c r="A130" s="3116">
        <v>58</v>
      </c>
      <c r="B130" s="3807" t="s">
        <v>2776</v>
      </c>
      <c r="C130" s="3116" t="s">
        <v>2777</v>
      </c>
      <c r="D130" s="3090" t="s">
        <v>2778</v>
      </c>
      <c r="E130" s="3116">
        <v>0.1</v>
      </c>
      <c r="F130" s="3116">
        <v>15</v>
      </c>
    </row>
    <row r="131" spans="1:6" ht="24">
      <c r="A131" s="3116">
        <v>59</v>
      </c>
      <c r="B131" s="3807"/>
      <c r="C131" s="3116" t="s">
        <v>2779</v>
      </c>
      <c r="D131" s="3090" t="s">
        <v>2780</v>
      </c>
      <c r="E131" s="3116">
        <v>0.1</v>
      </c>
      <c r="F131" s="3116">
        <v>15</v>
      </c>
    </row>
    <row r="132" spans="1:6" ht="24">
      <c r="A132" s="3116">
        <v>60</v>
      </c>
      <c r="B132" s="3808" t="s">
        <v>2781</v>
      </c>
      <c r="C132" s="3116" t="s">
        <v>2782</v>
      </c>
      <c r="D132" s="3090" t="s">
        <v>2783</v>
      </c>
      <c r="E132" s="3116">
        <v>0.1</v>
      </c>
      <c r="F132" s="3116">
        <v>15</v>
      </c>
    </row>
    <row r="133" spans="1:6" ht="24">
      <c r="A133" s="3116">
        <v>61</v>
      </c>
      <c r="B133" s="3809"/>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07" t="s">
        <v>2789</v>
      </c>
      <c r="C135" s="3116" t="s">
        <v>2790</v>
      </c>
      <c r="D135" s="3090" t="s">
        <v>2791</v>
      </c>
      <c r="E135" s="3116">
        <v>0.1</v>
      </c>
      <c r="F135" s="3116">
        <v>15</v>
      </c>
    </row>
    <row r="136" spans="1:6" ht="24">
      <c r="A136" s="3116">
        <v>64</v>
      </c>
      <c r="B136" s="3807"/>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0.97829999999999995</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0.92659999999999998</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29250</v>
      </c>
      <c r="C2" s="2" t="s">
        <v>106</v>
      </c>
      <c r="D2" s="199"/>
      <c r="E2" s="199"/>
      <c r="F2" s="199"/>
      <c r="G2" s="199"/>
    </row>
    <row r="3" spans="1:7" s="200" customFormat="1" ht="18" customHeight="1" thickBot="1">
      <c r="A3" s="203" t="s">
        <v>58</v>
      </c>
      <c r="B3" s="204">
        <f ca="1">ROUND(B2*10000/'数据-汇总表'!E3,0)</f>
        <v>1484395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4205</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29175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4</v>
      </c>
      <c r="D37" s="217">
        <f>'数据-汇总表'!E3</f>
        <v>197.05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8" t="s">
        <v>94</v>
      </c>
    </row>
    <row r="43" spans="1:7" ht="13.5" customHeight="1">
      <c r="A43" s="780" t="s">
        <v>347</v>
      </c>
      <c r="B43" s="215" t="s">
        <v>426</v>
      </c>
      <c r="C43" s="238">
        <f ca="1">ROUND(IF('数据-取费表'!B22&lt;=1,C39*F22*'数据-取费表'!B21/2,C39*(POWER((1+F22),'数据-取费表'!B21/2)-1)),0)</f>
        <v>0</v>
      </c>
      <c r="D43" s="238"/>
      <c r="E43" s="238"/>
      <c r="F43" s="239"/>
      <c r="G43" s="3689"/>
    </row>
    <row r="44" spans="1:7" ht="13.5" customHeight="1">
      <c r="A44" s="780" t="s">
        <v>348</v>
      </c>
      <c r="B44" s="215" t="s">
        <v>428</v>
      </c>
      <c r="C44" s="238">
        <f ca="1">ROUND(IF('数据-取费表'!B22&lt;=1,C40*F22*'数据-取费表'!B21/2,C40*(POWER((1+F22),'数据-取费表'!B21/2)-1)),4)</f>
        <v>8.9999999999999998E-4</v>
      </c>
      <c r="D44" s="238"/>
      <c r="E44" s="238"/>
      <c r="F44" s="239"/>
      <c r="G44" s="3690"/>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75</v>
      </c>
      <c r="D51" s="232"/>
      <c r="E51" s="232"/>
      <c r="F51" s="264"/>
      <c r="G51" s="234" t="s">
        <v>37</v>
      </c>
    </row>
    <row r="52" spans="1:7" s="208" customFormat="1" ht="16.8" thickBot="1">
      <c r="A52" s="265" t="s">
        <v>38</v>
      </c>
      <c r="B52" s="266"/>
      <c r="C52" s="267">
        <f ca="1">C31+C51</f>
        <v>29250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5"/>
      <c r="C2" s="3505"/>
      <c r="D2" s="3505"/>
      <c r="E2" s="3505"/>
    </row>
    <row r="3" spans="1:5" ht="17.399999999999999">
      <c r="A3" s="3506" t="str">
        <f>IF(项目基本情况!B9="房地产市场价值","估价结果一览表（市场价值不需“结果表-1”）","估价结果一览表")</f>
        <v>估价结果一览表（市场价值不需“结果表-1”）</v>
      </c>
      <c r="B3" s="3506"/>
      <c r="C3" s="3506"/>
      <c r="D3" s="3506"/>
      <c r="E3" s="3506"/>
    </row>
    <row r="4" spans="1:5" ht="18" thickBot="1">
      <c r="A4" s="1493"/>
      <c r="B4" s="3504" t="s">
        <v>917</v>
      </c>
      <c r="C4" s="3504"/>
      <c r="D4" s="3504"/>
      <c r="E4" s="1493"/>
    </row>
    <row r="5" spans="1:5" ht="16.2" thickTop="1">
      <c r="A5" s="1491"/>
      <c r="B5" s="3502" t="s">
        <v>909</v>
      </c>
      <c r="C5" s="1494" t="s">
        <v>910</v>
      </c>
      <c r="D5" s="850" t="e">
        <f ca="1">结果表!H101</f>
        <v>#REF!</v>
      </c>
      <c r="E5" s="1491"/>
    </row>
    <row r="6" spans="1:5" ht="15.6">
      <c r="A6" s="1491"/>
      <c r="B6" s="3502"/>
      <c r="C6" s="1494" t="s">
        <v>911</v>
      </c>
      <c r="D6" s="850" t="e">
        <f ca="1">NUMBERSTRING(INT(D5*10000),2)&amp;"元整"</f>
        <v>#REF!</v>
      </c>
      <c r="E6" s="1491"/>
    </row>
    <row r="7" spans="1:5" ht="15.6">
      <c r="A7" s="1491"/>
      <c r="B7" s="3507"/>
      <c r="C7" s="1495" t="s">
        <v>912</v>
      </c>
      <c r="D7" s="851" t="e">
        <f ca="1">结果表!H102</f>
        <v>#REF!</v>
      </c>
      <c r="E7" s="1491"/>
    </row>
    <row r="8" spans="1:5" ht="15.6">
      <c r="A8" s="1491"/>
      <c r="B8" s="3508" t="str">
        <f>结果表!E103</f>
        <v>2.估价师知悉的法定优先受偿款</v>
      </c>
      <c r="C8" s="1496" t="s">
        <v>913</v>
      </c>
      <c r="D8" s="851">
        <f>结果表!H103</f>
        <v>0</v>
      </c>
      <c r="E8" s="1491"/>
    </row>
    <row r="9" spans="1:5" ht="15.6">
      <c r="A9" s="1491"/>
      <c r="B9" s="351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1" t="str">
        <f>结果表!E107</f>
        <v>3.房地产抵押价值</v>
      </c>
      <c r="C13" s="1499" t="s">
        <v>910</v>
      </c>
      <c r="D13" s="853" t="e">
        <f ca="1">结果表!H107</f>
        <v>#REF!</v>
      </c>
      <c r="E13" s="1491"/>
    </row>
    <row r="14" spans="1:5" ht="15.6">
      <c r="A14" s="1491"/>
      <c r="B14" s="3502"/>
      <c r="C14" s="1494" t="s">
        <v>911</v>
      </c>
      <c r="D14" s="850" t="e">
        <f ca="1">NUMBERSTRING(INT(D13*10000),2)&amp;"元整"</f>
        <v>#REF!</v>
      </c>
      <c r="E14" s="1491"/>
    </row>
    <row r="15" spans="1:5" ht="15.6">
      <c r="A15" s="1491"/>
      <c r="B15" s="3507"/>
      <c r="C15" s="1495" t="s">
        <v>921</v>
      </c>
      <c r="D15" s="859" t="e">
        <f ca="1">结果表!H108</f>
        <v>#REF!</v>
      </c>
      <c r="E15" s="1491"/>
    </row>
    <row r="16" spans="1:5" ht="15.6">
      <c r="A16" s="1491"/>
      <c r="B16" s="3508" t="str">
        <f>结果表!E109</f>
        <v>——</v>
      </c>
      <c r="C16" s="1499" t="s">
        <v>922</v>
      </c>
      <c r="D16" s="1500" t="str">
        <f>结果表!H109</f>
        <v>——</v>
      </c>
      <c r="E16" s="1491"/>
    </row>
    <row r="17" spans="1:5" ht="15.6">
      <c r="A17" s="1491"/>
      <c r="B17" s="3509"/>
      <c r="C17" s="1494" t="s">
        <v>923</v>
      </c>
      <c r="D17" s="850" t="e">
        <f>NUMBERSTRING(INT(D16*10000),2)&amp;"元整"</f>
        <v>#VALUE!</v>
      </c>
      <c r="E17" s="1491"/>
    </row>
    <row r="18" spans="1:5" ht="15.6">
      <c r="A18" s="1491"/>
      <c r="B18" s="3510"/>
      <c r="C18" s="1495" t="s">
        <v>912</v>
      </c>
      <c r="D18" s="859" t="str">
        <f>结果表!H110</f>
        <v>——</v>
      </c>
      <c r="E18" s="1491"/>
    </row>
    <row r="19" spans="1:5" ht="15.6">
      <c r="A19" s="1491"/>
      <c r="B19" s="3501" t="str">
        <f>结果表!E111</f>
        <v>——</v>
      </c>
      <c r="C19" s="1499" t="s">
        <v>910</v>
      </c>
      <c r="D19" s="851" t="str">
        <f>结果表!H111</f>
        <v>——</v>
      </c>
      <c r="E19" s="1491"/>
    </row>
    <row r="20" spans="1:5" ht="15.6">
      <c r="A20" s="1491"/>
      <c r="B20" s="3502"/>
      <c r="C20" s="1494" t="s">
        <v>923</v>
      </c>
      <c r="D20" s="850" t="e">
        <f>NUMBERSTRING(INT(D19*10000),2)&amp;"元整"</f>
        <v>#VALUE!</v>
      </c>
      <c r="E20" s="1491"/>
    </row>
    <row r="21" spans="1:5" ht="16.2" thickBot="1">
      <c r="A21" s="1491"/>
      <c r="B21" s="350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19" t="s">
        <v>3181</v>
      </c>
      <c r="B1" s="3819"/>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0" t="s">
        <v>3232</v>
      </c>
      <c r="B1" s="3820"/>
      <c r="C1" s="3820"/>
      <c r="D1" s="3820"/>
      <c r="E1" s="3820"/>
      <c r="F1" s="3821"/>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22" sqref="O22"/>
    </sheetView>
  </sheetViews>
  <sheetFormatPr defaultRowHeight="14.4"/>
  <sheetData>
    <row r="1" spans="1:1">
      <c r="A1" s="3472" t="s">
        <v>3549</v>
      </c>
    </row>
  </sheetData>
  <phoneticPr fontId="134" type="noConversion"/>
  <hyperlinks>
    <hyperlink ref="A1"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J41" sqref="J4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3418</v>
      </c>
      <c r="E1" s="3424" t="s">
        <v>3544</v>
      </c>
      <c r="F1" s="1879" t="s">
        <v>3545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687.54690000000005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34892</v>
      </c>
      <c r="C3" s="354" t="s">
        <v>1665</v>
      </c>
      <c r="D3" s="353">
        <f>IF(D1="",'数据-汇总表'!E3,SUMIF('数据-汇总表'!$C19:$C33,D1,'数据-汇总表'!$E19:$E33))</f>
        <v>197.05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31" t="s">
        <v>1667</v>
      </c>
      <c r="D4" s="3732"/>
      <c r="E4" s="3733" t="s">
        <v>1668</v>
      </c>
      <c r="F4" s="3734"/>
      <c r="G4" s="3731" t="s">
        <v>1669</v>
      </c>
      <c r="H4" s="3732"/>
      <c r="I4" s="3731" t="s">
        <v>1670</v>
      </c>
      <c r="J4" s="3732"/>
      <c r="K4" s="1889" t="s">
        <v>1671</v>
      </c>
      <c r="L4" s="2713"/>
      <c r="M4" s="2714"/>
      <c r="N4" s="2714"/>
      <c r="O4" s="2714"/>
      <c r="P4" s="3735" t="s">
        <v>1672</v>
      </c>
      <c r="Q4" s="3736"/>
      <c r="R4" s="3741" t="s">
        <v>1668</v>
      </c>
      <c r="S4" s="3742"/>
      <c r="T4" s="3741" t="s">
        <v>1669</v>
      </c>
      <c r="U4" s="3742"/>
      <c r="V4" s="3726" t="s">
        <v>1670</v>
      </c>
      <c r="W4" s="3726"/>
      <c r="X4" s="1355"/>
      <c r="Y4" s="3741" t="s">
        <v>1672</v>
      </c>
      <c r="Z4" s="3742"/>
      <c r="AA4" s="3728" t="s">
        <v>1668</v>
      </c>
      <c r="AB4" s="3728" t="s">
        <v>1669</v>
      </c>
      <c r="AC4" s="3728" t="s">
        <v>1670</v>
      </c>
    </row>
    <row r="5" spans="1:29">
      <c r="A5" s="358"/>
      <c r="B5" s="359"/>
      <c r="C5" s="3822" t="s">
        <v>3478</v>
      </c>
      <c r="D5" s="3750"/>
      <c r="E5" s="3756" t="str">
        <f>C5</f>
        <v>华杰大厦</v>
      </c>
      <c r="F5" s="3757"/>
      <c r="G5" s="3749" t="str">
        <f>C5</f>
        <v>华杰大厦</v>
      </c>
      <c r="H5" s="3750"/>
      <c r="I5" s="3749" t="str">
        <f>C5</f>
        <v>华杰大厦</v>
      </c>
      <c r="J5" s="3750"/>
      <c r="K5" s="1890"/>
      <c r="L5" s="2713"/>
      <c r="M5" s="2714"/>
      <c r="N5" s="2714"/>
      <c r="O5" s="2714"/>
      <c r="P5" s="3737"/>
      <c r="Q5" s="3738"/>
      <c r="R5" s="3743"/>
      <c r="S5" s="3744"/>
      <c r="T5" s="3743"/>
      <c r="U5" s="3744"/>
      <c r="V5" s="3726"/>
      <c r="W5" s="3726"/>
      <c r="X5" s="1355"/>
      <c r="Y5" s="3743"/>
      <c r="Z5" s="3744"/>
      <c r="AA5" s="3729"/>
      <c r="AB5" s="3729"/>
      <c r="AC5" s="3729"/>
    </row>
    <row r="6" spans="1:29" ht="15" thickBot="1">
      <c r="A6" s="360"/>
      <c r="B6" s="361"/>
      <c r="C6" s="3747" t="s">
        <v>1677</v>
      </c>
      <c r="D6" s="3748"/>
      <c r="E6" s="3754" t="str">
        <f>成交!B3</f>
        <v>大钟寺13号院1号楼9层9B9</v>
      </c>
      <c r="F6" s="3755"/>
      <c r="G6" s="3747" t="str">
        <f>成交!B6</f>
        <v>大钟寺13号院1号楼5层5B12</v>
      </c>
      <c r="H6" s="3748"/>
      <c r="I6" s="3747" t="s">
        <v>1677</v>
      </c>
      <c r="J6" s="3748"/>
      <c r="K6" s="1890" t="s">
        <v>1678</v>
      </c>
      <c r="L6" s="2713"/>
      <c r="M6" s="2714"/>
      <c r="N6" s="2714"/>
      <c r="O6" s="2714"/>
      <c r="P6" s="3739"/>
      <c r="Q6" s="3740"/>
      <c r="R6" s="3743"/>
      <c r="S6" s="3744"/>
      <c r="T6" s="3745"/>
      <c r="U6" s="3746"/>
      <c r="V6" s="3726"/>
      <c r="W6" s="3726"/>
      <c r="X6" s="1355"/>
      <c r="Y6" s="3745"/>
      <c r="Z6" s="3746"/>
      <c r="AA6" s="3730"/>
      <c r="AB6" s="3730"/>
      <c r="AC6" s="3730"/>
    </row>
    <row r="7" spans="1:29" s="108" customFormat="1" ht="15" thickBot="1">
      <c r="A7" s="362" t="s">
        <v>1679</v>
      </c>
      <c r="B7" s="363"/>
      <c r="C7" s="364">
        <f>'数据-取费表'!B2</f>
        <v>45793</v>
      </c>
      <c r="D7" s="365">
        <v>100</v>
      </c>
      <c r="E7" s="366">
        <f>成交!N3</f>
        <v>45586</v>
      </c>
      <c r="F7" s="367">
        <f>SUMIF(58:58,YEAR(E7)&amp;"-"&amp;MONTH(E7),59:59)</f>
        <v>100.5</v>
      </c>
      <c r="G7" s="366">
        <f>成交!N6</f>
        <v>45455</v>
      </c>
      <c r="H7" s="365">
        <f>SUMIF(58:58,YEAR(G7)&amp;"-"&amp;MONTH(G7),59:59)</f>
        <v>101</v>
      </c>
      <c r="I7" s="366">
        <f>C7</f>
        <v>45793</v>
      </c>
      <c r="J7" s="365">
        <f>SUMIF(58:58,YEAR(I7)&amp;"-"&amp;MONTH(I7),59:59)</f>
        <v>100</v>
      </c>
      <c r="K7" s="1891"/>
      <c r="L7" s="2715"/>
      <c r="M7" s="2716"/>
      <c r="N7" s="2716"/>
      <c r="O7" s="2716"/>
      <c r="P7" s="3751" t="s">
        <v>1680</v>
      </c>
      <c r="Q7" s="3753"/>
      <c r="R7" s="701" t="s">
        <v>20</v>
      </c>
      <c r="S7" s="702">
        <f t="shared" ref="S7:S15" si="0">F7</f>
        <v>100.5</v>
      </c>
      <c r="T7" s="701" t="s">
        <v>20</v>
      </c>
      <c r="U7" s="702">
        <f t="shared" ref="U7:U15" si="1">H7</f>
        <v>101</v>
      </c>
      <c r="V7" s="701" t="s">
        <v>20</v>
      </c>
      <c r="W7" s="702">
        <f t="shared" ref="W7:W15" si="2">J7</f>
        <v>100</v>
      </c>
      <c r="X7" s="703"/>
      <c r="Y7" s="3751" t="s">
        <v>1680</v>
      </c>
      <c r="Z7" s="3752"/>
      <c r="AA7" s="704">
        <f>D7/F7</f>
        <v>0.99502487562189057</v>
      </c>
      <c r="AB7" s="704">
        <f>D7/H7</f>
        <v>0.99009900990099009</v>
      </c>
      <c r="AC7" s="704">
        <f>D7/J7</f>
        <v>1</v>
      </c>
    </row>
    <row r="8" spans="1:29" s="108" customFormat="1" ht="15" thickBot="1">
      <c r="A8" s="362" t="s">
        <v>1681</v>
      </c>
      <c r="B8" s="363"/>
      <c r="C8" s="368" t="s">
        <v>3479</v>
      </c>
      <c r="D8" s="365">
        <v>100</v>
      </c>
      <c r="E8" s="1892" t="s">
        <v>3479</v>
      </c>
      <c r="F8" s="367">
        <f>SUMIF(61:61,E8,62:62)-SUMIF(61:61,C8,62:62)+100</f>
        <v>100</v>
      </c>
      <c r="G8" s="368" t="s">
        <v>3479</v>
      </c>
      <c r="H8" s="365">
        <f>SUMIF(61:61,G8,62:62)-SUMIF(61:61,C8,62:62)+100</f>
        <v>100</v>
      </c>
      <c r="I8" s="1892" t="s">
        <v>3538</v>
      </c>
      <c r="J8" s="365">
        <f>SUMIF(61:61,I8,62:62)-SUMIF(61:61,C8,62:62)+100</f>
        <v>102</v>
      </c>
      <c r="K8" s="1891"/>
      <c r="L8" s="2715"/>
      <c r="M8" s="2716"/>
      <c r="N8" s="2716"/>
      <c r="O8" s="2716"/>
      <c r="P8" s="3751" t="s">
        <v>1683</v>
      </c>
      <c r="Q8" s="3752"/>
      <c r="R8" s="701" t="s">
        <v>20</v>
      </c>
      <c r="S8" s="702">
        <f t="shared" si="0"/>
        <v>100</v>
      </c>
      <c r="T8" s="701" t="s">
        <v>20</v>
      </c>
      <c r="U8" s="702">
        <f t="shared" si="1"/>
        <v>100</v>
      </c>
      <c r="V8" s="701" t="s">
        <v>20</v>
      </c>
      <c r="W8" s="702">
        <f t="shared" si="2"/>
        <v>102</v>
      </c>
      <c r="X8" s="703"/>
      <c r="Y8" s="3751" t="s">
        <v>1683</v>
      </c>
      <c r="Z8" s="3752"/>
      <c r="AA8" s="704">
        <f t="shared" ref="AA8:AA19" si="3">D8/F8</f>
        <v>1</v>
      </c>
      <c r="AB8" s="704">
        <f t="shared" ref="AB8:AB19" si="4">D8/H8</f>
        <v>1</v>
      </c>
      <c r="AC8" s="704">
        <f t="shared" ref="AC8:AC19" si="5">D8/J8</f>
        <v>0.98039215686274506</v>
      </c>
    </row>
    <row r="9" spans="1:29" s="108" customFormat="1" ht="15" thickBot="1">
      <c r="A9" s="369" t="s">
        <v>1684</v>
      </c>
      <c r="B9" s="63" t="s">
        <v>1685</v>
      </c>
      <c r="C9" s="3496" t="s">
        <v>3537</v>
      </c>
      <c r="D9" s="126">
        <v>100</v>
      </c>
      <c r="E9" s="371" t="s">
        <v>3418</v>
      </c>
      <c r="F9" s="372">
        <f>SUMIF(63:63,E9,64:64)-SUMIF(63:63,C9,64:64)+100</f>
        <v>100</v>
      </c>
      <c r="G9" s="371" t="s">
        <v>3418</v>
      </c>
      <c r="H9" s="126">
        <f>SUMIF(63:63,G9,64:64)-SUMIF(63:63,C9,64:64)+100</f>
        <v>100</v>
      </c>
      <c r="I9" s="371" t="s">
        <v>3418</v>
      </c>
      <c r="J9" s="126">
        <f>SUMIF(63:63,I9,64:64)-SUMIF(63:63,C9,64:64)+100</f>
        <v>100</v>
      </c>
      <c r="K9" s="1891"/>
      <c r="L9" s="2715"/>
      <c r="M9" s="2716"/>
      <c r="N9" s="2716"/>
      <c r="O9" s="2716"/>
      <c r="P9" s="3727"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7"/>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27"/>
      <c r="Q11" s="1343" t="str">
        <f t="shared" si="6"/>
        <v>容积率</v>
      </c>
      <c r="R11" s="701" t="s">
        <v>18</v>
      </c>
      <c r="S11" s="702">
        <f t="shared" si="0"/>
        <v>100</v>
      </c>
      <c r="T11" s="701" t="s">
        <v>18</v>
      </c>
      <c r="U11" s="702">
        <f t="shared" si="1"/>
        <v>100</v>
      </c>
      <c r="V11" s="701" t="s">
        <v>18</v>
      </c>
      <c r="W11" s="702">
        <f t="shared" si="2"/>
        <v>100</v>
      </c>
      <c r="X11" s="703"/>
      <c r="Y11" s="359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7"/>
      <c r="Q12" s="1343">
        <f t="shared" si="6"/>
        <v>111</v>
      </c>
      <c r="R12" s="701" t="s">
        <v>18</v>
      </c>
      <c r="S12" s="702">
        <f t="shared" si="0"/>
        <v>100</v>
      </c>
      <c r="T12" s="701" t="s">
        <v>18</v>
      </c>
      <c r="U12" s="702">
        <f t="shared" si="1"/>
        <v>100</v>
      </c>
      <c r="V12" s="701" t="s">
        <v>18</v>
      </c>
      <c r="W12" s="702">
        <f t="shared" si="2"/>
        <v>100</v>
      </c>
      <c r="X12" s="703"/>
      <c r="Y12" s="359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7"/>
      <c r="Q13" s="1343">
        <f t="shared" si="6"/>
        <v>111</v>
      </c>
      <c r="R13" s="701" t="s">
        <v>18</v>
      </c>
      <c r="S13" s="702">
        <f t="shared" si="0"/>
        <v>100</v>
      </c>
      <c r="T13" s="701" t="s">
        <v>18</v>
      </c>
      <c r="U13" s="702">
        <f t="shared" si="1"/>
        <v>100</v>
      </c>
      <c r="V13" s="701" t="s">
        <v>18</v>
      </c>
      <c r="W13" s="702">
        <f t="shared" si="2"/>
        <v>100</v>
      </c>
      <c r="X13" s="703"/>
      <c r="Y13" s="3590"/>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7"/>
      <c r="Q14" s="1343">
        <f t="shared" si="6"/>
        <v>111</v>
      </c>
      <c r="R14" s="701" t="s">
        <v>18</v>
      </c>
      <c r="S14" s="702">
        <f t="shared" si="0"/>
        <v>100</v>
      </c>
      <c r="T14" s="701" t="s">
        <v>18</v>
      </c>
      <c r="U14" s="702">
        <f t="shared" si="1"/>
        <v>100</v>
      </c>
      <c r="V14" s="701" t="s">
        <v>18</v>
      </c>
      <c r="W14" s="702">
        <f t="shared" si="2"/>
        <v>100</v>
      </c>
      <c r="X14" s="703"/>
      <c r="Y14" s="359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17"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t="s">
        <v>3439</v>
      </c>
      <c r="D16" s="399"/>
      <c r="E16" s="398" t="s">
        <v>3439</v>
      </c>
      <c r="F16" s="399"/>
      <c r="G16" s="398" t="s">
        <v>3439</v>
      </c>
      <c r="H16" s="401"/>
      <c r="I16" s="398" t="s">
        <v>3439</v>
      </c>
      <c r="J16" s="399"/>
      <c r="K16" s="1899"/>
      <c r="L16" s="2720"/>
      <c r="M16" s="2714"/>
      <c r="N16" s="2714"/>
      <c r="O16" s="2714"/>
      <c r="P16" s="3718"/>
      <c r="Q16" s="1352"/>
      <c r="R16" s="705"/>
      <c r="S16" s="706"/>
      <c r="T16" s="705"/>
      <c r="U16" s="706"/>
      <c r="V16" s="705"/>
      <c r="W16" s="706"/>
      <c r="X16" s="1355"/>
      <c r="Y16" s="372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18"/>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398" t="s">
        <v>3439</v>
      </c>
      <c r="D18" s="401"/>
      <c r="E18" s="398" t="s">
        <v>3439</v>
      </c>
      <c r="F18" s="401"/>
      <c r="G18" s="398" t="s">
        <v>3439</v>
      </c>
      <c r="H18" s="399"/>
      <c r="I18" s="398" t="s">
        <v>3439</v>
      </c>
      <c r="J18" s="399"/>
      <c r="K18" s="1899"/>
      <c r="L18" s="2720"/>
      <c r="M18" s="2714"/>
      <c r="N18" s="2714"/>
      <c r="O18" s="2714"/>
      <c r="P18" s="3718"/>
      <c r="Q18" s="1352"/>
      <c r="R18" s="705"/>
      <c r="S18" s="706"/>
      <c r="T18" s="705"/>
      <c r="U18" s="706"/>
      <c r="V18" s="705"/>
      <c r="W18" s="706"/>
      <c r="X18" s="1355"/>
      <c r="Y18" s="372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18"/>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t="s">
        <v>3439</v>
      </c>
      <c r="D20" s="399"/>
      <c r="E20" s="398" t="s">
        <v>3439</v>
      </c>
      <c r="F20" s="399"/>
      <c r="G20" s="398" t="s">
        <v>3439</v>
      </c>
      <c r="H20" s="399"/>
      <c r="I20" s="398" t="s">
        <v>3439</v>
      </c>
      <c r="J20" s="399"/>
      <c r="K20" s="1899"/>
      <c r="L20" s="2720"/>
      <c r="M20" s="2714"/>
      <c r="N20" s="2714"/>
      <c r="O20" s="2714"/>
      <c r="P20" s="3718"/>
      <c r="Q20" s="1352"/>
      <c r="R20" s="705"/>
      <c r="S20" s="706"/>
      <c r="T20" s="705"/>
      <c r="U20" s="706"/>
      <c r="V20" s="705"/>
      <c r="W20" s="706"/>
      <c r="X20" s="1355"/>
      <c r="Y20" s="372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t="s">
        <v>3522</v>
      </c>
      <c r="D22" s="399"/>
      <c r="E22" s="1901" t="s">
        <v>3522</v>
      </c>
      <c r="F22" s="399"/>
      <c r="G22" s="1901" t="s">
        <v>3522</v>
      </c>
      <c r="H22" s="399"/>
      <c r="I22" s="1901" t="s">
        <v>3522</v>
      </c>
      <c r="J22" s="399"/>
      <c r="K22" s="1905"/>
      <c r="L22" s="2720"/>
      <c r="M22" s="2714"/>
      <c r="N22" s="2714"/>
      <c r="O22" s="2714"/>
      <c r="P22" s="3718"/>
      <c r="Q22" s="1352"/>
      <c r="R22" s="705"/>
      <c r="S22" s="706"/>
      <c r="T22" s="705"/>
      <c r="U22" s="706"/>
      <c r="V22" s="705"/>
      <c r="W22" s="706"/>
      <c r="X22" s="1355"/>
      <c r="Y22" s="372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18"/>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t="s">
        <v>3439</v>
      </c>
      <c r="D24" s="399"/>
      <c r="E24" s="398" t="s">
        <v>3439</v>
      </c>
      <c r="F24" s="399"/>
      <c r="G24" s="398" t="s">
        <v>3439</v>
      </c>
      <c r="H24" s="399"/>
      <c r="I24" s="398" t="s">
        <v>3439</v>
      </c>
      <c r="J24" s="399"/>
      <c r="K24" s="1899"/>
      <c r="L24" s="2720"/>
      <c r="M24" s="2714"/>
      <c r="N24" s="2714"/>
      <c r="O24" s="2714"/>
      <c r="P24" s="3718"/>
      <c r="Q24" s="1352"/>
      <c r="R24" s="705"/>
      <c r="S24" s="706"/>
      <c r="T24" s="705"/>
      <c r="U24" s="706"/>
      <c r="V24" s="705"/>
      <c r="W24" s="706"/>
      <c r="X24" s="1355"/>
      <c r="Y24" s="3720"/>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t="s">
        <v>3539</v>
      </c>
      <c r="D26" s="386">
        <v>100</v>
      </c>
      <c r="E26" s="1906" t="s">
        <v>3540</v>
      </c>
      <c r="F26" s="386">
        <f>SUMIF(88:88,E26,89:89)-SUMIF(88:88,C26,89:89)+100</f>
        <v>102</v>
      </c>
      <c r="G26" s="1907" t="s">
        <v>3541</v>
      </c>
      <c r="H26" s="386">
        <f>SUMIF(88:88,G26,89:89)-SUMIF(88:88,C26,89:89)+100</f>
        <v>98</v>
      </c>
      <c r="I26" s="1907" t="s">
        <v>3542</v>
      </c>
      <c r="J26" s="386">
        <f>SUMIF(88:88,I26,89:89)-SUMIF(88:88,C26,89:89)+100</f>
        <v>101.5</v>
      </c>
      <c r="K26" s="377">
        <v>0.5</v>
      </c>
      <c r="L26" s="2720"/>
      <c r="M26" s="2714"/>
      <c r="N26" s="2714"/>
      <c r="O26" s="2714"/>
      <c r="P26" s="3718"/>
      <c r="Q26" s="1352" t="str">
        <f t="shared" si="11"/>
        <v>朝向</v>
      </c>
      <c r="R26" s="705" t="s">
        <v>18</v>
      </c>
      <c r="S26" s="706">
        <f t="shared" si="12"/>
        <v>102</v>
      </c>
      <c r="T26" s="705" t="s">
        <v>18</v>
      </c>
      <c r="U26" s="706">
        <f t="shared" si="13"/>
        <v>98</v>
      </c>
      <c r="V26" s="705" t="s">
        <v>18</v>
      </c>
      <c r="W26" s="706">
        <f t="shared" si="14"/>
        <v>101.5</v>
      </c>
      <c r="X26" s="1355"/>
      <c r="Y26" s="3720"/>
      <c r="Z26" s="1356" t="str">
        <f>Q26</f>
        <v>朝向</v>
      </c>
      <c r="AA26" s="1353">
        <f t="shared" si="15"/>
        <v>0.98039215686274506</v>
      </c>
      <c r="AB26" s="1353">
        <f t="shared" si="16"/>
        <v>1.0204081632653061</v>
      </c>
      <c r="AC26" s="1353">
        <f t="shared" si="17"/>
        <v>0.98522167487684731</v>
      </c>
    </row>
    <row r="27" spans="1:29" s="108" customFormat="1" ht="28.8">
      <c r="A27" s="382"/>
      <c r="B27" s="3494" t="s">
        <v>3532</v>
      </c>
      <c r="C27" s="3483" t="s">
        <v>3491</v>
      </c>
      <c r="D27" s="413">
        <v>100</v>
      </c>
      <c r="E27" s="3483" t="s">
        <v>3492</v>
      </c>
      <c r="F27" s="413">
        <f>SUMIF(90:90,E27,91:91)-SUMIF(90:90,C27,91:91)+100</f>
        <v>100</v>
      </c>
      <c r="G27" s="3483" t="s">
        <v>3535</v>
      </c>
      <c r="H27" s="413">
        <f>SUMIF(90:90,G27,91:91)-SUMIF(90:90,C27,91:91)+100</f>
        <v>98</v>
      </c>
      <c r="I27" s="3483" t="s">
        <v>3536</v>
      </c>
      <c r="J27" s="413">
        <f>SUMIF(90:90,I27,91:91)-SUMIF(90:90,C27,91:91)+100</f>
        <v>102</v>
      </c>
      <c r="K27" s="1894"/>
      <c r="L27" s="2715"/>
      <c r="M27" s="2716"/>
      <c r="N27" s="2716"/>
      <c r="O27" s="2716"/>
      <c r="P27" s="3718"/>
      <c r="Q27" s="1343" t="str">
        <f t="shared" si="11"/>
        <v>楼层</v>
      </c>
      <c r="R27" s="701" t="s">
        <v>18</v>
      </c>
      <c r="S27" s="702">
        <f t="shared" si="12"/>
        <v>100</v>
      </c>
      <c r="T27" s="701" t="s">
        <v>18</v>
      </c>
      <c r="U27" s="702">
        <f t="shared" si="13"/>
        <v>98</v>
      </c>
      <c r="V27" s="701" t="s">
        <v>18</v>
      </c>
      <c r="W27" s="702">
        <f t="shared" si="14"/>
        <v>102</v>
      </c>
      <c r="X27" s="703"/>
      <c r="Y27" s="3720"/>
      <c r="Z27" s="52" t="str">
        <f>Q27</f>
        <v>楼层</v>
      </c>
      <c r="AA27" s="1353">
        <f t="shared" si="15"/>
        <v>1</v>
      </c>
      <c r="AB27" s="1353">
        <f t="shared" si="16"/>
        <v>1.0204081632653061</v>
      </c>
      <c r="AC27" s="1353">
        <f t="shared" si="17"/>
        <v>0.98039215686274506</v>
      </c>
    </row>
    <row r="28" spans="1:29" ht="29.4" thickBot="1">
      <c r="A28" s="379"/>
      <c r="B28" s="3494" t="s">
        <v>3533</v>
      </c>
      <c r="C28" s="3495" t="s">
        <v>3534</v>
      </c>
      <c r="D28" s="386">
        <v>100</v>
      </c>
      <c r="E28" s="3495" t="str">
        <f>C28</f>
        <v>城市次干道-四道口路</v>
      </c>
      <c r="F28" s="386">
        <f>SUMIF(92:92,E28,93:93)-SUMIF(92:92,C28,93:93)+100</f>
        <v>100</v>
      </c>
      <c r="G28" s="3495" t="str">
        <f>C28</f>
        <v>城市次干道-四道口路</v>
      </c>
      <c r="H28" s="386">
        <f>SUMIF(92:92,G28,93:93)-SUMIF(92:92,C28,93:93)+100</f>
        <v>100</v>
      </c>
      <c r="I28" s="3495" t="str">
        <f>C28</f>
        <v>城市次干道-四道口路</v>
      </c>
      <c r="J28" s="386">
        <f>SUMIF(92:92,I28,93:93)-SUMIF(92:92,C28,93:93)+100</f>
        <v>100</v>
      </c>
      <c r="K28" s="1894"/>
      <c r="L28" s="2720"/>
      <c r="M28" s="2714"/>
      <c r="N28" s="2714"/>
      <c r="O28" s="2714"/>
      <c r="P28" s="3718"/>
      <c r="Q28" s="1352" t="str">
        <f t="shared" si="11"/>
        <v>道路</v>
      </c>
      <c r="R28" s="705" t="s">
        <v>18</v>
      </c>
      <c r="S28" s="706">
        <f t="shared" si="12"/>
        <v>100</v>
      </c>
      <c r="T28" s="705" t="s">
        <v>18</v>
      </c>
      <c r="U28" s="706">
        <f t="shared" si="13"/>
        <v>100</v>
      </c>
      <c r="V28" s="705" t="s">
        <v>18</v>
      </c>
      <c r="W28" s="706">
        <f t="shared" si="14"/>
        <v>100</v>
      </c>
      <c r="X28" s="1355"/>
      <c r="Y28" s="3720"/>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8"/>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8"/>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8"/>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t="s">
        <v>3505</v>
      </c>
      <c r="D32" s="418">
        <v>100</v>
      </c>
      <c r="E32" s="1910" t="s">
        <v>3505</v>
      </c>
      <c r="F32" s="412">
        <f>SUMIF(100:100,E32,101:101)-SUMIF(100:100,C32,101:101)+100</f>
        <v>100</v>
      </c>
      <c r="G32" s="1910" t="s">
        <v>3505</v>
      </c>
      <c r="H32" s="418">
        <f>SUMIF(100:100,G32,101:101)-SUMIF(100:100,C32,101:101)+100</f>
        <v>100</v>
      </c>
      <c r="I32" s="1910" t="s">
        <v>3505</v>
      </c>
      <c r="J32" s="386">
        <f>SUMIF(100:100,I32,101:101)-SUMIF(100:100,C32,101:101)+100</f>
        <v>100</v>
      </c>
      <c r="K32" s="377">
        <v>1</v>
      </c>
      <c r="L32" s="2720"/>
      <c r="M32" s="2714"/>
      <c r="N32" s="2714"/>
      <c r="O32" s="2714"/>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f>成交!E3</f>
        <v>120.76</v>
      </c>
      <c r="F33" s="376">
        <f>LOOKUP(E33,103:103,104:104)-LOOKUP(C33,103:103,104:104)+100</f>
        <v>101</v>
      </c>
      <c r="G33" s="380">
        <f>成交!E6</f>
        <v>100.79</v>
      </c>
      <c r="H33" s="127">
        <f>LOOKUP(G33,103:103,104:104)-LOOKUP(C33,103:103,104:104)+100</f>
        <v>101</v>
      </c>
      <c r="I33" s="381">
        <v>133.69</v>
      </c>
      <c r="J33" s="127">
        <f>LOOKUP(I33,103:103,104:104)-LOOKUP(C33,103:103,104:104)+100</f>
        <v>101</v>
      </c>
      <c r="K33" s="1894"/>
      <c r="L33" s="2719"/>
      <c r="M33" s="2721"/>
      <c r="N33" s="2721"/>
      <c r="O33" s="2721"/>
      <c r="P33" s="3722"/>
      <c r="Q33" s="707" t="str">
        <f t="shared" si="11"/>
        <v>项目建筑规模</v>
      </c>
      <c r="R33" s="708" t="s">
        <v>18</v>
      </c>
      <c r="S33" s="709">
        <f t="shared" si="12"/>
        <v>101</v>
      </c>
      <c r="T33" s="708" t="s">
        <v>18</v>
      </c>
      <c r="U33" s="709">
        <f t="shared" si="13"/>
        <v>101</v>
      </c>
      <c r="V33" s="708" t="s">
        <v>18</v>
      </c>
      <c r="W33" s="709">
        <f t="shared" si="14"/>
        <v>101</v>
      </c>
      <c r="X33" s="710"/>
      <c r="Y33" s="3724"/>
      <c r="Z33" s="711" t="str">
        <f t="shared" si="18"/>
        <v>项目建筑规模</v>
      </c>
      <c r="AA33" s="1353">
        <f t="shared" si="15"/>
        <v>0.99009900990099009</v>
      </c>
      <c r="AB33" s="1353">
        <f t="shared" si="16"/>
        <v>0.99009900990099009</v>
      </c>
      <c r="AC33" s="1353">
        <f t="shared" si="17"/>
        <v>0.99009900990099009</v>
      </c>
    </row>
    <row r="34" spans="1:29" ht="15">
      <c r="A34" s="423"/>
      <c r="B34" s="375" t="s">
        <v>1698</v>
      </c>
      <c r="C34" s="1911" t="s">
        <v>3423</v>
      </c>
      <c r="D34" s="386">
        <v>100</v>
      </c>
      <c r="E34" s="1911" t="s">
        <v>3423</v>
      </c>
      <c r="F34" s="412">
        <f>SUMIF(105:105,E34,106:106)-SUMIF(105:105,C34,106:106)+100</f>
        <v>100</v>
      </c>
      <c r="G34" s="1911" t="s">
        <v>3423</v>
      </c>
      <c r="H34" s="386">
        <f>SUMIF(105:105,G34,106:106)-SUMIF(105:105,C34,106:106)+100</f>
        <v>100</v>
      </c>
      <c r="I34" s="1911" t="s">
        <v>3423</v>
      </c>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t="s">
        <v>3439</v>
      </c>
      <c r="D35" s="386">
        <v>100</v>
      </c>
      <c r="E35" s="1906" t="s">
        <v>3439</v>
      </c>
      <c r="F35" s="412">
        <f>SUMIF(107:107,E35,108:108)-SUMIF(107:107,C35,108:108)+100</f>
        <v>100</v>
      </c>
      <c r="G35" s="1906" t="s">
        <v>3439</v>
      </c>
      <c r="H35" s="386">
        <f>SUMIF(107:107,G35,108:108)-SUMIF(107:107,C35,108:108)+100</f>
        <v>100</v>
      </c>
      <c r="I35" s="1906" t="s">
        <v>3439</v>
      </c>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t="s">
        <v>3543</v>
      </c>
      <c r="D36" s="386">
        <v>100</v>
      </c>
      <c r="E36" s="1906" t="s">
        <v>3543</v>
      </c>
      <c r="F36" s="412">
        <f>SUMIF(109:109,E36,110:110)-SUMIF(109:109,C36,110:110)+100</f>
        <v>100</v>
      </c>
      <c r="G36" s="1906" t="s">
        <v>3543</v>
      </c>
      <c r="H36" s="386">
        <f>SUMIF(109:109,G36,110:110)-SUMIF(109:109,C36,110:110)+100</f>
        <v>100</v>
      </c>
      <c r="I36" s="1906" t="s">
        <v>3543</v>
      </c>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v>0.76</v>
      </c>
      <c r="D37" s="127">
        <v>100</v>
      </c>
      <c r="E37" s="425">
        <v>0.76</v>
      </c>
      <c r="F37" s="376">
        <f>LOOKUP(E37,112:112,113:113)-LOOKUP(C37,112:112,113:113)+100</f>
        <v>100</v>
      </c>
      <c r="G37" s="425">
        <v>0.76</v>
      </c>
      <c r="H37" s="127">
        <f>LOOKUP(G37,112:112,113:113)-LOOKUP(C37,112:112,113:113)+100</f>
        <v>100</v>
      </c>
      <c r="I37" s="425">
        <v>0.76</v>
      </c>
      <c r="J37" s="127">
        <f>LOOKUP(I37,112:112,113:113)-LOOKUP(C37,112:112,113:113)+100</f>
        <v>100</v>
      </c>
      <c r="K37" s="377"/>
      <c r="L37" s="2715"/>
      <c r="M37" s="2716"/>
      <c r="N37" s="2716"/>
      <c r="O37" s="2716"/>
      <c r="P37" s="3722"/>
      <c r="Q37" s="1343" t="str">
        <f t="shared" si="11"/>
        <v>成新度</v>
      </c>
      <c r="R37" s="701" t="s">
        <v>18</v>
      </c>
      <c r="S37" s="702">
        <f t="shared" si="12"/>
        <v>100</v>
      </c>
      <c r="T37" s="701" t="s">
        <v>18</v>
      </c>
      <c r="U37" s="702">
        <f t="shared" si="13"/>
        <v>100</v>
      </c>
      <c r="V37" s="701" t="s">
        <v>18</v>
      </c>
      <c r="W37" s="702">
        <f t="shared" si="14"/>
        <v>100</v>
      </c>
      <c r="X37" s="703"/>
      <c r="Y37" s="3724"/>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4.4">
      <c r="A47" s="430" t="s">
        <v>1708</v>
      </c>
      <c r="B47" s="431"/>
      <c r="C47" s="1154" t="s">
        <v>16</v>
      </c>
      <c r="D47" s="1155"/>
      <c r="E47" s="1156">
        <f>成交!K3</f>
        <v>34921</v>
      </c>
      <c r="F47" s="1157"/>
      <c r="G47" s="1158">
        <f>成交!K6</f>
        <v>35222</v>
      </c>
      <c r="H47" s="1159"/>
      <c r="I47" s="1156">
        <v>37326</v>
      </c>
      <c r="J47" s="1159"/>
      <c r="K47" s="1912"/>
      <c r="L47" s="2722"/>
      <c r="M47" s="2723"/>
      <c r="N47" s="2714"/>
      <c r="O47" s="2723"/>
      <c r="P47" s="3712" t="str">
        <f>A47</f>
        <v>成交单价（元/平方米）</v>
      </c>
      <c r="Q47" s="3712"/>
      <c r="R47" s="3713">
        <f>E47</f>
        <v>34921</v>
      </c>
      <c r="S47" s="3713"/>
      <c r="T47" s="3713">
        <f>G47</f>
        <v>35222</v>
      </c>
      <c r="U47" s="3713"/>
      <c r="V47" s="3713">
        <f>I47</f>
        <v>37326</v>
      </c>
      <c r="W47" s="3713"/>
      <c r="X47" s="690"/>
      <c r="Y47" s="712"/>
      <c r="Z47" s="690"/>
      <c r="AA47" s="690"/>
      <c r="AB47" s="690"/>
      <c r="AC47" s="690"/>
    </row>
    <row r="48" spans="1:29" ht="15" thickBot="1">
      <c r="A48" s="437" t="s">
        <v>1709</v>
      </c>
      <c r="B48" s="438"/>
      <c r="C48" s="1160">
        <f>R49</f>
        <v>34892</v>
      </c>
      <c r="D48" s="2315" t="s">
        <v>2138</v>
      </c>
      <c r="E48" s="1161">
        <f>R48</f>
        <v>33729</v>
      </c>
      <c r="F48" s="2316"/>
      <c r="G48" s="1160">
        <f>T48</f>
        <v>35952</v>
      </c>
      <c r="H48" s="2316"/>
      <c r="I48" s="1161">
        <f>V48</f>
        <v>34996</v>
      </c>
      <c r="J48" s="2316"/>
      <c r="K48" s="2317">
        <f>F48+H48+J48</f>
        <v>0</v>
      </c>
      <c r="L48" s="2722"/>
      <c r="M48" s="2723"/>
      <c r="N48" s="2723"/>
      <c r="O48" s="2723"/>
      <c r="P48" s="3712" t="str">
        <f>A48</f>
        <v>比较价值（元/平方米）</v>
      </c>
      <c r="Q48" s="3712"/>
      <c r="R48" s="3713">
        <f>IF(F1="售价",ROUND(PRODUCT(R47,AA7:AA46),0),ROUND(PRODUCT(R47,AA7:AA46),1))</f>
        <v>33729</v>
      </c>
      <c r="S48" s="3713"/>
      <c r="T48" s="3713">
        <f>IF(F1="售价",ROUND(PRODUCT(T47,AB7:AB46),0),ROUND(PRODUCT(T47,AB7:AB46),1))</f>
        <v>35952</v>
      </c>
      <c r="U48" s="3713"/>
      <c r="V48" s="3713">
        <f>IF(F1="售价",ROUND(PRODUCT(V47,AC7:AC46),0),ROUND(PRODUCT(V47,AC7:AC46),1))</f>
        <v>34996</v>
      </c>
      <c r="W48" s="3713"/>
      <c r="X48" s="690"/>
      <c r="Y48" s="690"/>
      <c r="Z48" s="690"/>
      <c r="AA48" s="690"/>
      <c r="AB48" s="690"/>
      <c r="AC48" s="690"/>
    </row>
    <row r="49" spans="1:29" ht="15" thickBot="1">
      <c r="A49" s="441" t="s">
        <v>1710</v>
      </c>
      <c r="B49" s="442"/>
      <c r="C49" s="1162">
        <f>R49</f>
        <v>34892</v>
      </c>
      <c r="D49" s="1163"/>
      <c r="E49" s="1163"/>
      <c r="F49" s="1163"/>
      <c r="G49" s="1163"/>
      <c r="H49" s="1163"/>
      <c r="I49" s="1163"/>
      <c r="J49" s="1163"/>
      <c r="K49" s="1913"/>
      <c r="L49" s="2722"/>
      <c r="M49" s="2723"/>
      <c r="N49" s="2723"/>
      <c r="O49" s="2723"/>
      <c r="P49" s="3714" t="str">
        <f>A49</f>
        <v>估价对象XX用房的比较价值（楼面单价，元/平方米）</v>
      </c>
      <c r="Q49" s="3715"/>
      <c r="R49" s="3716">
        <f>IF(F1="售价",ROUND(IF(D48="简单平均",AVERAGE(R48:V48),R48*F48+T48*H48+V48*J48),0),ROUND(IF(D48="简单平均",AVERAGE(R48:V48),R48*F48+T48*H48+V48*J48),1))</f>
        <v>34892</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3.5340508168045348E-2</v>
      </c>
      <c r="F52" s="449" t="str">
        <f>IF(OR(E52&gt;=0.3,E52&lt;=-0.3),"超过30%","")</f>
        <v/>
      </c>
      <c r="G52" s="448">
        <f>IF(G47&lt;G48,G48/G47-1,G47/G48-1)</f>
        <v>2.072568281187892E-2</v>
      </c>
      <c r="H52" s="449" t="str">
        <f>IF(OR(G52&gt;=0.3,G52&lt;=-0.3),"超过30%","")</f>
        <v/>
      </c>
      <c r="I52" s="448">
        <f>IF(I47&lt;I48,I48/I47-1,I47/I48-1)</f>
        <v>6.657903760429762E-2</v>
      </c>
      <c r="J52" s="449" t="str">
        <f>IF(OR(I52&gt;=0.3,I52&lt;=-0.3),"超过30%","")</f>
        <v/>
      </c>
      <c r="K52" s="2728"/>
      <c r="L52" s="2724"/>
      <c r="M52" s="2723"/>
      <c r="N52" s="2723"/>
      <c r="O52" s="2723"/>
    </row>
    <row r="53" spans="1:29" ht="13.5" customHeight="1">
      <c r="A53" s="2723"/>
      <c r="B53" s="2723"/>
      <c r="C53" s="446" t="s">
        <v>1712</v>
      </c>
      <c r="D53" s="450"/>
      <c r="E53" s="448">
        <f>IF(E48&lt;G48,G48/E48-1,E48/G48-1)</f>
        <v>6.5907675887218797E-2</v>
      </c>
      <c r="F53" s="449" t="str">
        <f>IF(OR(E53&gt;=0.2,E53&lt;=-0.2),"超过20%","")</f>
        <v/>
      </c>
      <c r="G53" s="448">
        <f>IF(G48&lt;I48,I48/G48-1,G48/I48-1)</f>
        <v>2.7317407703737473E-2</v>
      </c>
      <c r="H53" s="449" t="str">
        <f>IF(OR(G53&gt;=0.2,G53&lt;=-0.2),"超过20%","")</f>
        <v/>
      </c>
      <c r="I53" s="448">
        <f>IF(I48&lt;E48,E48/I48-1,I48/E48-1)</f>
        <v>3.7564113967209156E-2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8.6194553420577691E-3</v>
      </c>
      <c r="F54" s="449" t="str">
        <f>IF(OR(E54&gt;=0.3,E54&lt;=-0.3),"超过30%","")</f>
        <v/>
      </c>
      <c r="G54" s="448">
        <f>IF(G47&lt;I47,I47/G47-1,G47/I47-1)</f>
        <v>5.9735392652319641E-2</v>
      </c>
      <c r="H54" s="449" t="str">
        <f>IF(OR(G54&gt;=0.3,G54&lt;=-0.3),"超过30%","")</f>
        <v/>
      </c>
      <c r="I54" s="448">
        <f>IF(I47&lt;E47,E47/I47-1,I47/E47-1)</f>
        <v>6.8869734543684391E-2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7">
        <v>100</v>
      </c>
      <c r="E59" s="3479">
        <v>100</v>
      </c>
      <c r="F59" s="3479">
        <v>100</v>
      </c>
      <c r="G59" s="3479">
        <v>100.5</v>
      </c>
      <c r="H59" s="3479">
        <v>100.5</v>
      </c>
      <c r="I59" s="3479">
        <v>100.5</v>
      </c>
      <c r="J59" s="3479">
        <v>100.5</v>
      </c>
      <c r="K59" s="3479">
        <v>100.5</v>
      </c>
      <c r="L59" s="3479">
        <v>100.5</v>
      </c>
      <c r="M59" s="3498">
        <v>101</v>
      </c>
      <c r="N59" s="3479">
        <v>101</v>
      </c>
      <c r="O59" s="3498">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8" t="s">
        <v>3480</v>
      </c>
      <c r="E61" s="472"/>
      <c r="F61" s="472"/>
      <c r="G61" s="472"/>
      <c r="H61" s="472"/>
      <c r="I61" s="472"/>
      <c r="J61" s="472"/>
      <c r="K61" s="472"/>
      <c r="L61" s="473"/>
      <c r="M61" s="474"/>
      <c r="N61" s="932"/>
      <c r="O61" s="932"/>
      <c r="P61" s="1919"/>
      <c r="Q61" s="453"/>
    </row>
    <row r="62" spans="1:29" s="108" customFormat="1" ht="14.4" thickBot="1">
      <c r="A62" s="470"/>
      <c r="B62" s="459"/>
      <c r="C62" s="460">
        <v>100</v>
      </c>
      <c r="D62" s="3479">
        <v>102</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80" t="s">
        <v>3481</v>
      </c>
      <c r="D88" s="3481" t="s">
        <v>3482</v>
      </c>
      <c r="E88" s="3481" t="s">
        <v>3483</v>
      </c>
      <c r="F88" s="3481" t="s">
        <v>3484</v>
      </c>
      <c r="G88" s="3481" t="s">
        <v>3485</v>
      </c>
      <c r="H88" s="3481" t="s">
        <v>3486</v>
      </c>
      <c r="I88" s="3482" t="s">
        <v>3487</v>
      </c>
      <c r="J88" s="3482" t="s">
        <v>3488</v>
      </c>
      <c r="K88" s="3481" t="s">
        <v>3489</v>
      </c>
      <c r="L88" s="3481" t="s">
        <v>3490</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83" t="s">
        <v>3491</v>
      </c>
      <c r="D90" s="3483" t="s">
        <v>3492</v>
      </c>
      <c r="E90" s="3483" t="s">
        <v>3493</v>
      </c>
      <c r="F90" s="3483" t="s">
        <v>3494</v>
      </c>
      <c r="G90" s="503"/>
      <c r="H90" s="504"/>
      <c r="I90" s="504"/>
      <c r="J90" s="504"/>
      <c r="K90" s="504"/>
      <c r="L90" s="505"/>
      <c r="M90" s="506"/>
      <c r="N90" s="935"/>
      <c r="O90" s="935"/>
      <c r="P90" s="1921"/>
      <c r="Q90" s="508"/>
    </row>
    <row r="91" spans="1:17" s="422" customFormat="1" ht="14.4" thickBot="1">
      <c r="A91" s="502"/>
      <c r="B91" s="492"/>
      <c r="C91" s="3484">
        <v>100</v>
      </c>
      <c r="D91" s="3484">
        <v>100</v>
      </c>
      <c r="E91" s="3484">
        <v>98</v>
      </c>
      <c r="F91" s="3484">
        <v>102</v>
      </c>
      <c r="G91" s="509"/>
      <c r="H91" s="511"/>
      <c r="I91" s="511"/>
      <c r="J91" s="511"/>
      <c r="K91" s="511"/>
      <c r="L91" s="511"/>
      <c r="M91" s="512"/>
      <c r="N91" s="935"/>
      <c r="O91" s="935"/>
      <c r="P91" s="1921"/>
      <c r="Q91" s="508"/>
    </row>
    <row r="92" spans="1:17" ht="29.4" thickTop="1">
      <c r="A92" s="483"/>
      <c r="B92" s="487" t="str">
        <f>B28</f>
        <v>道路</v>
      </c>
      <c r="C92" s="3485" t="s">
        <v>3495</v>
      </c>
      <c r="D92" s="3485" t="s">
        <v>3496</v>
      </c>
      <c r="E92" s="3485" t="s">
        <v>3497</v>
      </c>
      <c r="F92" s="3485" t="s">
        <v>3498</v>
      </c>
      <c r="G92" s="3485" t="s">
        <v>3499</v>
      </c>
      <c r="H92" s="3486" t="s">
        <v>3500</v>
      </c>
      <c r="I92" s="3487" t="s">
        <v>3501</v>
      </c>
      <c r="J92" s="532"/>
      <c r="K92" s="533"/>
      <c r="L92" s="534"/>
      <c r="M92" s="535"/>
      <c r="N92" s="933"/>
      <c r="O92" s="933"/>
      <c r="P92" s="1920"/>
      <c r="Q92" s="453"/>
    </row>
    <row r="93" spans="1:17" ht="14.4" thickBot="1">
      <c r="A93" s="483"/>
      <c r="B93" s="492"/>
      <c r="C93" s="3484">
        <v>100</v>
      </c>
      <c r="D93" s="3484">
        <v>98</v>
      </c>
      <c r="E93" s="3484">
        <v>96</v>
      </c>
      <c r="F93" s="3484">
        <v>94</v>
      </c>
      <c r="G93" s="3484">
        <v>92</v>
      </c>
      <c r="H93" s="3488">
        <v>100</v>
      </c>
      <c r="I93" s="3488">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9" t="s">
        <v>3502</v>
      </c>
      <c r="D100" s="3490" t="s">
        <v>3503</v>
      </c>
      <c r="E100" s="3491" t="s">
        <v>3504</v>
      </c>
      <c r="F100" s="3491" t="s">
        <v>3505</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84">
        <v>100</v>
      </c>
      <c r="D104" s="3488">
        <v>99</v>
      </c>
      <c r="E104" s="3488">
        <v>98</v>
      </c>
      <c r="F104" s="3488">
        <v>97</v>
      </c>
      <c r="G104" s="3488">
        <v>96</v>
      </c>
      <c r="H104" s="485"/>
      <c r="I104" s="485"/>
      <c r="J104" s="485"/>
      <c r="K104" s="485"/>
      <c r="L104" s="485"/>
      <c r="M104" s="485"/>
      <c r="N104" s="934"/>
      <c r="O104" s="934"/>
      <c r="P104" s="1921"/>
      <c r="Q104" s="508"/>
    </row>
    <row r="105" spans="1:17" ht="15" thickTop="1">
      <c r="A105" s="548"/>
      <c r="B105" s="487" t="s">
        <v>1738</v>
      </c>
      <c r="C105" s="3485" t="s">
        <v>3506</v>
      </c>
      <c r="D105" s="3485" t="s">
        <v>3423</v>
      </c>
      <c r="E105" s="3492" t="s">
        <v>3507</v>
      </c>
      <c r="F105" s="3492" t="s">
        <v>3508</v>
      </c>
      <c r="G105" s="3481" t="s">
        <v>3509</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81" t="s">
        <v>3510</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93" t="s">
        <v>3511</v>
      </c>
      <c r="D109" s="3493" t="s">
        <v>3513</v>
      </c>
      <c r="E109" s="3493" t="s">
        <v>3515</v>
      </c>
      <c r="F109" s="3481" t="s">
        <v>3517</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85" t="s">
        <v>3518</v>
      </c>
      <c r="D114" s="3485" t="s">
        <v>3519</v>
      </c>
      <c r="E114" s="3481" t="s">
        <v>3520</v>
      </c>
      <c r="F114" s="3481" t="s">
        <v>3521</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85" t="s">
        <v>3522</v>
      </c>
      <c r="D116" s="3485" t="s">
        <v>3523</v>
      </c>
      <c r="E116" s="3485" t="s">
        <v>3524</v>
      </c>
      <c r="F116" s="3485" t="s">
        <v>3525</v>
      </c>
      <c r="G116" s="3485" t="s">
        <v>3526</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81" t="s">
        <v>3527</v>
      </c>
      <c r="D118" s="3481" t="s">
        <v>3528</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93" t="s">
        <v>3511</v>
      </c>
      <c r="D122" s="3493" t="s">
        <v>3512</v>
      </c>
      <c r="E122" s="3493" t="s">
        <v>3514</v>
      </c>
      <c r="F122" s="3481" t="s">
        <v>3516</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93" t="s">
        <v>3529</v>
      </c>
      <c r="D126" s="3493" t="s">
        <v>3530</v>
      </c>
      <c r="E126" s="3493" t="s">
        <v>3531</v>
      </c>
      <c r="F126" s="503"/>
      <c r="G126" s="503"/>
      <c r="H126" s="504"/>
      <c r="I126" s="504"/>
      <c r="J126" s="504"/>
      <c r="K126" s="504"/>
      <c r="L126" s="505"/>
      <c r="M126" s="506"/>
      <c r="N126" s="935"/>
      <c r="O126" s="935"/>
      <c r="P126" s="1921"/>
      <c r="Q126" s="508"/>
    </row>
    <row r="127" spans="1:17" s="422" customFormat="1" ht="14.4" thickBot="1">
      <c r="A127" s="502"/>
      <c r="B127" s="492"/>
      <c r="C127" s="3484">
        <v>102</v>
      </c>
      <c r="D127" s="3488">
        <v>100</v>
      </c>
      <c r="E127" s="3488">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 priority="19" stopIfTrue="1" operator="containsText" text="超过">
      <formula>NOT(ISERROR(SEARCH("超过",F52)))</formula>
    </cfRule>
  </conditionalFormatting>
  <conditionalFormatting sqref="J54">
    <cfRule type="containsText" dxfId="16" priority="18" stopIfTrue="1" operator="containsText" text="超过">
      <formula>NOT(ISERROR(SEARCH("超过",J54)))</formula>
    </cfRule>
  </conditionalFormatting>
  <conditionalFormatting sqref="H54">
    <cfRule type="containsText" dxfId="15" priority="17" stopIfTrue="1" operator="containsText" text="超过">
      <formula>NOT(ISERROR(SEARCH("超过",H54)))</formula>
    </cfRule>
  </conditionalFormatting>
  <conditionalFormatting sqref="F54">
    <cfRule type="containsText" dxfId="14" priority="16" stopIfTrue="1" operator="containsText" text="超过">
      <formula>NOT(ISERROR(SEARCH("超过",F54)))</formula>
    </cfRule>
  </conditionalFormatting>
  <conditionalFormatting sqref="F53 H53 J53">
    <cfRule type="containsText" dxfId="13" priority="15" stopIfTrue="1" operator="containsText" text="超过">
      <formula>NOT(ISERROR(SEARCH("超过",F53)))</formula>
    </cfRule>
  </conditionalFormatting>
  <conditionalFormatting sqref="E52">
    <cfRule type="expression" dxfId="12" priority="14"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
  <sheetViews>
    <sheetView workbookViewId="0">
      <selection activeCell="N13" sqref="N13"/>
    </sheetView>
  </sheetViews>
  <sheetFormatPr defaultRowHeight="14.4"/>
  <cols>
    <col min="1" max="1" width="10.88671875" customWidth="1"/>
    <col min="2" max="2" width="25.109375" customWidth="1"/>
    <col min="3" max="3" width="7.88671875" customWidth="1"/>
    <col min="8" max="8" width="12.44140625" customWidth="1"/>
    <col min="14" max="14" width="12.77734375" customWidth="1"/>
  </cols>
  <sheetData>
    <row r="1" spans="1:15">
      <c r="A1" s="3473" t="s">
        <v>3447</v>
      </c>
      <c r="B1" s="3473" t="s">
        <v>3448</v>
      </c>
      <c r="C1" s="3473" t="s">
        <v>3449</v>
      </c>
      <c r="D1" s="3473" t="s">
        <v>3450</v>
      </c>
      <c r="E1" s="3473" t="s">
        <v>3451</v>
      </c>
      <c r="F1" s="3473" t="s">
        <v>3452</v>
      </c>
      <c r="G1" s="3473" t="s">
        <v>3453</v>
      </c>
      <c r="H1" s="3473" t="s">
        <v>3454</v>
      </c>
      <c r="I1" s="3473" t="s">
        <v>3455</v>
      </c>
      <c r="J1" s="3473" t="s">
        <v>3456</v>
      </c>
      <c r="K1" s="3473" t="s">
        <v>3457</v>
      </c>
      <c r="L1" s="3473" t="s">
        <v>3458</v>
      </c>
      <c r="M1" s="3473" t="s">
        <v>3459</v>
      </c>
      <c r="N1" s="3473" t="s">
        <v>3460</v>
      </c>
    </row>
    <row r="2" spans="1:15" ht="15" thickBot="1">
      <c r="A2" s="3474" t="s">
        <v>3461</v>
      </c>
      <c r="B2" s="3474" t="s">
        <v>3462</v>
      </c>
      <c r="C2" s="3474" t="s">
        <v>3463</v>
      </c>
      <c r="D2" s="3474" t="s">
        <v>3464</v>
      </c>
      <c r="E2" s="3474">
        <v>102.99</v>
      </c>
      <c r="F2" s="3474" t="s">
        <v>3418</v>
      </c>
      <c r="G2" s="3474">
        <v>16</v>
      </c>
      <c r="H2" s="3474">
        <v>12</v>
      </c>
      <c r="I2" s="3474" t="s">
        <v>633</v>
      </c>
      <c r="J2" s="3474">
        <v>2005</v>
      </c>
      <c r="K2" s="3474">
        <v>0</v>
      </c>
      <c r="L2" s="3474">
        <v>35000</v>
      </c>
      <c r="M2" s="3474">
        <v>3604650</v>
      </c>
      <c r="N2" s="3475">
        <v>45584</v>
      </c>
      <c r="O2" s="3471" t="s">
        <v>3465</v>
      </c>
    </row>
    <row r="3" spans="1:15" s="3470" customFormat="1" ht="15" thickBot="1">
      <c r="A3" s="3476" t="s">
        <v>3461</v>
      </c>
      <c r="B3" s="3476" t="s">
        <v>3466</v>
      </c>
      <c r="C3" s="3476" t="s">
        <v>3467</v>
      </c>
      <c r="D3" s="3476" t="s">
        <v>3464</v>
      </c>
      <c r="E3" s="3476">
        <v>120.76</v>
      </c>
      <c r="F3" s="3476" t="s">
        <v>3418</v>
      </c>
      <c r="G3" s="3476" t="s">
        <v>3468</v>
      </c>
      <c r="H3" s="3476">
        <v>9</v>
      </c>
      <c r="I3" s="3476">
        <v>2005</v>
      </c>
      <c r="J3" s="3476" t="s">
        <v>633</v>
      </c>
      <c r="K3" s="3476">
        <v>34921</v>
      </c>
      <c r="L3" s="3476">
        <v>35000</v>
      </c>
      <c r="M3" s="3476">
        <v>4226600</v>
      </c>
      <c r="N3" s="3477">
        <v>45586</v>
      </c>
      <c r="O3" s="3470" t="s">
        <v>3469</v>
      </c>
    </row>
    <row r="4" spans="1:15" ht="15" thickBot="1">
      <c r="A4" s="3474" t="s">
        <v>3461</v>
      </c>
      <c r="B4" s="3474" t="s">
        <v>3470</v>
      </c>
      <c r="C4" s="3474" t="s">
        <v>3463</v>
      </c>
      <c r="D4" s="3474" t="s">
        <v>3464</v>
      </c>
      <c r="E4" s="3474">
        <v>120.76</v>
      </c>
      <c r="F4" s="3474" t="s">
        <v>3418</v>
      </c>
      <c r="G4" s="3474" t="s">
        <v>3468</v>
      </c>
      <c r="H4" s="3474">
        <v>8</v>
      </c>
      <c r="I4" s="3474">
        <v>2005</v>
      </c>
      <c r="J4" s="3474" t="s">
        <v>633</v>
      </c>
      <c r="K4" s="3474">
        <v>0</v>
      </c>
      <c r="L4" s="3474">
        <v>35742</v>
      </c>
      <c r="M4" s="3474">
        <v>4316204</v>
      </c>
      <c r="N4" s="3475">
        <v>45496</v>
      </c>
    </row>
    <row r="5" spans="1:15" ht="15" thickBot="1">
      <c r="A5" s="3474" t="s">
        <v>3461</v>
      </c>
      <c r="B5" s="3474" t="s">
        <v>3471</v>
      </c>
      <c r="C5" s="3474" t="s">
        <v>3463</v>
      </c>
      <c r="D5" s="3474" t="s">
        <v>3464</v>
      </c>
      <c r="E5" s="3474">
        <v>120.76</v>
      </c>
      <c r="F5" s="3474" t="s">
        <v>3418</v>
      </c>
      <c r="G5" s="3474" t="s">
        <v>3468</v>
      </c>
      <c r="H5" s="3474">
        <v>8</v>
      </c>
      <c r="I5" s="3474">
        <v>2005</v>
      </c>
      <c r="J5" s="3474" t="s">
        <v>633</v>
      </c>
      <c r="K5" s="3474">
        <v>0</v>
      </c>
      <c r="L5" s="3474">
        <v>35742</v>
      </c>
      <c r="M5" s="3474">
        <v>4316204</v>
      </c>
      <c r="N5" s="3475">
        <v>45496</v>
      </c>
    </row>
    <row r="6" spans="1:15" s="3470" customFormat="1" ht="15" thickBot="1">
      <c r="A6" s="3476" t="s">
        <v>3461</v>
      </c>
      <c r="B6" s="3476" t="s">
        <v>3472</v>
      </c>
      <c r="C6" s="3476" t="s">
        <v>3463</v>
      </c>
      <c r="D6" s="3476" t="s">
        <v>3464</v>
      </c>
      <c r="E6" s="3476">
        <v>100.79</v>
      </c>
      <c r="F6" s="3476" t="s">
        <v>3418</v>
      </c>
      <c r="G6" s="3476" t="s">
        <v>3473</v>
      </c>
      <c r="H6" s="3476">
        <v>5</v>
      </c>
      <c r="I6" s="3476">
        <v>2005</v>
      </c>
      <c r="J6" s="3476" t="s">
        <v>633</v>
      </c>
      <c r="K6" s="3476">
        <v>35222</v>
      </c>
      <c r="L6" s="3476">
        <v>35198</v>
      </c>
      <c r="M6" s="3476">
        <v>3547606</v>
      </c>
      <c r="N6" s="3477">
        <v>45455</v>
      </c>
      <c r="O6" s="3470" t="s">
        <v>3465</v>
      </c>
    </row>
    <row r="7" spans="1:15" ht="15" thickBot="1">
      <c r="A7" s="3474" t="s">
        <v>3461</v>
      </c>
      <c r="B7" s="3474" t="s">
        <v>3474</v>
      </c>
      <c r="C7" s="3474" t="s">
        <v>3463</v>
      </c>
      <c r="D7" s="3474" t="s">
        <v>3464</v>
      </c>
      <c r="E7" s="3474">
        <v>66.739999999999995</v>
      </c>
      <c r="F7" s="3474" t="s">
        <v>3418</v>
      </c>
      <c r="G7" s="3474" t="s">
        <v>3473</v>
      </c>
      <c r="H7" s="3474">
        <v>5</v>
      </c>
      <c r="I7" s="3474">
        <v>2005</v>
      </c>
      <c r="J7" s="3474" t="s">
        <v>633</v>
      </c>
      <c r="K7" s="3474">
        <v>0</v>
      </c>
      <c r="L7" s="3474">
        <v>40254</v>
      </c>
      <c r="M7" s="3474">
        <v>2686552</v>
      </c>
      <c r="N7" s="3475">
        <v>45280</v>
      </c>
    </row>
    <row r="8" spans="1:15" ht="15" thickBot="1">
      <c r="A8" s="3474" t="s">
        <v>3461</v>
      </c>
      <c r="B8" s="3474" t="s">
        <v>3475</v>
      </c>
      <c r="C8" s="3474" t="s">
        <v>3463</v>
      </c>
      <c r="D8" s="3474" t="s">
        <v>3464</v>
      </c>
      <c r="E8" s="3474">
        <v>67.319999999999993</v>
      </c>
      <c r="F8" s="3474" t="s">
        <v>3418</v>
      </c>
      <c r="G8" s="3474">
        <v>16</v>
      </c>
      <c r="H8" s="3474">
        <v>5</v>
      </c>
      <c r="I8" s="3474" t="s">
        <v>633</v>
      </c>
      <c r="J8" s="3474">
        <v>2005</v>
      </c>
      <c r="K8" s="3474">
        <v>0</v>
      </c>
      <c r="L8" s="3474">
        <v>40254</v>
      </c>
      <c r="M8" s="3474">
        <v>2709899</v>
      </c>
      <c r="N8" s="3475">
        <v>45280</v>
      </c>
    </row>
    <row r="9" spans="1:15" ht="15" thickBot="1">
      <c r="A9" s="3474" t="s">
        <v>3461</v>
      </c>
      <c r="B9" s="3474" t="s">
        <v>3476</v>
      </c>
      <c r="C9" s="3474" t="s">
        <v>3463</v>
      </c>
      <c r="D9" s="3474" t="s">
        <v>3464</v>
      </c>
      <c r="E9" s="3474">
        <v>65.31</v>
      </c>
      <c r="F9" s="3474" t="s">
        <v>3418</v>
      </c>
      <c r="G9" s="3474" t="s">
        <v>3468</v>
      </c>
      <c r="H9" s="3474">
        <v>5</v>
      </c>
      <c r="I9" s="3474">
        <v>2005</v>
      </c>
      <c r="J9" s="3474" t="s">
        <v>633</v>
      </c>
      <c r="K9" s="3474">
        <v>0</v>
      </c>
      <c r="L9" s="3474">
        <v>34500</v>
      </c>
      <c r="M9" s="3474">
        <v>2253195</v>
      </c>
      <c r="N9" s="3475">
        <v>45077</v>
      </c>
    </row>
    <row r="10" spans="1:15" ht="15" thickBot="1">
      <c r="A10" s="3474" t="s">
        <v>3461</v>
      </c>
      <c r="B10" s="3474" t="s">
        <v>3477</v>
      </c>
      <c r="C10" s="3474" t="s">
        <v>3463</v>
      </c>
      <c r="D10" s="3474" t="s">
        <v>3464</v>
      </c>
      <c r="E10" s="3474">
        <v>66.680000000000007</v>
      </c>
      <c r="F10" s="3474" t="s">
        <v>3418</v>
      </c>
      <c r="G10" s="3474" t="s">
        <v>3468</v>
      </c>
      <c r="H10" s="3474">
        <v>5</v>
      </c>
      <c r="I10" s="3474">
        <v>2005</v>
      </c>
      <c r="J10" s="3474" t="s">
        <v>633</v>
      </c>
      <c r="K10" s="3474">
        <v>41992</v>
      </c>
      <c r="L10" s="3474">
        <v>39434</v>
      </c>
      <c r="M10" s="3474">
        <v>2629459</v>
      </c>
      <c r="N10" s="3475">
        <v>45027</v>
      </c>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workbookViewId="0">
      <selection activeCell="H33" sqref="H33"/>
    </sheetView>
  </sheetViews>
  <sheetFormatPr defaultRowHeight="14.4"/>
  <sheetData>
    <row r="1" spans="1:1">
      <c r="A1" s="3472" t="s">
        <v>3550</v>
      </c>
    </row>
    <row r="29" spans="5:9">
      <c r="F29">
        <v>146.66999999999999</v>
      </c>
    </row>
    <row r="30" spans="5:9">
      <c r="E30" s="3499">
        <v>45170</v>
      </c>
      <c r="F30" s="3471" t="s">
        <v>3551</v>
      </c>
      <c r="G30">
        <v>4957400</v>
      </c>
      <c r="H30">
        <f>G30/F29</f>
        <v>33799.686370764306</v>
      </c>
    </row>
    <row r="31" spans="5:9">
      <c r="F31" s="3471" t="s">
        <v>3552</v>
      </c>
      <c r="G31">
        <v>3548000</v>
      </c>
      <c r="H31">
        <f>G31/F29</f>
        <v>24190.359310015683</v>
      </c>
      <c r="I31">
        <f>H31/H30</f>
        <v>0.71569774478557302</v>
      </c>
    </row>
  </sheetData>
  <phoneticPr fontId="134" type="noConversion"/>
  <hyperlinks>
    <hyperlink ref="A1"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44" sqref="I44"/>
    </sheetView>
  </sheetViews>
  <sheetFormatPr defaultRowHeight="14.4"/>
  <sheetData>
    <row r="1" spans="1:1">
      <c r="A1" s="3472" t="s">
        <v>3446</v>
      </c>
    </row>
  </sheetData>
  <phoneticPr fontId="134" type="noConversion"/>
  <hyperlinks>
    <hyperlink ref="A1"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W27" sqref="W27"/>
    </sheetView>
  </sheetViews>
  <sheetFormatPr defaultRowHeight="14.4"/>
  <cols>
    <col min="1" max="1" width="13.88671875" customWidth="1"/>
    <col min="11" max="17" width="0" hidden="1" customWidth="1"/>
    <col min="25" max="30" width="0" hidden="1" customWidth="1"/>
  </cols>
  <sheetData>
    <row r="1" spans="1:44">
      <c r="A1" s="3219">
        <f>基准地价修正!G23</f>
        <v>45793</v>
      </c>
      <c r="B1" s="3208" t="s">
        <v>3378</v>
      </c>
      <c r="C1" s="3209"/>
      <c r="D1" s="3209"/>
      <c r="E1" s="3209"/>
      <c r="F1" s="3209"/>
      <c r="G1" s="3209"/>
      <c r="H1" s="3209"/>
      <c r="I1" s="3209"/>
      <c r="J1" s="3163"/>
      <c r="K1" s="3209" t="s">
        <v>454</v>
      </c>
      <c r="L1" s="3209"/>
      <c r="M1" s="3209"/>
      <c r="N1" s="3209"/>
      <c r="O1" s="3209"/>
      <c r="P1" s="3209"/>
      <c r="Q1" s="3163"/>
      <c r="R1" s="3823" t="s">
        <v>456</v>
      </c>
      <c r="S1" s="3824"/>
      <c r="T1" s="3824"/>
      <c r="U1" s="3824"/>
      <c r="V1" s="3824"/>
      <c r="W1" s="3824"/>
      <c r="X1" s="3163"/>
      <c r="Y1" s="3823" t="s">
        <v>457</v>
      </c>
      <c r="Z1" s="3824"/>
      <c r="AA1" s="3824"/>
      <c r="AB1" s="3824"/>
      <c r="AC1" s="3824"/>
      <c r="AD1" s="3824"/>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3405</v>
      </c>
      <c r="AG2" t="s">
        <v>673</v>
      </c>
      <c r="AH2" t="s">
        <v>21</v>
      </c>
      <c r="AI2" t="s">
        <v>3406</v>
      </c>
      <c r="AJ2" t="s">
        <v>3</v>
      </c>
      <c r="AK2" t="s">
        <v>3407</v>
      </c>
      <c r="AM2" t="s">
        <v>3405</v>
      </c>
      <c r="AN2" t="s">
        <v>673</v>
      </c>
      <c r="AO2" t="s">
        <v>21</v>
      </c>
      <c r="AP2" t="s">
        <v>3406</v>
      </c>
      <c r="AQ2" t="s">
        <v>3</v>
      </c>
      <c r="AR2" t="s">
        <v>3407</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3404</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3403</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3402</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3410</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3409</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3382</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3376</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3375</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3371</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3370</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3368</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3367</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3366</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3364</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3355</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3381</v>
      </c>
    </row>
    <row r="27" spans="1:44" s="3007" customFormat="1">
      <c r="I27" s="3206" t="s">
        <v>2825</v>
      </c>
    </row>
    <row r="28" spans="1:44" s="3007" customFormat="1"/>
    <row r="29" spans="1:44" s="3207" customFormat="1" ht="13.2">
      <c r="B29" s="3208" t="s">
        <v>3379</v>
      </c>
      <c r="C29" s="3209"/>
      <c r="D29" s="3209"/>
      <c r="E29" s="3209"/>
      <c r="F29" s="3209"/>
      <c r="G29" s="3209"/>
      <c r="H29" s="3209"/>
      <c r="I29" s="3209"/>
      <c r="J29" s="3163"/>
      <c r="K29" s="3209" t="s">
        <v>2826</v>
      </c>
      <c r="L29" s="3209"/>
      <c r="M29" s="3209"/>
      <c r="N29" s="3209"/>
      <c r="O29" s="3209"/>
      <c r="P29" s="3209"/>
      <c r="Q29" s="3163"/>
      <c r="R29" s="3823" t="s">
        <v>2827</v>
      </c>
      <c r="S29" s="3824"/>
      <c r="T29" s="3824"/>
      <c r="U29" s="3824"/>
      <c r="V29" s="3824"/>
      <c r="W29" s="3824"/>
      <c r="X29" s="3163"/>
      <c r="Y29" s="3823" t="s">
        <v>2828</v>
      </c>
      <c r="Z29" s="3824"/>
      <c r="AA29" s="3824"/>
      <c r="AB29" s="3824"/>
      <c r="AC29" s="3824"/>
      <c r="AD29" s="3824"/>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3406</v>
      </c>
      <c r="AJ30"/>
      <c r="AK30" t="s">
        <v>3407</v>
      </c>
      <c r="AN30" t="s">
        <v>673</v>
      </c>
      <c r="AO30" t="s">
        <v>21</v>
      </c>
      <c r="AP30" t="s">
        <v>3406</v>
      </c>
      <c r="AQ30"/>
      <c r="AR30" t="s">
        <v>3407</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3404</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3403</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3411</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3408</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3409</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3373</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3377</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3374</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3372</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3370</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3369</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3367</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3366</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3365</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3355</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3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2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2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3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2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2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2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2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2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2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2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2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2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2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2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6">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27">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2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6">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27">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38" t="s">
        <v>2839</v>
      </c>
      <c r="B1" s="3838"/>
      <c r="C1" s="3838"/>
      <c r="D1" s="3838"/>
      <c r="E1" s="3838"/>
      <c r="F1" s="3838"/>
      <c r="G1" s="3839"/>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36"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37"/>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房地产市场价值</v>
      </c>
      <c r="I2" s="3519"/>
    </row>
    <row r="3" spans="1:9" ht="15.6">
      <c r="A3" s="3514"/>
      <c r="B3" s="3514"/>
      <c r="C3" s="3514"/>
      <c r="D3" s="854" t="s">
        <v>925</v>
      </c>
      <c r="E3" s="854" t="s">
        <v>931</v>
      </c>
      <c r="F3" s="854" t="s">
        <v>925</v>
      </c>
      <c r="G3" s="854" t="s">
        <v>926</v>
      </c>
      <c r="H3" s="854" t="s">
        <v>925</v>
      </c>
      <c r="I3" s="854" t="s">
        <v>926</v>
      </c>
    </row>
    <row r="4" spans="1:9" ht="15">
      <c r="A4" s="1505" t="str">
        <f>项目基本情况!S2</f>
        <v>北京市房地产</v>
      </c>
      <c r="B4" s="854">
        <f>项目基本情况!C17</f>
        <v>197.05</v>
      </c>
      <c r="C4" s="854">
        <f>项目基本情况!C18</f>
        <v>46.92</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4" t="s">
        <v>927</v>
      </c>
      <c r="B5" s="3514"/>
      <c r="C5" s="3514"/>
      <c r="D5" s="3514" t="e">
        <f ca="1">结果表!D119</f>
        <v>#REF!</v>
      </c>
      <c r="E5" s="3514"/>
      <c r="F5" s="3514" t="e">
        <f ca="1">结果表!F119</f>
        <v>#REF!</v>
      </c>
      <c r="G5" s="3514"/>
      <c r="H5" s="3514" t="e">
        <f ca="1">结果表!H119</f>
        <v>#REF!</v>
      </c>
      <c r="I5" s="3514"/>
    </row>
    <row r="6" spans="1:9" ht="15.6">
      <c r="A6" s="3513" t="str">
        <f>结果表!A120</f>
        <v/>
      </c>
      <c r="B6" s="3513"/>
      <c r="C6" s="3513"/>
      <c r="D6" s="3513">
        <f>结果表!D120</f>
        <v>0</v>
      </c>
      <c r="E6" s="3513"/>
      <c r="F6" s="3513"/>
      <c r="G6" s="3513"/>
      <c r="H6" s="3513"/>
      <c r="I6" s="3513"/>
    </row>
    <row r="7" spans="1:9" ht="15">
      <c r="A7" s="3514" t="s">
        <v>927</v>
      </c>
      <c r="B7" s="3514"/>
      <c r="C7" s="3514"/>
      <c r="D7" s="3515" t="str">
        <f>结果表!D121</f>
        <v>零元整</v>
      </c>
      <c r="E7" s="3516"/>
      <c r="F7" s="3516"/>
      <c r="G7" s="3516"/>
      <c r="H7" s="3516"/>
      <c r="I7" s="3517"/>
    </row>
    <row r="8" spans="1:9" ht="15.6">
      <c r="A8" s="3513" t="str">
        <f>结果表!A122</f>
        <v/>
      </c>
      <c r="B8" s="3513"/>
      <c r="C8" s="3513"/>
      <c r="D8" s="3513" t="e">
        <f ca="1">结果表!D122</f>
        <v>#REF!</v>
      </c>
      <c r="E8" s="3513"/>
      <c r="F8" s="3513"/>
      <c r="G8" s="3513"/>
      <c r="H8" s="3513"/>
      <c r="I8" s="3513"/>
    </row>
    <row r="9" spans="1:9" ht="15">
      <c r="A9" s="3514" t="s">
        <v>927</v>
      </c>
      <c r="B9" s="3514"/>
      <c r="C9" s="3514"/>
      <c r="D9" s="3514" t="e">
        <f ca="1">结果表!D123</f>
        <v>#REF!</v>
      </c>
      <c r="E9" s="3514"/>
      <c r="F9" s="3514"/>
      <c r="G9" s="3514"/>
      <c r="H9" s="3514"/>
      <c r="I9" s="3514"/>
    </row>
    <row r="10" spans="1:9" ht="15.6">
      <c r="A10" s="3513" t="str">
        <f>结果表!A124</f>
        <v/>
      </c>
      <c r="B10" s="3513"/>
      <c r="C10" s="3513"/>
      <c r="D10" s="3513" t="str">
        <f>结果表!D124</f>
        <v>——</v>
      </c>
      <c r="E10" s="3513"/>
      <c r="F10" s="3513"/>
      <c r="G10" s="3513"/>
      <c r="H10" s="3513"/>
      <c r="I10" s="3513"/>
    </row>
    <row r="11" spans="1:9" ht="15">
      <c r="A11" s="3514" t="s">
        <v>927</v>
      </c>
      <c r="B11" s="3514"/>
      <c r="C11" s="3514"/>
      <c r="D11" s="3514" t="e">
        <f>结果表!D125</f>
        <v>#VALUE!</v>
      </c>
      <c r="E11" s="3514"/>
      <c r="F11" s="3514"/>
      <c r="G11" s="3514"/>
      <c r="H11" s="3514"/>
      <c r="I11" s="3514"/>
    </row>
    <row r="12" spans="1:9" ht="15.6">
      <c r="A12" s="3513" t="str">
        <f>结果表!A126</f>
        <v/>
      </c>
      <c r="B12" s="3513"/>
      <c r="C12" s="3513"/>
      <c r="D12" s="3513" t="str">
        <f>结果表!D126</f>
        <v>——</v>
      </c>
      <c r="E12" s="3513"/>
      <c r="F12" s="3513"/>
      <c r="G12" s="3513"/>
      <c r="H12" s="3513"/>
      <c r="I12" s="3513"/>
    </row>
    <row r="13" spans="1:9" ht="15.6" thickBot="1">
      <c r="A13" s="3511" t="s">
        <v>927</v>
      </c>
      <c r="B13" s="3511"/>
      <c r="C13" s="3511"/>
      <c r="D13" s="3511" t="e">
        <f>结果表!D127</f>
        <v>#VALUE!</v>
      </c>
      <c r="E13" s="3511"/>
      <c r="F13" s="3511"/>
      <c r="G13" s="3511"/>
      <c r="H13" s="3511"/>
      <c r="I13" s="3511"/>
    </row>
    <row r="14" spans="1:9" ht="14.4" thickTop="1">
      <c r="A14" s="3512" t="s">
        <v>932</v>
      </c>
      <c r="B14" s="3512"/>
      <c r="C14" s="3512"/>
      <c r="D14" s="3512"/>
      <c r="E14" s="3512"/>
      <c r="F14" s="3512"/>
      <c r="G14" s="3512"/>
      <c r="H14" s="3512"/>
      <c r="I14" s="351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45793</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6" t="s">
        <v>949</v>
      </c>
      <c r="B1" s="3526"/>
      <c r="C1" s="3526"/>
      <c r="D1" s="3526"/>
    </row>
    <row r="2" spans="1:4" ht="17.399999999999999">
      <c r="A2" s="3527" t="s">
        <v>933</v>
      </c>
      <c r="B2" s="3527"/>
      <c r="C2" s="3527"/>
      <c r="D2" s="352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7" t="s">
        <v>939</v>
      </c>
      <c r="B6" s="3527"/>
      <c r="C6" s="3527"/>
      <c r="D6" s="352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8" t="s">
        <v>942</v>
      </c>
      <c r="B11" s="3520"/>
      <c r="C11" s="3520"/>
      <c r="D11" s="3520"/>
    </row>
    <row r="12" spans="1:4" ht="15.6">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0" t="str">
        <f>IF(项目基本情况!B8="抵押","3.抵押双方在办理抵押登记手续时，应使用本公司出具的正式《房地产评估报告》，特提醒报告使用者注意。","——")</f>
        <v>——</v>
      </c>
      <c r="B13" s="3525"/>
      <c r="C13" s="3525"/>
      <c r="D13" s="3525"/>
    </row>
    <row r="14" spans="1:4" ht="15.75" customHeight="1">
      <c r="A14" s="3520" t="str">
        <f>IF(项目基本情况!B8="抵押","4.本次评估估价师所知悉的法定优先受偿款情况说明如下：","——")</f>
        <v>——</v>
      </c>
      <c r="B14" s="3525"/>
      <c r="C14" s="3525"/>
      <c r="D14" s="3525"/>
    </row>
    <row r="15" spans="1:4" ht="42" customHeight="1">
      <c r="A15" s="3520" t="str">
        <f>IF(项目基本情况!B8="抵押","（1）"&amp;CONCATENATE(项目基本情况!L20,项目基本情况!L21,项目基本情况!L22),"——")</f>
        <v>——</v>
      </c>
      <c r="B15" s="3520"/>
      <c r="C15" s="3520"/>
      <c r="D15" s="3520"/>
    </row>
    <row r="16" spans="1:4" ht="30" customHeight="1">
      <c r="A16" s="3522" t="s">
        <v>943</v>
      </c>
      <c r="B16" s="3522"/>
      <c r="C16" s="3522"/>
      <c r="D16" s="3522"/>
    </row>
    <row r="17" spans="1:4" ht="144" customHeight="1">
      <c r="A17" s="3522" t="s">
        <v>944</v>
      </c>
      <c r="B17" s="3522"/>
      <c r="C17" s="3522"/>
      <c r="D17" s="3522"/>
    </row>
    <row r="18" spans="1:4" ht="15.75" customHeight="1">
      <c r="A18" s="3520" t="str">
        <f>IF(项目基本情况!B8="抵押",结果表!K120,"——")</f>
        <v>——</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4" t="s">
        <v>956</v>
      </c>
      <c r="B15" s="3529" t="s">
        <v>109</v>
      </c>
      <c r="C15" s="3530"/>
    </row>
    <row r="16" spans="1:7" ht="14.4">
      <c r="A16" s="3535"/>
      <c r="B16" s="3529" t="s">
        <v>42</v>
      </c>
      <c r="C16" s="3530"/>
    </row>
    <row r="17" spans="1:3" ht="14.4">
      <c r="A17" s="3535"/>
      <c r="B17" s="3532" t="s">
        <v>957</v>
      </c>
      <c r="C17" s="1532" t="s">
        <v>956</v>
      </c>
    </row>
    <row r="18" spans="1:3" ht="14.4">
      <c r="A18" s="3535"/>
      <c r="B18" s="3532"/>
      <c r="C18" s="1532" t="s">
        <v>958</v>
      </c>
    </row>
    <row r="19" spans="1:3" ht="14.4">
      <c r="A19" s="3535"/>
      <c r="B19" s="3532"/>
      <c r="C19" s="1532" t="s">
        <v>959</v>
      </c>
    </row>
    <row r="20" spans="1:3" ht="14.4">
      <c r="A20" s="3536"/>
      <c r="B20" s="3531" t="s">
        <v>960</v>
      </c>
      <c r="C20" s="3530"/>
    </row>
    <row r="21" spans="1:3" ht="14.4">
      <c r="A21" s="1533" t="s">
        <v>961</v>
      </c>
      <c r="B21" s="1534"/>
      <c r="C21" s="1535"/>
    </row>
    <row r="22" spans="1:3" ht="14.4">
      <c r="A22" s="3533" t="s">
        <v>962</v>
      </c>
      <c r="B22" s="3531" t="s">
        <v>963</v>
      </c>
      <c r="C22" s="3530"/>
    </row>
    <row r="23" spans="1:3" ht="14.4">
      <c r="A23" s="3533"/>
      <c r="B23" s="3531" t="s">
        <v>964</v>
      </c>
      <c r="C23" s="3530"/>
    </row>
    <row r="24" spans="1:3" ht="14.4">
      <c r="A24" s="3533"/>
      <c r="B24" s="3531" t="s">
        <v>965</v>
      </c>
      <c r="C24" s="3530"/>
    </row>
    <row r="25" spans="1:3" ht="14.4">
      <c r="A25" s="3533"/>
      <c r="B25" s="3532" t="s">
        <v>966</v>
      </c>
      <c r="C25" s="1532" t="s">
        <v>967</v>
      </c>
    </row>
    <row r="26" spans="1:3" ht="14.4">
      <c r="A26" s="3533"/>
      <c r="B26" s="3532"/>
      <c r="C26" s="1532" t="s">
        <v>968</v>
      </c>
    </row>
    <row r="27" spans="1:3" ht="14.4">
      <c r="A27" s="3533"/>
      <c r="B27" s="3532"/>
      <c r="C27" s="1532" t="s">
        <v>969</v>
      </c>
    </row>
    <row r="28" spans="1:3" ht="14.4">
      <c r="A28" s="3533"/>
      <c r="B28" s="3532"/>
      <c r="C28" s="1532" t="s">
        <v>970</v>
      </c>
    </row>
    <row r="29" spans="1:3" ht="14.4">
      <c r="A29" s="3533"/>
      <c r="B29" s="3532"/>
      <c r="C29" s="1532" t="s">
        <v>971</v>
      </c>
    </row>
    <row r="30" spans="1:3" ht="14.4">
      <c r="A30" s="3533"/>
      <c r="B30" s="3532"/>
      <c r="C30" s="1532" t="s">
        <v>972</v>
      </c>
    </row>
    <row r="31" spans="1:3" ht="14.4">
      <c r="A31" s="3533"/>
      <c r="B31" s="3532"/>
      <c r="C31" s="1532" t="s">
        <v>973</v>
      </c>
    </row>
    <row r="32" spans="1:3" ht="14.4">
      <c r="A32" s="3533"/>
      <c r="B32" s="3532"/>
      <c r="C32" s="1532" t="s">
        <v>974</v>
      </c>
    </row>
    <row r="33" spans="1:3" ht="14.4">
      <c r="A33" s="3533"/>
      <c r="B33" s="353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45817</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37" t="s">
        <v>2160</v>
      </c>
      <c r="B17" s="3537"/>
      <c r="C17" s="3537"/>
      <c r="D17" s="3537"/>
      <c r="E17" s="3537"/>
      <c r="F17" s="3537"/>
      <c r="G17" s="3537"/>
      <c r="H17" s="3537"/>
    </row>
    <row r="18" spans="1:8" ht="24" customHeight="1">
      <c r="A18" s="3538" t="s">
        <v>2161</v>
      </c>
      <c r="B18" s="3538"/>
      <c r="C18" s="3538"/>
      <c r="D18" s="2341"/>
      <c r="E18" s="3539" t="s">
        <v>2162</v>
      </c>
      <c r="F18" s="3538"/>
      <c r="G18" s="3538"/>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 (元)</vt:lpstr>
      <vt:lpstr>假设开发法</vt:lpstr>
      <vt:lpstr>收益法 (元)</vt:lpstr>
      <vt:lpstr>收益法-酒店模型</vt:lpstr>
      <vt:lpstr>收益法（汇总）</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容积率</vt:lpstr>
      <vt:lpstr>比较法-住宅</vt:lpstr>
      <vt:lpstr>成交</vt:lpstr>
      <vt:lpstr>Sheet1</vt:lpstr>
      <vt:lpstr>挂牌</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2025-06-09T03:06:00Z</dcterms:modified>
</cp:coreProperties>
</file>