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30" windowWidth="13335" windowHeight="1258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收益法" sheetId="15" r:id="rId34"/>
    <sheet name="租赁情况" sheetId="80" r:id="rId35"/>
    <sheet name="比较法-商业" sheetId="33" state="hidden" r:id="rId36"/>
    <sheet name="典型户型修正" sheetId="31"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5"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4">租赁情况!#REF!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L42" i="81" l="1"/>
  <c r="AM6" i="1"/>
  <c r="P16" i="9"/>
  <c r="H5" i="80"/>
  <c r="H6" i="80"/>
  <c r="H7" i="80"/>
  <c r="H4" i="80"/>
  <c r="AX5" i="81" l="1"/>
  <c r="AY5" i="81" s="1"/>
  <c r="AR5" i="81"/>
  <c r="AT5" i="81" s="1"/>
  <c r="D5" i="81"/>
  <c r="AY4" i="81"/>
  <c r="AX4" i="81"/>
  <c r="AT4" i="81"/>
  <c r="AR4" i="81"/>
  <c r="D4" i="81"/>
  <c r="AX3" i="81"/>
  <c r="AY3" i="81" s="1"/>
  <c r="AT3" i="81"/>
  <c r="D3" i="81"/>
  <c r="N6" i="1"/>
  <c r="L25" i="9" l="1"/>
  <c r="L24" i="9"/>
  <c r="L23" i="9"/>
  <c r="W21" i="1"/>
  <c r="W22" i="1" s="1"/>
  <c r="U6" i="1" s="1"/>
  <c r="V21" i="1"/>
  <c r="V20" i="1"/>
  <c r="U3" i="43" l="1"/>
  <c r="U2" i="43"/>
  <c r="W6" i="80"/>
  <c r="W5" i="80"/>
  <c r="M10" i="80"/>
  <c r="Y14" i="80"/>
  <c r="Y13" i="80"/>
  <c r="V1" i="80"/>
  <c r="U1" i="80"/>
  <c r="X15" i="80" s="1"/>
  <c r="Y15" i="80" s="1"/>
  <c r="T9" i="80"/>
  <c r="U9" i="80"/>
  <c r="S16" i="80"/>
  <c r="V16" i="80"/>
  <c r="U16" i="80"/>
  <c r="T16" i="80"/>
  <c r="T15" i="80"/>
  <c r="U7" i="80"/>
  <c r="T7" i="80"/>
  <c r="F19" i="6"/>
  <c r="M9" i="80"/>
  <c r="J9" i="80"/>
  <c r="A9" i="80"/>
  <c r="N7" i="80"/>
  <c r="N6" i="80"/>
  <c r="N5" i="80"/>
  <c r="N4" i="80"/>
  <c r="V7" i="80" l="1"/>
  <c r="W7" i="80" s="1"/>
  <c r="V4" i="80"/>
  <c r="W4" i="80" s="1"/>
  <c r="X12" i="80"/>
  <c r="Y12" i="80" s="1"/>
  <c r="Y16" i="80" s="1"/>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C66" i="9"/>
  <c r="D14" i="9"/>
  <c r="B35" i="1"/>
  <c r="B21" i="1"/>
  <c r="N18" i="1"/>
  <c r="D3" i="4"/>
  <c r="W8" i="80" l="1"/>
  <c r="N20" i="1"/>
  <c r="Y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9" i="43" l="1"/>
  <c r="M99" i="43"/>
  <c r="N99" i="43" s="1"/>
  <c r="K93" i="43"/>
  <c r="M93" i="43"/>
  <c r="N93" i="43" s="1"/>
  <c r="K94" i="43"/>
  <c r="M94" i="43"/>
  <c r="N94" i="43" s="1"/>
  <c r="K97" i="43"/>
  <c r="J97" i="43" s="1"/>
  <c r="M97" i="43"/>
  <c r="N97" i="43" s="1"/>
  <c r="K96" i="43"/>
  <c r="M96" i="43"/>
  <c r="N96" i="43" s="1"/>
  <c r="K101" i="43"/>
  <c r="M101" i="43"/>
  <c r="N101" i="43" s="1"/>
  <c r="K98" i="43"/>
  <c r="M98" i="43"/>
  <c r="N98" i="43" s="1"/>
  <c r="K95" i="43"/>
  <c r="M95" i="43"/>
  <c r="N95" i="43" s="1"/>
  <c r="K100" i="43"/>
  <c r="J100" i="43" s="1"/>
  <c r="D100" i="43" s="1"/>
  <c r="M100" i="43"/>
  <c r="N100" i="43" s="1"/>
  <c r="G16" i="73"/>
  <c r="F16" i="73"/>
  <c r="E16" i="73"/>
  <c r="J95" i="43" l="1"/>
  <c r="D95" i="43"/>
  <c r="J98" i="43"/>
  <c r="D98" i="43"/>
  <c r="J101" i="43"/>
  <c r="D101" i="43"/>
  <c r="J96" i="43"/>
  <c r="D96" i="43"/>
  <c r="J94" i="43"/>
  <c r="D94" i="43"/>
  <c r="J93" i="43"/>
  <c r="D93" i="43"/>
  <c r="E93" i="43" s="1"/>
  <c r="B91" i="43" s="1"/>
  <c r="J99" i="43"/>
  <c r="D99"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29" i="39"/>
  <c r="W18" i="36"/>
  <c r="AB21" i="37"/>
  <c r="U21" i="37"/>
  <c r="U21" i="34"/>
  <c r="AA21" i="33"/>
  <c r="S21" i="33"/>
  <c r="U18" i="35"/>
  <c r="AC18" i="35"/>
  <c r="W18" i="35"/>
  <c r="J21" i="37"/>
  <c r="G84" i="34"/>
  <c r="J21" i="34"/>
  <c r="W21" i="34" s="1"/>
  <c r="G83" i="33"/>
  <c r="J21" i="33"/>
  <c r="W21" i="33" s="1"/>
  <c r="F83" i="21"/>
  <c r="H21" i="21"/>
  <c r="U21" i="21" s="1"/>
  <c r="F38" i="69"/>
  <c r="E37" i="69"/>
  <c r="F36" i="69"/>
  <c r="F35" i="69"/>
  <c r="F21" i="69"/>
  <c r="F40" i="69" s="1"/>
  <c r="F20" i="69"/>
  <c r="F39" i="69" s="1"/>
  <c r="E10" i="69"/>
  <c r="E9" i="69"/>
  <c r="C7" i="69"/>
  <c r="AC21" i="37"/>
  <c r="W21" i="37"/>
  <c r="AC21" i="34"/>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C36" i="34"/>
  <c r="AA13" i="33"/>
  <c r="AC31" i="33"/>
  <c r="AC45" i="33"/>
  <c r="U11" i="33"/>
  <c r="U19" i="21"/>
  <c r="W44" i="21"/>
  <c r="AC46" i="21"/>
  <c r="U12" i="21"/>
  <c r="F43" i="33"/>
  <c r="AA43" i="33" s="1"/>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H112" i="9"/>
  <c r="D21" i="53" s="1"/>
  <c r="B39" i="72" s="1"/>
  <c r="H111" i="9"/>
  <c r="D126" i="9" s="1"/>
  <c r="AD3" i="71"/>
  <c r="J1" i="73"/>
  <c r="H69" i="43"/>
  <c r="G69" i="43" s="1"/>
  <c r="K69" i="43" s="1"/>
  <c r="J69" i="43" s="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M23" i="15"/>
  <c r="J15" i="67"/>
  <c r="C76" i="67"/>
  <c r="F16" i="67"/>
  <c r="E10" i="76"/>
  <c r="F9" i="67"/>
  <c r="AO13" i="1"/>
  <c r="F7" i="15"/>
  <c r="D7" i="73"/>
  <c r="E11" i="76"/>
  <c r="F9" i="15"/>
  <c r="M28" i="67"/>
  <c r="B13" i="76"/>
  <c r="F20" i="31"/>
  <c r="M29" i="15"/>
  <c r="F26" i="67"/>
  <c r="M28" i="15"/>
  <c r="F36" i="67"/>
  <c r="F6" i="73"/>
  <c r="E7" i="76"/>
  <c r="D4" i="73"/>
  <c r="E12" i="76"/>
  <c r="F8" i="67"/>
  <c r="M29" i="67"/>
  <c r="F16" i="15"/>
  <c r="D3" i="73"/>
  <c r="D6" i="73"/>
  <c r="E13" i="76"/>
  <c r="F4" i="73"/>
  <c r="M6" i="67"/>
  <c r="F43" i="67"/>
  <c r="F3" i="73"/>
  <c r="F7" i="73"/>
  <c r="E8" i="76"/>
  <c r="F6" i="15"/>
  <c r="M26" i="15"/>
  <c r="B12" i="76"/>
  <c r="M22" i="15"/>
  <c r="F37" i="67"/>
  <c r="F8" i="15"/>
  <c r="B10" i="76"/>
  <c r="F38" i="67"/>
  <c r="L48" i="15"/>
  <c r="F40" i="67"/>
  <c r="M9" i="67"/>
  <c r="F36" i="15"/>
  <c r="E2" i="68"/>
  <c r="F7" i="67"/>
  <c r="L47" i="67"/>
  <c r="F43" i="15"/>
  <c r="F13" i="67"/>
  <c r="M23" i="67"/>
  <c r="B9" i="76"/>
  <c r="M6" i="15"/>
  <c r="F40" i="15"/>
  <c r="F38" i="15"/>
  <c r="M26" i="67"/>
  <c r="L47" i="15"/>
  <c r="C76" i="15"/>
  <c r="M22" i="67"/>
  <c r="M9" i="15"/>
  <c r="J15" i="15"/>
  <c r="B7" i="76"/>
  <c r="F42" i="67"/>
  <c r="F37" i="15"/>
  <c r="F13" i="15"/>
  <c r="M8" i="15"/>
  <c r="M24" i="67"/>
  <c r="B8" i="76"/>
  <c r="L48" i="67"/>
  <c r="F42" i="15"/>
  <c r="D5" i="73"/>
  <c r="F6" i="67"/>
  <c r="E9" i="76"/>
  <c r="M8" i="67"/>
  <c r="F5" i="73"/>
  <c r="B11" i="76"/>
  <c r="F26" i="15"/>
  <c r="M24" i="15"/>
  <c r="G6" i="1" l="1"/>
  <c r="I24" i="43"/>
  <c r="AZ14" i="3"/>
  <c r="K50" i="43"/>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A15" i="62"/>
  <c r="B61" i="72" s="1"/>
  <c r="D19" i="53"/>
  <c r="B38" i="72" s="1"/>
  <c r="D16" i="53"/>
  <c r="B34" i="72" s="1"/>
  <c r="C28" i="67"/>
  <c r="E19" i="71"/>
  <c r="E18" i="71" s="1"/>
  <c r="E17" i="71" s="1"/>
  <c r="E16" i="71" s="1"/>
  <c r="V20" i="71"/>
  <c r="D17" i="71"/>
  <c r="C16" i="71"/>
  <c r="G28" i="6"/>
  <c r="AZ362" i="3"/>
  <c r="S41" i="34"/>
  <c r="AA41" i="34"/>
  <c r="S12" i="21"/>
  <c r="AA12" i="21"/>
  <c r="AC9" i="34"/>
  <c r="W9" i="34"/>
  <c r="AC34" i="35"/>
  <c r="W34" i="35"/>
  <c r="AB9" i="36"/>
  <c r="U9" i="36"/>
  <c r="AB14" i="37"/>
  <c r="U14" i="37"/>
  <c r="BL5" i="3"/>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C24" i="43"/>
  <c r="H26" i="43"/>
  <c r="F26" i="43"/>
  <c r="J26" i="43"/>
  <c r="G26" i="43"/>
  <c r="E26" i="43"/>
  <c r="A1" i="79"/>
  <c r="H55" i="43"/>
  <c r="G55" i="43" s="1"/>
  <c r="H86" i="43"/>
  <c r="G86" i="43" s="1"/>
  <c r="H87" i="43"/>
  <c r="G87" i="43" s="1"/>
  <c r="N370" i="46"/>
  <c r="N94"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J50" i="43"/>
  <c r="D50" i="43"/>
  <c r="F7" i="36"/>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3" i="6" l="1"/>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50" i="43" l="1"/>
  <c r="B48" i="43" s="1"/>
  <c r="C28" i="43" s="1"/>
  <c r="B14" i="74"/>
  <c r="B1" i="74" s="1"/>
  <c r="D14" i="71"/>
  <c r="C13"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T15" i="43" l="1"/>
  <c r="V15" i="43" s="1"/>
  <c r="C38" i="43"/>
  <c r="C37" i="43"/>
  <c r="T6" i="43"/>
  <c r="V6" i="43" s="1"/>
  <c r="T8" i="43"/>
  <c r="V8" i="43" s="1"/>
  <c r="T16" i="43"/>
  <c r="V16" i="43" s="1"/>
  <c r="T13" i="43"/>
  <c r="V13" i="43" s="1"/>
  <c r="C41" i="43"/>
  <c r="T5" i="43"/>
  <c r="V5" i="43" s="1"/>
  <c r="T4" i="43"/>
  <c r="V4" i="43" s="1"/>
  <c r="T14" i="43"/>
  <c r="V14" i="43" s="1"/>
  <c r="T11" i="43"/>
  <c r="V11" i="43" s="1"/>
  <c r="C39" i="43"/>
  <c r="C33" i="43"/>
  <c r="T3" i="43"/>
  <c r="V3" i="43" s="1"/>
  <c r="T12" i="43"/>
  <c r="V12" i="43" s="1"/>
  <c r="T9" i="43"/>
  <c r="V9" i="43" s="1"/>
  <c r="C42" i="43"/>
  <c r="C40" i="43"/>
  <c r="T2" i="43"/>
  <c r="V2" i="43" s="1"/>
  <c r="T10" i="43"/>
  <c r="V10" i="43" s="1"/>
  <c r="T7" i="43"/>
  <c r="V7" i="43" s="1"/>
  <c r="B2" i="74"/>
  <c r="C14" i="7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2" i="43" l="1"/>
  <c r="G42" i="43"/>
  <c r="I42" i="43" s="1"/>
  <c r="C34" i="43"/>
  <c r="E34" i="43" s="1"/>
  <c r="E33" i="43"/>
  <c r="E41" i="43"/>
  <c r="G41" i="43"/>
  <c r="I41" i="43" s="1"/>
  <c r="G38" i="43"/>
  <c r="I38" i="43" s="1"/>
  <c r="E38" i="43"/>
  <c r="E40" i="43"/>
  <c r="G40" i="43"/>
  <c r="I40" i="43" s="1"/>
  <c r="G39" i="43"/>
  <c r="I39" i="43" s="1"/>
  <c r="E39" i="43"/>
  <c r="E37" i="43"/>
  <c r="G37" i="43"/>
  <c r="I37"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30" i="43" l="1"/>
  <c r="C31" i="4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E6" i="76"/>
  <c r="E2" i="76" l="1"/>
  <c r="B2" i="43"/>
  <c r="C6" i="68" s="1"/>
  <c r="C7" i="68" s="1"/>
  <c r="C5" i="68" s="1"/>
  <c r="W7" i="2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B6" i="76"/>
  <c r="M21" i="15"/>
  <c r="F35" i="67"/>
  <c r="C23" i="68" l="1"/>
  <c r="C20" i="68"/>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8" l="1"/>
  <c r="C57" i="68"/>
  <c r="C56"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L51" i="15"/>
  <c r="D2" i="37"/>
  <c r="D2" i="36"/>
  <c r="D2" i="34"/>
  <c r="C21" i="9" l="1"/>
  <c r="C102" i="9"/>
  <c r="B3" i="68"/>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C20" i="9"/>
  <c r="AO7" i="1"/>
  <c r="AO8" i="1"/>
  <c r="C103" i="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21" i="9" l="1"/>
  <c r="D22" i="9"/>
  <c r="D102" i="9"/>
  <c r="G19" i="9"/>
  <c r="G21" i="9" s="1"/>
  <c r="B6" i="70"/>
  <c r="B2" i="70" s="1"/>
  <c r="B3" i="70" s="1"/>
  <c r="D103" i="9"/>
  <c r="G20" i="9"/>
  <c r="M23"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2" i="9" l="1"/>
  <c r="C35" i="9" s="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l="1"/>
  <c r="F4" i="52"/>
  <c r="B51" i="72" s="1"/>
  <c r="F119" i="9"/>
  <c r="F5" i="52" s="1"/>
  <c r="B53" i="72" s="1"/>
  <c r="D4" i="52" l="1"/>
  <c r="B47" i="72" s="1"/>
  <c r="D119" i="9"/>
  <c r="D5" i="52" s="1"/>
  <c r="B49" i="72" s="1"/>
  <c r="D59" i="9"/>
  <c r="M55" i="9" s="1"/>
  <c r="M24" i="9" l="1"/>
  <c r="M25" i="9" s="1"/>
  <c r="H118" i="9"/>
  <c r="H101" i="9" s="1"/>
  <c r="I118" i="9"/>
  <c r="H102" i="9" s="1"/>
  <c r="D7" i="53" s="1"/>
  <c r="B21" i="72" s="1"/>
  <c r="H119" i="9"/>
  <c r="D14" i="74" s="1"/>
  <c r="E118" i="9"/>
  <c r="E4" i="52" s="1"/>
  <c r="B48" i="72" s="1"/>
  <c r="C105" i="9"/>
  <c r="I4" i="52"/>
  <c r="C104" i="9"/>
  <c r="H4" i="52"/>
  <c r="H107" i="9" l="1"/>
  <c r="D45" i="9"/>
  <c r="D5" i="53"/>
  <c r="M48" i="9"/>
  <c r="F14" i="74"/>
  <c r="B5" i="74"/>
  <c r="E14" i="74"/>
  <c r="H5" i="52"/>
  <c r="D5" i="74" l="1"/>
  <c r="C5" i="74"/>
  <c r="D53" i="9"/>
  <c r="D48" i="9" s="1"/>
  <c r="M52" i="9" s="1"/>
  <c r="C93" i="9"/>
  <c r="C86" i="9" s="1"/>
  <c r="C72" i="9"/>
  <c r="D55" i="9"/>
  <c r="M53" i="9" s="1"/>
  <c r="C85" i="9"/>
  <c r="C95" i="9" s="1"/>
  <c r="C78" i="9"/>
  <c r="C73" i="9" s="1"/>
  <c r="C64" i="9"/>
  <c r="C63" i="9" s="1"/>
  <c r="C67" i="9" s="1"/>
  <c r="C68" i="9" s="1"/>
  <c r="D54" i="9" s="1"/>
  <c r="D52" i="9"/>
  <c r="D6" i="53"/>
  <c r="B22" i="72" s="1"/>
  <c r="B20" i="72"/>
  <c r="M49" i="9"/>
  <c r="D122" i="9"/>
  <c r="D13" i="53"/>
  <c r="H108" i="9"/>
  <c r="D15" i="53" s="1"/>
  <c r="B31" i="72" s="1"/>
  <c r="C79" i="9" l="1"/>
  <c r="D14" i="53"/>
  <c r="B32" i="72" s="1"/>
  <c r="B30" i="72"/>
  <c r="L63" i="9"/>
  <c r="M63" i="9" s="1"/>
  <c r="L64" i="9"/>
  <c r="M64" i="9" s="1"/>
  <c r="L65" i="9"/>
  <c r="M65" i="9" s="1"/>
  <c r="L66" i="9"/>
  <c r="M66" i="9" s="1"/>
  <c r="L67" i="9"/>
  <c r="M67" i="9" s="1"/>
  <c r="L68" i="9"/>
  <c r="M68" i="9" s="1"/>
  <c r="D123" i="9"/>
  <c r="D9" i="52" s="1"/>
  <c r="D8" i="52"/>
  <c r="G14" i="74"/>
  <c r="B6" i="74" s="1"/>
  <c r="C96" i="9"/>
  <c r="E96" i="9" s="1"/>
  <c r="E97" i="9" s="1"/>
  <c r="C80" i="9"/>
  <c r="E80" i="9" s="1"/>
  <c r="E81" i="9" s="1"/>
  <c r="C81" i="9" l="1"/>
  <c r="C6" i="74"/>
  <c r="D6" i="74"/>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<sst xmlns="http://schemas.openxmlformats.org/spreadsheetml/2006/main" count="8381" uniqueCount="3718">
  <si>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</si>
  <si>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</si>
  <si>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</si>
  <si>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</si>
  <si>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</si>
  <si>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</si>
  <si>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</si>
  <si>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</si>
  <si>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</si>
  <si>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</si>
  <si>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</si>
  <si>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</si>
  <si>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</si>
  <si>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</si>
  <si>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</si>
  <si>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</si>
  <si>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</si>
  <si>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</si>
  <si>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</si>
  <si>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</si>
  <si>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</si>
  <si>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</si>
  <si>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</si>
  <si>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</si>
  <si>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</si>
  <si>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</si>
  <si>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</si>
  <si>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</si>
  <si>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</si>
  <si>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</si>
  <si>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</si>
  <si>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</si>
  <si>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</si>
  <si>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</si>
  <si>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</si>
  <si>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</si>
  <si>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</si>
  <si>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</si>
  <si>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</si>
  <si>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</si>
  <si>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</si>
  <si>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</si>
  <si>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</si>
  <si>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</si>
  <si>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</si>
  <si>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</si>
  <si>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</si>
  <si>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</si>
  <si>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</si>
  <si>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</si>
  <si>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</si>
  <si>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</si>
  <si>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</si>
  <si>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</si>
  <si>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</si>
  <si>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</si>
  <si>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</si>
  <si>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</si>
  <si>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</si>
  <si>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</si>
  <si>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</si>
  <si>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</si>
  <si>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</si>
  <si>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</si>
  <si>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</si>
  <si>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</si>
  <si>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</si>
  <si>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</si>
  <si>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</si>
  <si>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</si>
  <si>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</si>
  <si>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</si>
  <si>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</si>
  <si>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</si>
  <si>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</si>
  <si>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</si>
  <si>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</si>
  <si>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</si>
  <si>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</si>
  <si>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</si>
  <si>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</si>
  <si>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</si>
  <si>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</si>
  <si>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</si>
  <si>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</si>
  <si>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</si>
  <si>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</si>
  <si>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</si>
  <si>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</si>
  <si>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</si>
  <si>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</si>
  <si>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</si>
  <si>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</si>
  <si>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</si>
  <si>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</si>
  <si>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</si>
  <si>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</si>
  <si>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</si>
  <si>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</si>
  <si>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</si>
  <si>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</si>
  <si>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</si>
  <si>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</si>
  <si>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</si>
  <si>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</si>
  <si>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</si>
  <si>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</si>
  <si>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</si>
  <si>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</si>
  <si>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</si>
  <si>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</si>
  <si>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</si>
  <si>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</si>
  <si>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</si>
  <si>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</si>
  <si>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</si>
  <si>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</si>
  <si>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</si>
  <si>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</si>
  <si>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</si>
  <si>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</si>
  <si>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</si>
  <si>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</si>
  <si>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</si>
  <si>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</si>
  <si>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</si>
  <si>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</si>
  <si>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</si>
  <si>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</si>
  <si>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</si>
  <si>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</si>
  <si>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</si>
  <si>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</si>
  <si>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</si>
  <si>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</si>
  <si>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</si>
  <si>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</si>
  <si>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</si>
  <si>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</si>
  <si>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</si>
  <si>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</si>
  <si>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</si>
  <si>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</si>
  <si>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</si>
  <si>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</si>
  <si>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</si>
  <si>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</si>
  <si>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</si>
  <si>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</si>
  <si>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</si>
  <si>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</si>
  <si>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</si>
  <si>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</si>
  <si>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</si>
  <si>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</si>
  <si>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</si>
  <si>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</si>
  <si>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</si>
  <si>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</si>
  <si>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</si>
  <si>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</si>
  <si>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</si>
  <si>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</si>
  <si>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</si>
  <si>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</si>
  <si>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</si>
  <si>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</si>
  <si>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</si>
  <si>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</si>
  <si>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</si>
  <si>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</si>
  <si>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</si>
  <si>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</si>
  <si>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</si>
  <si>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</si>
  <si>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</si>
  <si>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</si>
  <si>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</si>
  <si>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</si>
  <si>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</si>
  <si>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</si>
  <si>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</si>
  <si>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</si>
  <si>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</si>
  <si>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</si>
  <si>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</si>
  <si>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</si>
  <si>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</si>
  <si>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</si>
  <si>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</si>
  <si>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</si>
  <si>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</si>
  <si>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</si>
  <si>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</si>
  <si>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</si>
  <si>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</si>
  <si>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</si>
  <si>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</si>
  <si>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</si>
  <si>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</si>
  <si>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</si>
  <si>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</si>
  <si>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</si>
  <si>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</si>
  <si>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</si>
  <si>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</si>
  <si>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</si>
  <si>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</si>
  <si>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</si>
  <si>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</si>
  <si>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</si>
  <si>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</si>
  <si>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</si>
  <si>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</si>
  <si>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</si>
  <si>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</si>
  <si>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</si>
  <si>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</si>
  <si>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</si>
  <si>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</si>
  <si>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</si>
  <si>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</si>
  <si>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</si>
  <si>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</si>
  <si>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</si>
  <si>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</si>
  <si>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</si>
  <si>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</si>
  <si>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</si>
  <si>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</si>
  <si>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</si>
  <si>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</si>
  <si>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</si>
  <si>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</si>
  <si>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</si>
  <si>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</si>
  <si>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</si>
  <si>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</si>
  <si>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</si>
  <si>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</si>
  <si>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</si>
  <si>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</si>
  <si>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</si>
  <si>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</si>
  <si>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</si>
  <si>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</si>
  <si>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</si>
  <si>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</si>
  <si>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</si>
  <si>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</si>
  <si>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</si>
  <si>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</si>
  <si>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</si>
  <si>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</si>
  <si>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</si>
  <si>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</si>
  <si>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</si>
  <si>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</si>
  <si>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</si>
  <si>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</si>
  <si>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</si>
  <si>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</si>
  <si>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</si>
  <si>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</si>
  <si>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</si>
  <si>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</si>
  <si>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</si>
  <si>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</si>
  <si>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</si>
  <si>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</si>
  <si>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</si>
  <si>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</si>
  <si>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</si>
  <si>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</si>
  <si>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</si>
  <si>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</si>
  <si>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</si>
  <si>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</si>
  <si>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</si>
  <si>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</si>
  <si>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</si>
  <si>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</si>
  <si>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</si>
  <si>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</si>
  <si>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</si>
  <si>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</si>
  <si>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</si>
  <si>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</si>
  <si>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</si>
  <si>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</si>
  <si>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</si>
  <si>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</si>
  <si>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</si>
  <si>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</si>
  <si>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</si>
  <si>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</si>
  <si>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</si>
  <si>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</si>
  <si>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</si>
  <si>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</si>
  <si>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</si>
  <si>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</si>
  <si>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</si>
  <si>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</si>
  <si>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</si>
  <si>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</si>
  <si>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</si>
  <si>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</si>
  <si>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</si>
  <si>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</si>
  <si>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</si>
  <si>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</si>
  <si>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</si>
  <si>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</si>
  <si>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</si>
  <si>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</si>
  <si>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</si>
  <si>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</si>
  <si>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</si>
  <si>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</si>
  <si>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</si>
  <si>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</si>
  <si>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</si>
  <si>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</si>
  <si>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</si>
  <si>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</si>
  <si>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</si>
  <si>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</si>
  <si>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</si>
  <si>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</si>
  <si>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</si>
  <si>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</si>
  <si>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</si>
  <si>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</si>
  <si>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</si>
  <si>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</si>
  <si>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</si>
  <si>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</si>
  <si>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</si>
  <si>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</si>
  <si>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</si>
  <si>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</si>
  <si>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</si>
  <si>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</si>
  <si>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</si>
  <si>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</si>
  <si>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</si>
  <si>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</si>
  <si>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</si>
  <si>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</si>
  <si>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</si>
  <si>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</si>
  <si>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</si>
  <si>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</si>
  <si>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</si>
  <si>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</si>
  <si>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</si>
  <si>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</si>
  <si>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</si>
  <si>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</si>
  <si>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</si>
  <si>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</si>
  <si>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</si>
  <si>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</si>
  <si>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</si>
  <si>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</si>
  <si>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</si>
  <si>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</si>
  <si>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</si>
  <si>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</si>
  <si>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</si>
  <si>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</si>
  <si>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</si>
  <si>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</si>
  <si>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</si>
  <si>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</si>
  <si>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</si>
  <si>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</si>
  <si>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</si>
  <si>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</si>
  <si>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</si>
  <si>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</si>
  <si>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</si>
  <si>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</si>
  <si>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</si>
  <si>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</si>
  <si>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</si>
  <si>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</si>
  <si>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</si>
  <si>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</si>
  <si>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</si>
  <si>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</si>
  <si>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</si>
  <si>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</si>
  <si>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</si>
  <si>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</si>
  <si>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</si>
  <si>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</si>
  <si>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</si>
  <si>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</si>
  <si>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</si>
  <si>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</si>
  <si>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</si>
  <si>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</si>
  <si>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</si>
  <si>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</si>
  <si>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</si>
  <si>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</si>
  <si>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</si>
  <si>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</si>
  <si>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</si>
  <si>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</si>
  <si>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</si>
  <si>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</si>
  <si>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</si>
  <si>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</si>
  <si>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</si>
  <si>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</si>
  <si>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</si>
  <si>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</si>
  <si>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</si>
  <si>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</si>
  <si>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</si>
  <si>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</si>
  <si>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</si>
  <si>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</si>
  <si>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</si>
  <si>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</si>
  <si>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</si>
  <si>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</si>
  <si>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</si>
  <si>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</si>
  <si>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</si>
  <si>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</si>
  <si>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</si>
  <si>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</si>
  <si>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</si>
  <si>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</si>
  <si>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</si>
  <si>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</si>
  <si>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</si>
  <si>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</si>
  <si>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</si>
  <si>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</si>
  <si>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</si>
  <si>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</si>
  <si>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</si>
  <si>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</si>
  <si>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</si>
  <si>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</si>
  <si>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</si>
  <si>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</si>
  <si>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</si>
  <si>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</si>
  <si>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</si>
  <si>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</si>
  <si>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</si>
  <si>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</si>
  <si>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</si>
  <si>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</si>
  <si>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</si>
  <si>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</si>
  <si>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</si>
  <si>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</si>
  <si>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</si>
  <si>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</si>
  <si>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</si>
  <si>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</si>
  <si>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</si>
  <si>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</si>
  <si>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</si>
  <si>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</si>
  <si>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</si>
  <si>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</si>
  <si>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</si>
  <si>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</si>
  <si>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</si>
  <si>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</si>
  <si>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</si>
  <si>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</si>
  <si>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</si>
  <si>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</si>
  <si>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</si>
  <si>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</si>
  <si>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</si>
  <si>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</si>
  <si>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</si>
  <si>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</si>
  <si>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</si>
  <si>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</si>
  <si>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</si>
  <si>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</si>
  <si>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</si>
  <si>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</si>
  <si>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</si>
  <si>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</si>
  <si>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</si>
  <si>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</si>
  <si>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</si>
  <si>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</si>
  <si>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</si>
  <si>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</si>
  <si>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</si>
  <si>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</si>
  <si>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</si>
  <si>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</si>
  <si>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</si>
  <si>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</si>
  <si>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</si>
  <si>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</si>
  <si>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</si>
  <si>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</si>
  <si>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</si>
  <si>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</si>
  <si>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</si>
  <si>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</si>
  <si>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</si>
  <si>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</si>
  <si>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</si>
  <si>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</si>
  <si>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</si>
  <si>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</si>
  <si>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</si>
  <si>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</si>
  <si>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</si>
  <si>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</si>
  <si>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</si>
  <si>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</si>
  <si>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</si>
  <si>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</si>
  <si>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</si>
  <si>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</si>
  <si>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</si>
  <si>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</si>
  <si>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</si>
  <si>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</si>
  <si>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</si>
  <si>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</si>
  <si>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</si>
  <si>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</si>
  <si>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</si>
  <si>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</si>
  <si>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</si>
  <si>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</si>
  <si>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</si>
  <si>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</si>
  <si>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</si>
  <si>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</si>
  <si>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</si>
  <si>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</si>
  <si>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</si>
  <si>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</si>
  <si>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</si>
  <si>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</si>
  <si>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</si>
  <si>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</si>
  <si>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</si>
  <si>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</si>
  <si>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</si>
  <si>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</si>
  <si>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</si>
  <si>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</si>
  <si>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</si>
  <si>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</si>
  <si>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</si>
  <si>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</si>
  <si>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</si>
  <si>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</si>
  <si>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</si>
  <si>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</si>
  <si>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</si>
  <si>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</si>
  <si>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</si>
  <si>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</si>
  <si>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</si>
  <si>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</si>
  <si>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</si>
  <si>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</si>
  <si>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</si>
  <si>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</si>
  <si>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</si>
  <si>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</si>
  <si>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</si>
  <si>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</si>
  <si>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</si>
  <si>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</si>
  <si>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</si>
  <si>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</si>
  <si>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</si>
  <si>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</si>
  <si>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</si>
  <si>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</si>
  <si>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</si>
  <si>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</si>
  <si>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</si>
  <si>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</si>
  <si>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</si>
  <si>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</si>
  <si>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</si>
  <si>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</si>
  <si>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</si>
  <si>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</si>
  <si>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</si>
  <si>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</si>
  <si>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</si>
  <si>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</si>
  <si>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</si>
  <si>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</si>
  <si>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</si>
  <si>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</si>
  <si>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</si>
  <si>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</si>
  <si>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</si>
  <si>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</si>
  <si>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</si>
  <si>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</si>
  <si>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</si>
  <si>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</si>
  <si>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</si>
  <si>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</si>
  <si>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</si>
  <si>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</si>
  <si>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</si>
  <si>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</si>
  <si>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</si>
  <si>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</si>
  <si>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</si>
  <si>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</si>
  <si>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</si>
  <si>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</si>
  <si>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</si>
  <si>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</si>
  <si>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</si>
  <si>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</si>
  <si>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</si>
  <si>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</si>
  <si>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</si>
  <si>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</si>
  <si>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</si>
  <si>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</si>
  <si>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</si>
  <si>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</si>
  <si>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</si>
  <si>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</si>
  <si>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</si>
  <si>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</si>
  <si>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</si>
  <si>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</si>
  <si>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</si>
  <si>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</si>
  <si>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</si>
  <si>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</si>
  <si>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</si>
  <si>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</si>
  <si>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</si>
  <si>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</si>
  <si>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</si>
  <si>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</si>
  <si>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</si>
  <si>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</si>
  <si>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</si>
  <si>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</si>
  <si>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</si>
  <si>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</si>
  <si>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</si>
  <si>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</si>
  <si>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</si>
  <si>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</si>
  <si>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</si>
  <si>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</si>
  <si>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</si>
  <si>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</si>
  <si>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</si>
  <si>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</si>
  <si>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</si>
  <si>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</si>
  <si>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</si>
  <si>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</si>
  <si>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</si>
  <si>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</si>
  <si>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</si>
  <si>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</si>
  <si>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</si>
  <si>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</si>
  <si>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</si>
  <si>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</si>
  <si>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</si>
  <si>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</si>
  <si>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</si>
  <si>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</si>
  <si>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</si>
  <si>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</si>
  <si>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</si>
  <si>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</si>
  <si>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</si>
  <si>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</si>
  <si>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</si>
  <si>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</si>
  <si>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</si>
  <si>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</si>
  <si>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</si>
  <si>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</si>
  <si>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</si>
  <si>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</si>
  <si>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</si>
  <si>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</si>
  <si>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</si>
  <si>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</si>
  <si>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</si>
  <si>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</si>
  <si>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</si>
  <si>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</si>
  <si>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</si>
  <si>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</si>
  <si>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</si>
  <si>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</si>
  <si>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</si>
  <si>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</si>
  <si>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</si>
  <si>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</si>
  <si>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</si>
  <si>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</si>
  <si>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</si>
  <si>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</si>
  <si>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</si>
  <si>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</si>
  <si>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</si>
  <si>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</si>
  <si>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</si>
  <si>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</si>
  <si>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</si>
  <si>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</si>
  <si>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</si>
  <si>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</si>
  <si>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</si>
  <si>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</si>
  <si>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</si>
  <si>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</si>
  <si>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</si>
  <si>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</si>
  <si>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</si>
  <si>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</si>
  <si>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</si>
  <si>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</si>
  <si>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</si>
  <si>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</si>
  <si>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</si>
  <si>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</si>
  <si>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</si>
  <si>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</si>
  <si>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</si>
  <si>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</si>
  <si>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</si>
  <si>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</si>
  <si>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</si>
  <si>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</si>
  <si>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</si>
  <si>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</si>
  <si>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</si>
  <si>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</si>
  <si>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</si>
  <si>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</si>
  <si>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</si>
  <si>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</si>
  <si>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</si>
  <si>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</si>
  <si>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</si>
  <si>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</si>
  <si>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</si>
  <si>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</si>
  <si>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</si>
  <si>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</si>
  <si>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</si>
  <si>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</si>
  <si>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</si>
  <si>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</si>
  <si>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</si>
  <si>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</si>
  <si>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</si>
  <si>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</si>
  <si>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</si>
  <si>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</si>
  <si>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</si>
  <si>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</si>
  <si>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</si>
  <si>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</si>
  <si>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</si>
  <si>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</si>
  <si>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</si>
  <si>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</si>
  <si>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</si>
  <si>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</si>
  <si>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</si>
  <si>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</si>
  <si>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</si>
  <si>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</si>
  <si>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</si>
  <si>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</si>
  <si>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</si>
  <si>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</si>
  <si>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</si>
  <si>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</si>
  <si>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</si>
  <si>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</si>
  <si>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</si>
  <si>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</si>
  <si>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</si>
  <si>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</si>
  <si>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</si>
  <si>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</si>
  <si>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</si>
  <si>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</si>
  <si>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</si>
  <si>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</si>
  <si>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</si>
  <si>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</si>
  <si>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</si>
  <si>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</si>
  <si>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</si>
  <si>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</si>
  <si>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</si>
  <si>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</si>
  <si>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</si>
  <si>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</si>
  <si>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</si>
  <si>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</si>
  <si>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</si>
  <si>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</si>
  <si>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</si>
  <si>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</si>
  <si>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</si>
  <si>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</si>
  <si>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</si>
  <si>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</si>
  <si>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</si>
  <si>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</si>
  <si>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</si>
  <si>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</si>
  <si>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</si>
  <si>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</si>
  <si>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</si>
  <si>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</si>
  <si>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</si>
  <si>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</si>
  <si>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</si>
  <si>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</si>
  <si>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</si>
  <si>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</si>
  <si>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</si>
  <si>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</si>
  <si>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</si>
  <si>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</si>
  <si>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</si>
  <si>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</si>
  <si>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</si>
  <si>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</si>
  <si>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</si>
  <si>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</si>
  <si>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</si>
  <si>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</si>
  <si>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</si>
  <si>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</si>
  <si>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</si>
  <si>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</si>
  <si>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</si>
  <si>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</si>
  <si>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</si>
  <si>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</si>
  <si>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</si>
  <si>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</si>
  <si>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</si>
  <si>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</si>
  <si>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</si>
  <si>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</si>
  <si>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</si>
  <si>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</si>
  <si>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</si>
  <si>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</si>
  <si>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</si>
  <si>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</si>
  <si>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</si>
  <si>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</si>
  <si>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</si>
  <si>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</si>
  <si>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</si>
  <si>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</si>
  <si>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</si>
  <si>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</si>
  <si>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</si>
  <si>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</si>
  <si>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</si>
  <si>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</si>
  <si>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</si>
  <si>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</si>
  <si>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</si>
  <si>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</si>
  <si>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</si>
  <si>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</si>
  <si>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</si>
  <si>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</si>
  <si>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</si>
  <si>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</si>
  <si>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</si>
  <si>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</si>
  <si>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</si>
  <si>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</si>
  <si>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</si>
  <si>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</si>
  <si>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</si>
  <si>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</si>
  <si>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</si>
  <si>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</si>
  <si>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</si>
  <si>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</si>
  <si>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</si>
  <si>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</si>
  <si>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</si>
  <si>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</si>
  <si>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</si>
  <si>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</si>
  <si>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</si>
  <si>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</si>
  <si>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</si>
  <si>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</si>
  <si>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</si>
  <si>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</si>
  <si>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</si>
  <si>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</si>
  <si>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</si>
  <si>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</si>
  <si>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</si>
  <si>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</si>
  <si>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</si>
  <si>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</si>
  <si>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</si>
  <si>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</si>
  <si>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</si>
  <si>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</si>
  <si>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</si>
  <si>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</si>
  <si>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</si>
  <si>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</si>
  <si>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</si>
  <si>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</si>
  <si>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</si>
  <si>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</si>
  <si>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</si>
  <si>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</si>
  <si>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</si>
  <si>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</si>
  <si>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</si>
  <si>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</si>
  <si>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</si>
  <si>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</si>
  <si>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</si>
  <si>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</si>
  <si>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</si>
  <si>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</si>
  <si>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</si>
  <si>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</si>
  <si>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</si>
  <si>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</si>
  <si>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</si>
  <si>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</si>
  <si>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</si>
  <si>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</si>
  <si>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</si>
  <si>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</si>
  <si>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</si>
  <si>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</si>
  <si>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</si>
  <si>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</si>
  <si>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</si>
  <si>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</si>
  <si>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</si>
  <si>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</si>
  <si>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</si>
  <si>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</si>
  <si>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</si>
  <si>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</si>
  <si>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</si>
  <si>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</si>
  <si>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</si>
  <si>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</si>
  <si>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</si>
  <si>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</si>
  <si>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</si>
  <si>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</si>
  <si>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</si>
  <si>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</si>
  <si>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</si>
  <si>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</si>
  <si>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</si>
  <si>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</si>
  <si>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</si>
  <si>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</si>
  <si>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</si>
  <si>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</si>
  <si>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</si>
  <si>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</si>
  <si>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</si>
  <si>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</si>
  <si>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</si>
  <si>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</si>
  <si>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</si>
  <si>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</si>
  <si>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</si>
  <si>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</si>
  <si>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</si>
  <si>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</si>
  <si>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</si>
  <si>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</si>
  <si>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</si>
  <si>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</si>
  <si>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</si>
  <si>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</si>
  <si>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</si>
  <si>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</si>
  <si>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</si>
  <si>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</si>
  <si>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</si>
  <si>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</si>
  <si>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</si>
  <si>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</si>
  <si>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</si>
  <si>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</si>
  <si>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</si>
  <si>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</si>
  <si>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</si>
  <si>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</si>
  <si>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</si>
  <si>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</si>
  <si>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</si>
  <si>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</si>
  <si>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</si>
  <si>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</si>
  <si>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</si>
  <si>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</si>
  <si>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</si>
  <si>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</si>
  <si>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</si>
  <si>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</si>
  <si>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</si>
  <si>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</si>
  <si>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</si>
  <si>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</si>
  <si>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</si>
  <si>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</si>
  <si>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</si>
  <si>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</si>
  <si>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</si>
  <si>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</si>
  <si>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</si>
  <si>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</si>
  <si>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</si>
  <si>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</si>
  <si>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</si>
  <si>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</si>
  <si>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</si>
  <si>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</si>
  <si>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</si>
  <si>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</si>
  <si>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</si>
  <si>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</si>
  <si>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</si>
  <si>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</si>
  <si>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</si>
  <si>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</si>
  <si>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</si>
  <si>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</si>
  <si>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</si>
  <si>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</si>
  <si>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</si>
  <si>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</si>
  <si>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</si>
  <si>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</si>
  <si>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</si>
  <si>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</si>
  <si>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</si>
  <si>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</si>
  <si>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</si>
  <si>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</si>
  <si>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</si>
  <si>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</si>
  <si>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</si>
  <si>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</si>
  <si>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</si>
  <si>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</si>
  <si>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</si>
  <si>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</si>
  <si>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</si>
  <si>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</si>
  <si>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</si>
  <si>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</si>
  <si>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</si>
  <si>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</si>
  <si>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</si>
  <si>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</si>
  <si>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</si>
  <si>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</si>
  <si>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</si>
  <si>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</si>
  <si>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</si>
  <si>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</si>
  <si>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</si>
  <si>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</si>
  <si>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</si>
  <si>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</si>
  <si>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</si>
  <si>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</si>
  <si>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</si>
  <si>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</si>
  <si>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</si>
  <si>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</si>
  <si>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</si>
  <si>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</si>
  <si>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</si>
  <si>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</si>
  <si>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</si>
  <si>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</si>
  <si>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</si>
  <si>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</si>
  <si>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</si>
  <si>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</si>
  <si>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</si>
  <si>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</si>
  <si>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</si>
  <si>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</si>
  <si>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</si>
  <si>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</si>
  <si>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</si>
  <si>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</si>
  <si>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</si>
  <si>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</si>
  <si>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</si>
  <si>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</si>
  <si>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</si>
  <si>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</si>
  <si>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</si>
  <si>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</si>
  <si>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</si>
  <si>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</si>
  <si>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</si>
  <si>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</si>
  <si>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</si>
  <si>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</si>
  <si>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</si>
  <si>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</si>
  <si>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</si>
  <si>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</si>
  <si>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</si>
  <si>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</si>
  <si>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</si>
  <si>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</si>
  <si>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</si>
  <si>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</si>
  <si>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</si>
  <si>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</si>
  <si>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</si>
  <si>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</si>
  <si>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</si>
  <si>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</si>
  <si>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</si>
  <si>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</si>
  <si>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</si>
  <si>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</si>
  <si>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</si>
  <si>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</si>
  <si>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</si>
  <si>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</si>
  <si>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</si>
  <si>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</si>
  <si>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</si>
  <si>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</si>
  <si>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</si>
  <si>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</si>
  <si>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</si>
  <si>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</si>
  <si>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</si>
  <si>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</si>
  <si>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</si>
  <si>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</si>
  <si>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</si>
  <si>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</si>
  <si>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</si>
  <si>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</si>
  <si>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</si>
  <si>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</si>
  <si>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</si>
  <si>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</si>
  <si>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</si>
  <si>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</si>
  <si>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</si>
  <si>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</si>
  <si>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</si>
  <si>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</si>
  <si>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</si>
  <si>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</si>
  <si>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</si>
  <si>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</si>
  <si>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</si>
  <si>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</si>
  <si>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</si>
  <si>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</si>
  <si>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</si>
  <si>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</si>
  <si>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</si>
  <si>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</si>
  <si>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</si>
  <si>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</si>
  <si>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</si>
  <si>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</si>
  <si>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</si>
  <si>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</si>
  <si>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</si>
  <si>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</si>
  <si>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</si>
  <si>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</si>
  <si>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</si>
  <si>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</si>
  <si>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</si>
  <si>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</si>
  <si>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</si>
  <si>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</si>
  <si>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</si>
  <si>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</si>
  <si>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</si>
  <si>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</si>
  <si>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</si>
  <si>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</si>
  <si>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</si>
  <si>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</si>
  <si>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</si>
  <si>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</si>
  <si>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</si>
  <si>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</si>
  <si>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</si>
  <si>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</si>
  <si>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</si>
  <si>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</si>
  <si>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</si>
  <si>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</si>
  <si>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</si>
  <si>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</si>
  <si>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</si>
  <si>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</si>
  <si>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</si>
  <si>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</si>
  <si>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</si>
  <si>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</si>
  <si>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</si>
  <si>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</si>
  <si>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</si>
  <si>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</si>
  <si>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</si>
  <si>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</si>
  <si>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</si>
  <si>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</si>
  <si>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</si>
  <si>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</si>
  <si>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</si>
  <si>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</si>
  <si>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</si>
  <si>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</si>
  <si>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</si>
  <si>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</si>
  <si>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</si>
  <si>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</si>
  <si>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</si>
  <si>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</si>
  <si>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</si>
  <si>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</si>
  <si>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</si>
  <si>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</si>
  <si>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</si>
  <si>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</si>
  <si>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</si>
  <si>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</si>
  <si>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</si>
  <si>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</si>
  <si>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</si>
  <si>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</si>
  <si>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</si>
  <si>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</si>
  <si>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</si>
  <si>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</si>
  <si>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</si>
  <si>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</si>
  <si>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</si>
  <si>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</si>
  <si>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</si>
  <si>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</si>
  <si>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</si>
  <si>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</si>
  <si>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</si>
  <si>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</si>
  <si>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</si>
  <si>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</si>
  <si>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</si>
  <si>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</si>
  <si>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</si>
  <si>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</si>
  <si>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</si>
  <si>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</si>
  <si>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</si>
  <si>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</si>
  <si>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</si>
  <si>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</si>
  <si>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</si>
  <si>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</si>
  <si>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</si>
  <si>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</si>
  <si>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</si>
  <si>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</si>
  <si>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</si>
  <si>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</si>
  <si>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</si>
  <si>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</si>
  <si>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</si>
  <si>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</si>
  <si>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</si>
  <si>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</si>
  <si>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</si>
  <si>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</si>
  <si>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</si>
  <si>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</si>
  <si>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</si>
  <si>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</si>
  <si>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</si>
  <si>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</si>
  <si>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</si>
  <si>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</si>
  <si>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</si>
  <si>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</si>
  <si>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</si>
  <si>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</si>
  <si>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</si>
  <si>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</si>
  <si>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</si>
  <si>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</si>
  <si>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</si>
  <si>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</si>
  <si>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</si>
  <si>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</si>
  <si>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</si>
  <si>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</si>
  <si>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</si>
  <si>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</si>
  <si>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</si>
  <si>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</si>
  <si>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</si>
  <si>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</si>
  <si>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</si>
  <si>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</si>
  <si>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</si>
  <si>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</si>
  <si>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</si>
  <si>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</si>
  <si>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</si>
  <si>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</si>
  <si>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</si>
  <si>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</si>
  <si>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</si>
  <si>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</si>
  <si>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</si>
  <si>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</si>
  <si>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</si>
  <si>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</si>
  <si>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</si>
  <si>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</si>
  <si>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</si>
  <si>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</si>
  <si>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</si>
  <si>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</si>
  <si>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</si>
  <si>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</si>
  <si>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</si>
  <si>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</si>
  <si>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</si>
  <si>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</si>
  <si>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</si>
  <si>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</si>
  <si>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</si>
  <si>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</si>
  <si>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</si>
  <si>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</si>
  <si>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</si>
  <si>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</si>
  <si>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</si>
  <si>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</si>
  <si>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</si>
  <si>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</si>
  <si>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</si>
  <si>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</si>
  <si>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</si>
  <si>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</si>
  <si>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</si>
  <si>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</si>
  <si>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</si>
  <si>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</si>
  <si>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</si>
  <si>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</si>
  <si>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</si>
  <si>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</si>
  <si>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</si>
  <si>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</si>
  <si>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</si>
  <si>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</si>
  <si>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</si>
  <si>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</si>
  <si>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</si>
  <si>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</si>
  <si>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</si>
  <si>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</si>
  <si>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</si>
  <si>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</si>
  <si>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</si>
  <si>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</si>
  <si>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</si>
  <si>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</si>
  <si>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</si>
  <si>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</si>
  <si>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</si>
  <si>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</si>
  <si>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</si>
  <si>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</si>
  <si>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</si>
  <si>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</si>
  <si>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</si>
  <si>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</si>
  <si>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</si>
  <si>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</si>
  <si>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</si>
  <si>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</si>
  <si>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</si>
  <si>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</si>
  <si>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</si>
  <si>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</si>
  <si>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</si>
  <si>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</si>
  <si>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</si>
  <si>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</si>
  <si>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</si>
  <si>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</si>
  <si>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</si>
  <si>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</si>
  <si>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</si>
  <si>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</si>
  <si>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</si>
  <si>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</si>
  <si>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</si>
  <si>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</si>
  <si>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</si>
  <si>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</si>
  <si>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</si>
  <si>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</si>
  <si>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</si>
  <si>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</si>
  <si>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</si>
  <si>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</si>
  <si>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</si>
  <si>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</si>
  <si>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</si>
  <si>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</si>
  <si>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</si>
  <si>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</si>
  <si>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</si>
  <si>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</si>
  <si>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</si>
  <si>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</si>
  <si>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</si>
  <si>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</si>
  <si>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</si>
  <si>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</si>
  <si>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</si>
  <si>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</si>
  <si>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</si>
  <si>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</si>
  <si>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</si>
  <si>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</si>
  <si>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</si>
  <si>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</si>
  <si>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</si>
  <si>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</si>
  <si>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</si>
  <si>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</si>
  <si>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</si>
  <si>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</si>
  <si>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</si>
  <si>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</si>
  <si>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</si>
  <si>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</si>
  <si>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</si>
  <si>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</si>
  <si>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</si>
  <si>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</si>
  <si>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</si>
  <si>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</si>
  <si>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</si>
  <si>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</si>
  <si>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</si>
  <si>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</si>
  <si>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</si>
  <si>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</si>
  <si>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</si>
  <si>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</si>
  <si>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</si>
  <si>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</si>
  <si>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</si>
  <si>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</si>
  <si>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</si>
  <si>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</si>
  <si>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</si>
  <si>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</si>
  <si>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</si>
  <si>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</si>
  <si>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</si>
  <si>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</si>
  <si>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</si>
  <si>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</si>
  <si>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</si>
  <si>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</si>
  <si>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</si>
  <si>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</si>
  <si>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</si>
  <si>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</si>
  <si>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</si>
  <si>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</si>
  <si>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</si>
  <si>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</si>
  <si>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</si>
  <si>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</si>
  <si>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</si>
  <si>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</si>
  <si>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</si>
  <si>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</si>
  <si>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</si>
  <si>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</si>
  <si>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</si>
  <si>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</si>
  <si>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</si>
  <si>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</si>
  <si>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</si>
  <si>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</si>
  <si>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</si>
  <si>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</si>
  <si>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</si>
  <si>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</si>
  <si>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</si>
  <si>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</si>
  <si>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</si>
  <si>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</si>
  <si>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</si>
  <si>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</si>
  <si>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</si>
  <si>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</si>
  <si>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</si>
  <si>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</si>
  <si>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</si>
  <si>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</si>
  <si>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</si>
  <si>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</si>
  <si>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</si>
  <si>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</si>
  <si>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</si>
  <si>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</si>
  <si>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</si>
  <si>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</si>
  <si>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</si>
  <si>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</si>
  <si>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</si>
  <si>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</si>
  <si>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</si>
  <si>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</si>
  <si>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</si>
  <si>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</si>
  <si>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</si>
  <si>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</si>
  <si>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</si>
  <si>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</si>
  <si>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</si>
  <si>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</si>
  <si>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</si>
  <si>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</si>
  <si>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</si>
  <si>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</si>
  <si>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</si>
  <si>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</si>
  <si>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</si>
  <si>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</si>
  <si>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</si>
  <si>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</si>
  <si>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</si>
  <si>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</si>
  <si>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</si>
  <si>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</si>
  <si>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</si>
  <si>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</si>
  <si>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</si>
  <si>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</si>
  <si>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</si>
  <si>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</si>
  <si>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</si>
  <si>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</si>
  <si>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</si>
  <si>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</si>
  <si>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</si>
  <si>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</si>
  <si>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</si>
  <si>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</si>
  <si>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</si>
  <si>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</si>
  <si>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</si>
  <si>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</si>
  <si>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</si>
  <si>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</si>
  <si>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</si>
  <si>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</si>
  <si>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</si>
  <si>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</si>
  <si>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</si>
  <si>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</si>
  <si>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</si>
  <si>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</si>
  <si>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</si>
  <si>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</si>
  <si>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</si>
  <si>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</si>
  <si>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</si>
  <si>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</si>
  <si>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</si>
  <si>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</si>
  <si>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</si>
  <si>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</si>
  <si>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</si>
  <si>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</si>
  <si>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</si>
  <si>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</si>
  <si>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</si>
  <si>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</si>
  <si>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</si>
  <si>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</si>
  <si>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</si>
  <si>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</si>
  <si>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</si>
  <si>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</si>
  <si>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</si>
  <si>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</si>
  <si>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</si>
  <si>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</si>
  <si>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</si>
  <si>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</si>
  <si>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</si>
  <si>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</si>
  <si>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</si>
  <si>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</si>
  <si>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</si>
  <si>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</si>
  <si>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</si>
  <si>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</si>
  <si>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</si>
  <si>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</si>
  <si>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</si>
  <si>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</si>
  <si>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</si>
  <si>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</si>
  <si>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</si>
  <si>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</si>
  <si>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</si>
  <si>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</si>
  <si>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</si>
  <si>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</si>
  <si>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</si>
  <si>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</si>
  <si>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</si>
  <si>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</si>
  <si>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</si>
  <si>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</si>
  <si>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</si>
  <si>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</si>
  <si>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</si>
  <si>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</si>
  <si>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</si>
  <si>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</si>
  <si>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</si>
  <si>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</si>
  <si>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</si>
  <si>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</si>
  <si>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</si>
  <si>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</si>
  <si>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</si>
  <si>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</si>
  <si>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</si>
  <si>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</si>
  <si>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</si>
  <si>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</si>
  <si>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</si>
  <si>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</si>
  <si>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</si>
  <si>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</si>
  <si>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</si>
  <si>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</si>
  <si>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</si>
  <si>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</si>
  <si>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</si>
  <si>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</si>
  <si>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</si>
  <si>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</si>
  <si>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</si>
  <si>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</si>
  <si>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</si>
  <si>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</si>
  <si>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</si>
  <si>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</si>
  <si>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</si>
  <si>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</si>
  <si>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</si>
  <si>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</si>
  <si>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</si>
  <si>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</si>
  <si>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</si>
  <si>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</si>
  <si>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</si>
  <si>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</si>
  <si>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</si>
  <si>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</si>
  <si>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</si>
  <si>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</si>
  <si>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</si>
  <si>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</si>
  <si>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</si>
  <si>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</si>
  <si>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</si>
  <si>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</si>
  <si>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</si>
  <si>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</si>
  <si>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</si>
  <si>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</si>
  <si>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</si>
  <si>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</si>
  <si>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</si>
  <si>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</si>
  <si>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</si>
  <si>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</si>
  <si>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</si>
  <si>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</si>
  <si>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</si>
  <si>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</si>
  <si>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</si>
  <si>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</si>
  <si>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</si>
  <si>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</si>
  <si>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</si>
  <si>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</si>
  <si>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</si>
  <si>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</si>
  <si>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</si>
  <si>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</si>
  <si>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</si>
  <si>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</si>
  <si>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</si>
  <si>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</si>
  <si>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</si>
  <si>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</si>
  <si>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</si>
  <si>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</si>
  <si>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</si>
  <si>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</si>
  <si>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</si>
  <si>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</si>
  <si>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</si>
  <si>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</si>
  <si>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</si>
  <si>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</si>
  <si>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</si>
  <si>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</si>
  <si>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</si>
  <si>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</si>
  <si>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</si>
  <si>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</si>
  <si>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</si>
  <si>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</si>
  <si>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</si>
  <si>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</si>
  <si>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</si>
  <si>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</si>
  <si>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</si>
  <si>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</si>
  <si>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</si>
  <si>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</si>
  <si>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</si>
  <si>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</si>
  <si>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</si>
  <si>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</si>
  <si>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</si>
  <si>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</si>
  <si>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</si>
  <si>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</si>
  <si>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</si>
  <si>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</si>
  <si>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</si>
  <si>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</si>
  <si>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</si>
  <si>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</si>
  <si>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</si>
  <si>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</si>
  <si>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</si>
  <si>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</si>
  <si>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</si>
  <si>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</si>
  <si>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</si>
  <si>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</si>
  <si>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</si>
  <si>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</si>
  <si>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</si>
  <si>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</si>
  <si>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</si>
  <si>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</si>
  <si>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</si>
  <si>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</si>
  <si>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</si>
  <si>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</si>
  <si>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</si>
  <si>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</si>
  <si>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</si>
  <si>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</si>
  <si>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</si>
  <si>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</si>
  <si>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</si>
  <si>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</si>
  <si>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</si>
  <si>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</si>
  <si>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</si>
  <si>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</si>
  <si>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</si>
  <si>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</si>
  <si>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</si>
  <si>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</si>
  <si>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</si>
  <si>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</si>
  <si>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</si>
  <si>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</si>
  <si>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</si>
  <si>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</si>
  <si>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</si>
  <si>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</si>
  <si>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</si>
  <si>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</si>
  <si>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</si>
  <si>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</si>
  <si>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</si>
  <si>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</si>
  <si>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</si>
  <si>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</si>
  <si>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</si>
  <si>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</si>
  <si>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</si>
  <si>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</si>
  <si>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</si>
  <si>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</si>
  <si>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</si>
  <si>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</si>
  <si>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</si>
  <si>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</si>
  <si>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</si>
  <si>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</si>
  <si>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</si>
  <si>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</si>
  <si>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</si>
  <si>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</si>
  <si>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</si>
  <si>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</si>
  <si>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</si>
  <si>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</si>
  <si>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</si>
  <si>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</si>
  <si>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</si>
  <si>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</si>
  <si>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</si>
  <si>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</si>
  <si>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</si>
  <si>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</si>
  <si>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</si>
  <si>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</si>
  <si>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</si>
  <si>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</si>
  <si>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</si>
  <si>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</si>
  <si>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</si>
  <si>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</si>
  <si>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</si>
  <si>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</si>
  <si>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</si>
  <si>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</si>
  <si>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</si>
  <si>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</si>
  <si>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</si>
  <si>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</si>
  <si>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</si>
  <si>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</si>
  <si>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</si>
  <si>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</si>
  <si>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</si>
  <si>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</si>
  <si>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</si>
  <si>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</si>
  <si>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</si>
  <si>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</si>
  <si>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</si>
  <si>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</si>
  <si>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</si>
  <si>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</si>
  <si>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</si>
  <si>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</si>
  <si>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</si>
  <si>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</si>
  <si>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</si>
  <si>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</si>
  <si>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</si>
  <si>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</si>
  <si>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</si>
  <si>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</si>
  <si>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</si>
  <si>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</si>
  <si>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</si>
  <si>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</si>
  <si>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</si>
  <si>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</si>
  <si>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</si>
  <si>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</si>
  <si>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</si>
  <si>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</si>
  <si>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</si>
  <si>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</si>
  <si>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</si>
  <si>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</si>
  <si>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</si>
  <si>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</si>
  <si>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</si>
  <si>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</si>
  <si>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</si>
  <si>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</si>
  <si>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</si>
  <si>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</si>
  <si>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</si>
  <si>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</si>
  <si>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</si>
  <si>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</si>
  <si>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</si>
  <si>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</si>
  <si>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</si>
  <si>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</si>
  <si>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</si>
  <si>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</si>
  <si>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</si>
  <si>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</si>
  <si>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</si>
  <si>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</si>
  <si>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</si>
  <si>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</si>
  <si>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</si>
  <si>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</si>
  <si>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</si>
  <si>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</si>
  <si>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</si>
  <si>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</si>
  <si>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</si>
  <si>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</si>
  <si>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</si>
  <si>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</si>
  <si>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</si>
  <si>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</si>
  <si>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</si>
  <si>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</si>
  <si>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</si>
  <si>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</si>
  <si>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</si>
  <si>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</si>
  <si>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</si>
  <si>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</si>
  <si>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</si>
  <si>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</si>
  <si>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</si>
  <si>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</si>
  <si>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</si>
  <si>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</si>
  <si>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</si>
  <si>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</si>
  <si>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</si>
  <si>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</si>
  <si>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</si>
  <si>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</si>
  <si>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</si>
  <si>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</si>
  <si>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</si>
  <si>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</si>
  <si>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</si>
  <si>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</si>
  <si>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</si>
  <si>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</si>
  <si>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</si>
  <si>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</si>
  <si>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</si>
  <si>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</si>
  <si>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</si>
  <si>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</si>
  <si>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</si>
  <si>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</si>
  <si>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</si>
  <si>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</si>
  <si>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</si>
  <si>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</si>
  <si>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</si>
  <si>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</si>
  <si>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</si>
  <si>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</si>
  <si>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</si>
  <si>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</si>
  <si>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</si>
  <si>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</si>
  <si>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</si>
  <si>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</si>
  <si>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</si>
  <si>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</si>
  <si>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</si>
  <si>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</si>
  <si>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</si>
  <si>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</si>
  <si>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</si>
  <si>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</si>
  <si>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</si>
  <si>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</si>
  <si>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</si>
  <si>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</si>
  <si>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</si>
  <si>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</si>
  <si>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</si>
  <si>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</si>
  <si>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</si>
  <si>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</si>
  <si>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</si>
  <si>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</si>
  <si>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</si>
  <si>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</si>
  <si>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</si>
  <si>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</si>
  <si>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</si>
  <si>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</si>
  <si>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</si>
  <si>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</si>
  <si>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</si>
  <si>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</si>
  <si>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</si>
  <si>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</si>
  <si>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</si>
  <si>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</si>
  <si>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</si>
  <si>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</si>
  <si>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</si>
  <si>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</si>
  <si>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</si>
  <si>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</si>
  <si>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</si>
  <si>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</si>
  <si>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</si>
  <si>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</si>
  <si>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</si>
  <si>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</si>
  <si>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</si>
  <si>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</si>
  <si>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</si>
  <si>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</si>
  <si>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</si>
  <si>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</si>
  <si>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</si>
  <si>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</si>
  <si>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</si>
  <si>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</si>
  <si>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</si>
  <si>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</si>
  <si>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</si>
  <si>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</si>
  <si>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</si>
  <si>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</si>
  <si>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</si>
  <si>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</si>
  <si>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</si>
  <si>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</si>
  <si>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</si>
  <si>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</si>
  <si>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</si>
  <si>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</si>
  <si>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</si>
  <si>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</si>
  <si>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</si>
  <si>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</si>
  <si>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</si>
  <si>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</si>
  <si>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</si>
  <si>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</si>
  <si>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</si>
  <si>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</si>
  <si>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</si>
  <si>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</si>
  <si>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</si>
  <si>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</si>
  <si>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</si>
  <si>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</si>
  <si>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</si>
  <si>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</si>
  <si>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</si>
  <si>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</si>
  <si>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</si>
  <si>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</si>
  <si>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</si>
  <si>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</si>
  <si>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</si>
  <si>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</si>
  <si>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</si>
  <si>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</si>
  <si>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</si>
  <si>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</si>
  <si>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</si>
  <si>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</si>
  <si>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</si>
  <si>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</si>
  <si>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</si>
  <si>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</si>
  <si>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</si>
  <si>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</si>
  <si>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</si>
  <si>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</si>
  <si>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</si>
  <si>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</si>
  <si>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</si>
  <si>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</si>
  <si>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</si>
  <si>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</si>
  <si>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</si>
  <si>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</si>
  <si>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</si>
  <si>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</si>
  <si>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</si>
  <si>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</si>
  <si>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</si>
  <si>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</si>
  <si>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</si>
  <si>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</si>
  <si>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</si>
  <si>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</si>
  <si>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</si>
  <si>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</si>
  <si>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</si>
  <si>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</si>
  <si>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</si>
  <si>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</si>
  <si>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</si>
  <si>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</si>
  <si>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</si>
  <si>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</si>
  <si>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</si>
  <si>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</si>
  <si>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</si>
  <si>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</si>
  <si>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</si>
  <si>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</si>
  <si>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</si>
  <si>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</si>
  <si>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</si>
  <si>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</si>
  <si>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</si>
  <si>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</si>
  <si>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</si>
  <si>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</si>
  <si>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</si>
  <si>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</si>
  <si>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</si>
  <si>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</si>
  <si>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</si>
  <si>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</si>
  <si>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</si>
  <si>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</si>
  <si>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</si>
  <si>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</si>
  <si>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</si>
  <si>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</si>
  <si>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</si>
  <si>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</si>
  <si>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</si>
  <si>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</si>
  <si>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</si>
  <si>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</si>
  <si>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</si>
  <si>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</si>
  <si>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</si>
  <si>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</si>
  <si>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</si>
  <si>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</si>
  <si>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</si>
  <si>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</si>
  <si>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</si>
  <si>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</si>
  <si>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</si>
  <si>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</si>
  <si>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</si>
  <si>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</si>
  <si>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</si>
  <si>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</si>
  <si>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</si>
  <si>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</si>
  <si>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</si>
  <si>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</si>
  <si>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</si>
  <si>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</si>
  <si>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</si>
  <si>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</si>
  <si>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</si>
  <si>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</si>
  <si>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</si>
  <si>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</si>
  <si>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</si>
  <si>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</si>
  <si>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</si>
  <si>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</si>
  <si>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</si>
  <si>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</si>
  <si>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</si>
  <si>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</si>
  <si>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</si>
  <si>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</si>
  <si>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</si>
  <si>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</si>
  <si>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</si>
  <si>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</si>
  <si>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</si>
  <si>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</si>
  <si>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</si>
  <si>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</si>
  <si>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</si>
  <si>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</si>
  <si>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</si>
  <si>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</si>
  <si>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</si>
  <si>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</si>
  <si>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</si>
  <si>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</si>
  <si>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</si>
  <si>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</si>
  <si>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</si>
  <si>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</si>
  <si>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</si>
  <si>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</si>
  <si>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</si>
  <si>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</si>
  <si>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</si>
  <si>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</si>
  <si>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</si>
  <si>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</si>
  <si>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</si>
  <si>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</si>
  <si>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</si>
  <si>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</si>
  <si>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</si>
  <si>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</si>
  <si>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</si>
  <si>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</si>
  <si>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</si>
  <si>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</si>
  <si>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</si>
  <si>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</si>
  <si>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</si>
  <si>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</si>
  <si>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</si>
  <si>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</si>
  <si>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</si>
  <si>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</si>
  <si>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</si>
  <si>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</si>
  <si>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</si>
  <si>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</si>
  <si>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</si>
  <si>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</si>
  <si>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</si>
  <si>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</si>
  <si>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</si>
  <si>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</si>
  <si>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</si>
  <si>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</si>
  <si>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</si>
  <si>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</si>
  <si>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</si>
  <si>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</si>
  <si>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</si>
  <si>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</si>
  <si>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</si>
  <si>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</si>
  <si>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</si>
  <si>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</si>
  <si>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</si>
  <si>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</si>
  <si>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</si>
  <si>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</si>
  <si>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</si>
  <si>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</si>
  <si>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</si>
  <si>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</si>
  <si>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</si>
  <si>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</si>
  <si>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</si>
  <si>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</si>
  <si>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</si>
  <si>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</si>
  <si>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</si>
  <si>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</si>
  <si>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</si>
  <si>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</si>
  <si>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</si>
  <si>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</si>
  <si>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</si>
  <si>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</si>
  <si>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</si>
  <si>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</si>
  <si>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</si>
  <si>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</si>
  <si>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</si>
  <si>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</si>
  <si>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</si>
  <si>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</si>
  <si>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</si>
  <si>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</si>
  <si>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</si>
  <si>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</si>
  <si>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</si>
  <si>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</si>
  <si>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</si>
  <si>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</si>
  <si>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</si>
  <si>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</si>
  <si>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</si>
  <si>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</si>
  <si>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</si>
  <si>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</si>
  <si>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</si>
  <si>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</si>
  <si>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</si>
  <si>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</si>
  <si>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</si>
  <si>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</si>
  <si>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</si>
  <si>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</si>
  <si>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</si>
  <si>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</si>
  <si>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</si>
  <si>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</si>
  <si>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</si>
  <si>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</si>
  <si>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</si>
  <si>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</si>
  <si>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</si>
  <si>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</si>
  <si>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</si>
  <si>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</si>
  <si>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</si>
  <si>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</si>
  <si>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</si>
  <si>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</si>
  <si>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</si>
  <si>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</si>
  <si>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</si>
  <si>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</si>
  <si>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</si>
  <si>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</si>
  <si>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</si>
  <si>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</si>
  <si>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</si>
  <si>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</si>
  <si>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</si>
  <si>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</si>
  <si>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</si>
  <si>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</si>
  <si>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</si>
  <si>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</si>
  <si>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</si>
  <si>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</si>
  <si>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</si>
  <si>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</si>
  <si>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</si>
  <si>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</si>
  <si>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</si>
  <si>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</si>
  <si>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</si>
  <si>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</si>
  <si>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</si>
  <si>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</si>
  <si>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</si>
  <si>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</si>
  <si>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</si>
  <si>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</si>
  <si>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</si>
  <si>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</si>
  <si>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</si>
  <si>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</si>
  <si>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</si>
  <si>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</si>
  <si>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</si>
  <si>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</si>
  <si>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</si>
  <si>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</si>
  <si>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</si>
  <si>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</si>
  <si>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</si>
  <si>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</si>
  <si>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</si>
  <si>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</si>
  <si>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</si>
  <si>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</si>
  <si>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</si>
  <si>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</si>
  <si>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</si>
  <si>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</si>
  <si>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</si>
  <si>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</si>
  <si>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</si>
  <si>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</si>
  <si>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</si>
  <si>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</si>
  <si>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</si>
  <si>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</si>
  <si>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</si>
  <si>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</si>
  <si>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</si>
  <si>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</si>
  <si>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</si>
  <si>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</si>
  <si>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</si>
  <si>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</si>
  <si>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</si>
  <si>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</si>
  <si>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</si>
  <si>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</si>
  <si>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</si>
  <si>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</si>
  <si>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</si>
  <si>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</si>
  <si>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</si>
  <si>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</si>
  <si>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</si>
  <si>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</si>
  <si>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</si>
  <si>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</si>
  <si>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</si>
  <si>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</si>
  <si>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</si>
  <si>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</si>
  <si>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</si>
  <si>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</si>
  <si>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</si>
  <si>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</si>
  <si>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</si>
  <si>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</si>
  <si>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</si>
  <si>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</si>
  <si>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</si>
  <si>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</si>
  <si>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</si>
  <si>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</si>
  <si>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</si>
  <si>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</si>
  <si>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</si>
  <si>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</si>
  <si>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</si>
  <si>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</si>
  <si>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</si>
  <si>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</si>
  <si>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</si>
  <si>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</si>
  <si>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</si>
  <si>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</si>
  <si>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</si>
  <si>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</si>
  <si>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</si>
  <si>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</si>
  <si>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</si>
  <si>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</si>
  <si>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</si>
  <si>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</si>
  <si>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</si>
  <si>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</si>
  <si>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</si>
  <si>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</si>
  <si>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</si>
  <si>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</si>
  <si>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</si>
  <si>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</si>
  <si>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</si>
  <si>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</si>
  <si>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</si>
  <si>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</si>
  <si>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</si>
  <si>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</si>
  <si>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</si>
  <si>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</si>
  <si>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</si>
  <si>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</si>
  <si>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</si>
  <si>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</si>
  <si>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</si>
  <si>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</si>
  <si>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</si>
  <si>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</si>
  <si>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</si>
  <si>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</si>
  <si>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</si>
  <si>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</si>
  <si>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</si>
  <si>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</si>
  <si>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</si>
  <si>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</si>
  <si>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</si>
  <si>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</si>
  <si>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</si>
  <si>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</si>
  <si>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</si>
  <si>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</si>
  <si>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</si>
  <si>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</si>
  <si>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</si>
  <si>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</si>
  <si>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</si>
  <si>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</si>
  <si>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</si>
  <si>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</si>
  <si>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</si>
  <si>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</si>
  <si>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</si>
  <si>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</si>
  <si>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</si>
  <si>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</si>
  <si>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</si>
  <si>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</si>
  <si>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</si>
  <si>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</si>
  <si>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</si>
  <si>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</si>
  <si>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</si>
  <si>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</si>
  <si>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</si>
  <si>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</si>
  <si>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</si>
  <si>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</si>
  <si>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</si>
  <si>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</si>
  <si>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</si>
  <si>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</si>
  <si>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</si>
  <si>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</si>
  <si>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</si>
  <si>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</si>
  <si>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</si>
  <si>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</si>
  <si>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</si>
  <si>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</si>
  <si>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</si>
  <si>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</si>
  <si>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</si>
  <si>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</si>
  <si>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</si>
  <si>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</si>
  <si>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</si>
  <si>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</si>
  <si>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</si>
  <si>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</si>
  <si>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</si>
  <si>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</si>
  <si>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</si>
  <si>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</si>
  <si>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</si>
  <si>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</si>
  <si>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</si>
  <si>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</si>
  <si>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</si>
  <si>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</si>
  <si>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</si>
  <si>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</si>
  <si>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</si>
  <si>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</si>
  <si>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</si>
  <si>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</si>
  <si>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</si>
  <si>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</si>
  <si>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</si>
  <si>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</si>
  <si>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</si>
  <si>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</si>
  <si>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</si>
  <si>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</si>
  <si>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</si>
  <si>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</si>
  <si>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</si>
  <si>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</si>
  <si>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</si>
  <si>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</si>
  <si>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</si>
  <si>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</si>
  <si>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</si>
  <si>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</si>
  <si>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</si>
  <si>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</si>
  <si>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</si>
  <si>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</si>
  <si>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</si>
  <si>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</si>
  <si>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</si>
  <si>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</si>
  <si>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</si>
  <si>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</si>
  <si>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</si>
  <si>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</si>
  <si>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</si>
  <si>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</si>
  <si>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</si>
  <si>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</si>
  <si>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</si>
  <si>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</si>
  <si>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</si>
  <si>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</si>
  <si>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</si>
  <si>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</si>
  <si>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</si>
  <si>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</si>
  <si>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</si>
  <si>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</si>
  <si>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</si>
  <si>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</si>
  <si>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</si>
  <si>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</si>
  <si>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</si>
  <si>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</si>
  <si>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</si>
  <si>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</si>
  <si>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</si>
  <si>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</si>
  <si>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</si>
  <si>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</si>
  <si>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</si>
  <si>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</si>
  <si>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</si>
  <si>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</si>
  <si>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</si>
  <si>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</si>
  <si>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</si>
  <si>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</si>
  <si>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</si>
  <si>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</si>
  <si>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</si>
  <si>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</si>
  <si>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</si>
  <si>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</si>
  <si>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</si>
  <si>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</si>
  <si>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</si>
  <si>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</si>
  <si>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</si>
  <si>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</si>
  <si>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</si>
  <si>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</si>
  <si>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</si>
  <si>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</si>
  <si>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</si>
  <si>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</si>
  <si>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</si>
  <si>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</si>
  <si>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</si>
  <si>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</si>
  <si>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</si>
  <si>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</si>
  <si>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</si>
  <si>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</si>
  <si>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</si>
  <si>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</si>
  <si>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</si>
  <si>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</si>
  <si>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</si>
  <si>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</si>
  <si>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</si>
  <si>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</si>
  <si>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</si>
  <si>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</si>
  <si>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</si>
  <si>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</si>
  <si>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</si>
  <si>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</si>
  <si>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</si>
  <si>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</si>
  <si>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</si>
  <si>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</si>
  <si>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</si>
  <si>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</si>
  <si>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</si>
  <si>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</si>
  <si>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</si>
  <si>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</si>
  <si>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</si>
  <si>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</si>
  <si>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</si>
  <si>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</si>
  <si>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</si>
  <si>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</si>
  <si>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</si>
  <si>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</si>
  <si>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</si>
  <si>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</si>
  <si>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</si>
  <si>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</si>
  <si>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</si>
  <si>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</si>
  <si>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</si>
  <si>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</si>
  <si>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</si>
  <si>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</si>
  <si>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</si>
  <si>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</si>
  <si>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</si>
  <si>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</si>
  <si>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</si>
  <si>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</si>
  <si>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</si>
  <si>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</si>
  <si>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</si>
  <si>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</si>
  <si>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</si>
  <si>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</si>
  <si>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</si>
  <si>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</si>
  <si>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</si>
  <si>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</si>
  <si>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</si>
  <si>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</si>
  <si>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</si>
  <si>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</si>
  <si>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</si>
  <si>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</si>
  <si>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</si>
  <si>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</si>
  <si>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</si>
  <si>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</si>
  <si>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</si>
  <si>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</si>
  <si>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</si>
  <si>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</si>
  <si>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</si>
  <si>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</si>
  <si>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</si>
  <si>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</si>
  <si>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</si>
  <si>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</si>
  <si>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</si>
  <si>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</si>
  <si>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</si>
  <si>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</si>
  <si>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</si>
  <si>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</si>
  <si>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</si>
  <si>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</si>
  <si>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</si>
  <si>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</si>
  <si>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</si>
  <si>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</si>
  <si>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</si>
  <si>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</si>
  <si>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</si>
  <si>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</si>
  <si>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</si>
  <si>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</si>
  <si>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</si>
  <si>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</si>
  <si>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</si>
  <si>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</si>
  <si>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</si>
  <si>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</si>
  <si>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</si>
  <si>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</si>
  <si>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</si>
  <si>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</si>
  <si>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</si>
  <si>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</si>
  <si>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</si>
  <si>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</si>
  <si>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</si>
  <si>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</si>
  <si>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</si>
  <si>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</si>
  <si>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</si>
  <si>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</si>
  <si>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</si>
  <si>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</si>
  <si>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</si>
  <si>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</si>
  <si>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</si>
  <si>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</si>
  <si>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</si>
  <si>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</si>
  <si>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</si>
  <si>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</si>
  <si>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</si>
  <si>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</si>
  <si>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</si>
  <si>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</si>
  <si>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</si>
  <si>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</si>
  <si>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</si>
  <si>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</si>
  <si>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</si>
  <si>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</si>
  <si>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</si>
  <si>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</si>
  <si>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</si>
  <si>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</si>
  <si>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</si>
  <si>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</si>
  <si>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</si>
  <si>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</si>
  <si>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</si>
  <si>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</si>
  <si>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</si>
  <si>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</si>
  <si>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</si>
  <si>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</si>
  <si>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</si>
  <si>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</si>
  <si>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</si>
  <si>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</si>
  <si>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</si>
  <si>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</si>
  <si>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</si>
  <si>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</si>
  <si>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</si>
  <si>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</si>
  <si>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</si>
  <si>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</si>
  <si>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</si>
  <si>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</si>
  <si>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</si>
  <si>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</si>
  <si>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</si>
  <si>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</si>
  <si>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</si>
  <si>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</si>
  <si>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</si>
  <si>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</si>
  <si>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</si>
  <si>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</si>
  <si>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</si>
  <si>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</si>
  <si>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</si>
  <si>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</si>
  <si>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</si>
  <si>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</si>
  <si>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</si>
  <si>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</si>
  <si>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</si>
  <si>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</si>
  <si>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</si>
  <si>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</si>
  <si>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</si>
  <si>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</si>
  <si>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</si>
  <si>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</si>
  <si>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</si>
  <si>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</si>
  <si>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</si>
  <si>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</si>
  <si>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</si>
  <si>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</si>
  <si>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</si>
  <si>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</si>
  <si>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</si>
  <si>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</si>
  <si>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</si>
  <si>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</si>
  <si>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</si>
  <si>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</si>
  <si>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</si>
  <si>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</si>
  <si>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</si>
  <si>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</si>
  <si>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</si>
  <si>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</si>
  <si>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</si>
  <si>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</si>
  <si>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</si>
  <si>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</si>
  <si>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</si>
  <si>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</si>
  <si>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</si>
  <si>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</si>
  <si>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</si>
  <si>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</si>
  <si>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</si>
  <si>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</si>
  <si>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</si>
  <si>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</si>
  <si>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</si>
  <si>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</si>
  <si>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</si>
  <si>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</si>
  <si>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</si>
  <si>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</si>
  <si>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</si>
  <si>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</si>
  <si>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</si>
  <si>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</si>
  <si>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</si>
  <si>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</si>
  <si>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</si>
  <si>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</si>
  <si>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</si>
  <si>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</si>
  <si>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</si>
  <si>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</si>
  <si>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</si>
  <si>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</si>
  <si>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</si>
  <si>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</si>
  <si>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</si>
  <si>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</si>
  <si>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</si>
  <si>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</si>
  <si>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</si>
  <si>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</si>
  <si>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</si>
  <si>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</si>
  <si>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</si>
  <si>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</si>
  <si>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</si>
  <si>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</si>
  <si>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</si>
  <si>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</si>
  <si>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</si>
  <si>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</si>
  <si>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</si>
  <si>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</si>
  <si>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</si>
  <si>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</si>
  <si>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</si>
  <si>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</si>
  <si>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</si>
  <si>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</si>
  <si>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</si>
  <si>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</si>
  <si>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</si>
  <si>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</si>
  <si>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</si>
  <si>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</si>
  <si>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</si>
  <si>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</si>
  <si>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</si>
  <si>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</si>
  <si>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</si>
  <si>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</si>
  <si>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</si>
  <si>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</si>
  <si>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</si>
  <si>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</si>
  <si>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</si>
  <si>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</si>
  <si>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</si>
  <si>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</si>
  <si>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</si>
  <si>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</si>
  <si>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</si>
  <si>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</si>
  <si>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</si>
  <si>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</si>
  <si>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</si>
  <si>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</si>
  <si>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</si>
  <si>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</si>
  <si>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</si>
  <si>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</si>
  <si>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</si>
  <si>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</si>
  <si>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</si>
  <si>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</si>
  <si>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</si>
  <si>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</si>
  <si>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</si>
  <si>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</si>
  <si>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</si>
  <si>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</si>
  <si>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</si>
  <si>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</si>
  <si>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</si>
  <si>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</si>
  <si>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</si>
  <si>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</si>
  <si>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</si>
  <si>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</si>
  <si>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</si>
  <si>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</si>
  <si>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</si>
  <si>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</si>
  <si>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</si>
  <si>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</si>
  <si>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</si>
  <si>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</si>
  <si>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</si>
  <si>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</si>
  <si>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</si>
  <si>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</si>
  <si>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</si>
  <si>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</si>
  <si>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</si>
  <si>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</si>
  <si>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</si>
  <si>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</si>
  <si>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</si>
  <si>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</si>
  <si>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</si>
  <si>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</si>
  <si>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</si>
  <si>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</si>
  <si>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</si>
  <si>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</si>
  <si>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</si>
  <si>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</si>
  <si>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</si>
  <si>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</si>
  <si>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</si>
  <si>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</si>
  <si>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</si>
  <si>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</si>
  <si>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</si>
  <si>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</si>
  <si>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</si>
  <si>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</si>
  <si>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</si>
  <si>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</si>
  <si>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</si>
  <si>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</si>
  <si>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</si>
  <si>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</si>
  <si>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</si>
  <si>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</si>
  <si>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</si>
  <si>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</si>
  <si>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</si>
  <si>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</si>
  <si>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</si>
  <si>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</si>
  <si>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</si>
  <si>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</si>
  <si>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</si>
  <si>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</si>
  <si>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</si>
  <si>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</si>
  <si>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</si>
  <si>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</si>
  <si>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</si>
  <si>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</si>
  <si>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</si>
  <si>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</si>
  <si>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</si>
  <si>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</si>
  <si>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</si>
  <si>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</si>
  <si>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</si>
  <si>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</si>
  <si>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</si>
  <si>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</si>
  <si>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</si>
  <si>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</si>
  <si>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</si>
  <si>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</si>
  <si>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</si>
  <si>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</si>
  <si>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</si>
  <si>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</si>
  <si>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</si>
  <si>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</si>
  <si>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</si>
  <si>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</si>
  <si>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</si>
  <si>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</si>
  <si>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</si>
  <si>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</si>
  <si>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</si>
  <si>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</si>
  <si>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</si>
  <si>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</si>
  <si>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</si>
  <si>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</si>
  <si>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</si>
  <si>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</si>
  <si>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</si>
  <si>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</si>
  <si>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</si>
  <si>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</si>
  <si>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</si>
  <si>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</si>
  <si>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</si>
  <si>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</si>
  <si>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</si>
  <si>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</si>
  <si>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</si>
  <si>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</si>
  <si>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</si>
  <si>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</si>
  <si>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</si>
  <si>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</si>
  <si>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</si>
  <si>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</si>
  <si>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</si>
  <si>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</si>
  <si>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</si>
  <si>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</si>
  <si>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</si>
  <si>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</si>
  <si>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</si>
  <si>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</si>
  <si>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</si>
  <si>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</si>
  <si>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</si>
  <si>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</si>
  <si>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</si>
  <si>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</si>
  <si>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</si>
  <si>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</si>
  <si>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</si>
  <si>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</si>
  <si>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</si>
  <si>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</si>
  <si>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</si>
  <si>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</si>
  <si>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</si>
  <si>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</si>
  <si>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</si>
  <si>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</si>
  <si>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</si>
  <si>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</si>
  <si>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</si>
  <si>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</si>
  <si>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</si>
  <si>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</si>
  <si>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</si>
  <si>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</si>
  <si>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</si>
  <si>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</si>
  <si>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</si>
  <si>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</si>
  <si>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</si>
  <si>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</si>
  <si>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</si>
  <si>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</si>
  <si>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</si>
  <si>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</si>
  <si>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</si>
  <si>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</si>
  <si>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</si>
  <si>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</si>
  <si>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</si>
  <si>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</si>
  <si>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</si>
  <si>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</si>
  <si>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</si>
  <si>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</si>
  <si>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</si>
  <si>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</si>
  <si>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</si>
  <si>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</si>
  <si>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</si>
  <si>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</si>
  <si>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</si>
  <si>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</si>
  <si>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</si>
  <si>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</si>
  <si>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</si>
  <si>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</si>
  <si>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</si>
  <si>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</si>
  <si>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</si>
  <si>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</si>
  <si>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</si>
  <si>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</si>
  <si>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</si>
  <si>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</si>
  <si>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</si>
  <si>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</si>
  <si>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</si>
  <si>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</si>
  <si>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</si>
  <si>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</si>
  <si>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</si>
  <si>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</si>
  <si>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</si>
  <si>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</si>
  <si>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</si>
  <si>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</si>
  <si>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</si>
  <si>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</si>
  <si>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</si>
  <si>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</si>
  <si>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</si>
  <si>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</si>
  <si>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</si>
  <si>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</si>
  <si>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</si>
  <si>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</si>
  <si>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</si>
  <si>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</si>
  <si>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</si>
  <si>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</si>
  <si>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</si>
  <si>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</si>
  <si>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</si>
  <si>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</si>
  <si>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</si>
  <si>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</si>
  <si>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</si>
  <si>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</si>
  <si>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</si>
  <si>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</si>
  <si>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</si>
  <si>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</si>
  <si>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</si>
  <si>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</si>
  <si>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</si>
  <si>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</si>
  <si>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</si>
  <si>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</si>
  <si>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</si>
  <si>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</si>
  <si>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</si>
  <si>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</si>
  <si>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</si>
  <si>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</si>
  <si>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</si>
  <si>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</si>
  <si>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</si>
  <si>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</si>
  <si>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</si>
  <si>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</si>
  <si>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</si>
  <si>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</si>
  <si>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</si>
  <si>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</si>
  <si>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</si>
  <si>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</si>
  <si>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</si>
  <si>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</si>
  <si>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</si>
  <si>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</si>
  <si>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</si>
  <si>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</si>
  <si>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</si>
  <si>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</si>
  <si>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</si>
  <si>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</si>
  <si>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</si>
  <si>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</si>
  <si>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</si>
  <si>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</si>
  <si>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</si>
  <si>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</si>
  <si>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</si>
  <si>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</si>
  <si>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</si>
  <si>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</si>
  <si>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</si>
  <si>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</si>
  <si>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</si>
  <si>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</si>
  <si>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</si>
  <si>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</si>
  <si>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</si>
  <si>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</si>
  <si>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</si>
  <si>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</si>
  <si>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</si>
  <si>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</si>
  <si>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</si>
  <si>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</si>
  <si>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</si>
  <si>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</si>
  <si>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</si>
  <si>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</si>
  <si>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</si>
  <si>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</si>
  <si>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</si>
  <si>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</si>
  <si>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</si>
  <si>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</si>
  <si>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</si>
  <si>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</si>
  <si>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</si>
  <si>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</si>
  <si>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</si>
  <si>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</si>
  <si>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</si>
  <si>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</si>
  <si>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</si>
  <si>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</si>
  <si>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</si>
  <si>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</si>
  <si>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</si>
  <si>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</si>
  <si>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</si>
  <si>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</si>
  <si>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</si>
  <si>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</si>
  <si>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</si>
  <si>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</si>
  <si>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</si>
  <si>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</si>
  <si>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</si>
  <si>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</si>
  <si>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</si>
  <si>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</si>
  <si>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</si>
  <si>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</si>
  <si>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</si>
  <si>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</si>
  <si>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</si>
  <si>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</si>
  <si>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</si>
  <si>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</si>
  <si>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</si>
  <si>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</si>
  <si>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</si>
  <si>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</si>
  <si>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</si>
  <si>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</si>
  <si>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</si>
  <si>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</si>
  <si>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</si>
  <si>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</si>
  <si>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</si>
  <si>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</si>
  <si>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</si>
  <si>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</si>
  <si>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</si>
  <si>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</si>
  <si>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</si>
  <si>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</si>
  <si>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</si>
  <si>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</si>
  <si>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</si>
  <si>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</si>
  <si>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</si>
  <si>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</si>
  <si>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</si>
  <si>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</si>
  <si>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</si>
  <si>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</si>
  <si>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</si>
  <si>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</si>
  <si>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</si>
  <si>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</si>
  <si>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</si>
  <si>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</si>
  <si>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</si>
  <si>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</si>
  <si>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</si>
  <si>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</si>
  <si>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</si>
  <si>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</si>
  <si>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</si>
  <si>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</si>
  <si>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</si>
  <si>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</si>
  <si>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</si>
  <si>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</si>
  <si>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</si>
  <si>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</si>
  <si>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</si>
  <si>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</si>
  <si>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</si>
  <si>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</si>
  <si>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</si>
  <si>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</si>
  <si>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</si>
  <si>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</si>
  <si>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</si>
  <si>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</si>
  <si>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</si>
  <si>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</si>
  <si>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</si>
  <si>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</si>
  <si>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</si>
  <si>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</si>
  <si>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</si>
  <si>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</si>
  <si>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</si>
  <si>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</si>
  <si>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</si>
  <si>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</si>
  <si>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</si>
  <si>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</si>
  <si>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</si>
  <si>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</si>
  <si>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</si>
  <si>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</si>
  <si>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</si>
  <si>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</si>
  <si>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</si>
  <si>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</si>
  <si>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</si>
  <si>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</si>
  <si>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</si>
  <si>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</si>
  <si>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</si>
  <si>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</si>
  <si>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</si>
  <si>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</si>
  <si>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</si>
  <si>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</si>
  <si>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</si>
  <si>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</si>
  <si>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</si>
  <si>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</si>
  <si>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</si>
  <si>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</si>
  <si>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</si>
  <si>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</si>
  <si>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</si>
  <si>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</si>
  <si>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</si>
  <si>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</si>
  <si>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</si>
  <si>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</si>
  <si>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</si>
  <si>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</si>
  <si>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</si>
  <si>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</si>
  <si>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</si>
  <si>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</si>
  <si>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</si>
  <si>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</si>
  <si>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</si>
  <si>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</si>
  <si>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</si>
  <si>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</si>
  <si>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</si>
  <si>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</si>
  <si>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</si>
  <si>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</si>
  <si>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</si>
  <si>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</si>
  <si>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</si>
  <si>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</si>
  <si>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</si>
  <si>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</si>
  <si>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</si>
  <si>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</si>
  <si>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</si>
  <si>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</si>
  <si>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</si>
  <si>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</si>
  <si>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</si>
  <si>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</si>
  <si>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</si>
  <si>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</si>
  <si>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</si>
  <si>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</si>
  <si>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</si>
  <si>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</si>
  <si>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</si>
  <si>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</si>
  <si>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</si>
  <si>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</si>
  <si>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</si>
  <si>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</si>
  <si>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</si>
  <si>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</si>
  <si>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</si>
  <si>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</si>
  <si>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</si>
  <si>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</si>
  <si>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</si>
  <si>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</si>
  <si>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</si>
  <si>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</si>
  <si>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</si>
  <si>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</si>
  <si>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</si>
  <si>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</si>
  <si>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</si>
  <si>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</si>
  <si>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</si>
  <si>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</si>
  <si>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</si>
  <si>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</si>
  <si>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</si>
  <si>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</si>
  <si>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</si>
  <si>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</si>
  <si>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</si>
  <si>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</si>
  <si>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</si>
  <si>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</si>
  <si>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r>
      <rPr>
        <sz val="10"/>
        <color theme="9" tint="-0.249977111117893"/>
        <rFont val="宋体"/>
        <family val="3"/>
        <charset val="134"/>
      </rPr>
      <t>朝阳区樱花园东街</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1-7</t>
    </r>
    <phoneticPr fontId="6" type="noConversion"/>
  </si>
  <si>
    <t>北京万方鑫</t>
    <phoneticPr fontId="6" type="noConversion"/>
  </si>
  <si>
    <t>2023年商业店铺租金预算表（樱花东街-在期）</t>
  </si>
  <si>
    <t>房产信息</t>
  </si>
  <si>
    <t>2023年合同信息</t>
  </si>
  <si>
    <t>序号</t>
  </si>
  <si>
    <t>地址</t>
  </si>
  <si>
    <t>分租房号</t>
  </si>
  <si>
    <t>总面积</t>
  </si>
  <si>
    <t>出租情况</t>
  </si>
  <si>
    <t>合同号</t>
  </si>
  <si>
    <t>出租方</t>
  </si>
  <si>
    <t>承租方</t>
  </si>
  <si>
    <t>新铺位地址</t>
  </si>
  <si>
    <t>承租面积</t>
  </si>
  <si>
    <t>起租日</t>
  </si>
  <si>
    <t>终止日</t>
  </si>
  <si>
    <t>2023年到期后租金</t>
  </si>
  <si>
    <t>日平米租金</t>
  </si>
  <si>
    <t>缴费方式</t>
  </si>
  <si>
    <t>缴费月份</t>
  </si>
  <si>
    <t>缴费日期</t>
  </si>
  <si>
    <t>租赁押金</t>
  </si>
  <si>
    <t>朝阳区樱花园东街1号楼1至2层1-7</t>
  </si>
  <si>
    <t>一层101房屋</t>
  </si>
  <si>
    <t>在期</t>
  </si>
  <si>
    <t>ZL2020-104</t>
  </si>
  <si>
    <t>北京万方鑫蕗达投资咨询有限公司</t>
  </si>
  <si>
    <t>朝阳区樱花园东街1号楼一层101房屋</t>
  </si>
  <si>
    <t>2020.08.28</t>
  </si>
  <si>
    <t>2026.09.27</t>
  </si>
  <si>
    <t>押二付三</t>
  </si>
  <si>
    <t>3、6、9、12月</t>
  </si>
  <si>
    <t>1日</t>
  </si>
  <si>
    <t>一层103房屋</t>
  </si>
  <si>
    <t>ZL2020-102</t>
  </si>
  <si>
    <t>朝阳区樱花园东街1号楼一层103房屋</t>
  </si>
  <si>
    <t>2025.10.16</t>
  </si>
  <si>
    <t>押一付六</t>
  </si>
  <si>
    <t>3、9月</t>
  </si>
  <si>
    <t>17日</t>
  </si>
  <si>
    <t>一层104房屋</t>
  </si>
  <si>
    <t>ZL2019-139</t>
  </si>
  <si>
    <t>朝阳区樱花园东街1号楼一层104房屋</t>
  </si>
  <si>
    <t>2019.07.29</t>
  </si>
  <si>
    <t>2024.10.01</t>
  </si>
  <si>
    <t>2、5、8、11月</t>
  </si>
  <si>
    <t>12日</t>
  </si>
  <si>
    <t>一层102、二层201房屋</t>
  </si>
  <si>
    <t>新租</t>
  </si>
  <si>
    <t>注册营业执照后变更合同主体</t>
  </si>
  <si>
    <t>朝阳区樱花园东街1号楼一层102、二层201房屋</t>
  </si>
  <si>
    <t>2022.04.05</t>
  </si>
  <si>
    <t>1、4、7、10</t>
  </si>
  <si>
    <t>5日</t>
  </si>
  <si>
    <t>地上</t>
  </si>
  <si>
    <t>底商</t>
  </si>
  <si>
    <r>
      <t>1</t>
    </r>
    <r>
      <rPr>
        <sz val="10"/>
        <color indexed="8"/>
        <rFont val="宋体"/>
        <family val="3"/>
        <charset val="134"/>
      </rPr>
      <t>层</t>
    </r>
    <phoneticPr fontId="3" type="noConversion"/>
  </si>
  <si>
    <r>
      <t>2</t>
    </r>
    <r>
      <rPr>
        <sz val="10"/>
        <color indexed="8"/>
        <rFont val="宋体"/>
        <family val="3"/>
        <charset val="134"/>
      </rPr>
      <t>层</t>
    </r>
    <phoneticPr fontId="3" type="noConversion"/>
  </si>
  <si>
    <t>配套商业</t>
  </si>
  <si>
    <t>配套商业</t>
    <phoneticPr fontId="7" type="noConversion"/>
  </si>
  <si>
    <t>实际</t>
    <phoneticPr fontId="134" type="noConversion"/>
  </si>
  <si>
    <t>权属</t>
    <phoneticPr fontId="134" type="noConversion"/>
  </si>
  <si>
    <t>自定义容积率</t>
  </si>
  <si>
    <t>与级别开发程度不一致</t>
  </si>
  <si>
    <t>楼层修正</t>
  </si>
  <si>
    <t>面积</t>
    <phoneticPr fontId="3" type="noConversion"/>
  </si>
  <si>
    <t>租金</t>
    <phoneticPr fontId="3" type="noConversion"/>
  </si>
  <si>
    <t>系数</t>
    <phoneticPr fontId="3" type="noConversion"/>
  </si>
  <si>
    <t>拆分</t>
    <phoneticPr fontId="8" type="noConversion"/>
  </si>
  <si>
    <r>
      <t>1</t>
    </r>
    <r>
      <rPr>
        <sz val="10"/>
        <color indexed="8"/>
        <rFont val="宋体"/>
        <family val="3"/>
        <charset val="134"/>
      </rPr>
      <t>层</t>
    </r>
    <phoneticPr fontId="8" type="noConversion"/>
  </si>
  <si>
    <r>
      <t>2</t>
    </r>
    <r>
      <rPr>
        <sz val="10"/>
        <color indexed="8"/>
        <rFont val="宋体"/>
        <family val="3"/>
        <charset val="134"/>
      </rPr>
      <t>层</t>
    </r>
    <phoneticPr fontId="8" type="noConversion"/>
  </si>
  <si>
    <t>面积</t>
    <phoneticPr fontId="8" type="noConversion"/>
  </si>
  <si>
    <t>单价</t>
    <phoneticPr fontId="8" type="noConversion"/>
  </si>
  <si>
    <t>综合</t>
    <phoneticPr fontId="8" type="noConversion"/>
  </si>
  <si>
    <t xml:space="preserve"> </t>
    <phoneticPr fontId="8" type="noConversion"/>
  </si>
  <si>
    <r>
      <rPr>
        <sz val="10"/>
        <color indexed="8"/>
        <rFont val="宋体"/>
        <family val="3"/>
        <charset val="134"/>
      </rPr>
      <t>报吴琼</t>
    </r>
    <r>
      <rPr>
        <sz val="10"/>
        <color indexed="8"/>
        <rFont val="Arial"/>
        <family val="2"/>
      </rPr>
      <t>4500</t>
    </r>
    <r>
      <rPr>
        <sz val="10"/>
        <color indexed="8"/>
        <rFont val="宋体"/>
        <family val="3"/>
        <charset val="134"/>
      </rPr>
      <t>万</t>
    </r>
    <phoneticPr fontId="8"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</si>
  <si>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</si>
  <si>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</si>
  <si>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</si>
  <si>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</si>
  <si>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</si>
  <si>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</si>
  <si>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</si>
  <si>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</si>
  <si>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</si>
  <si>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</si>
  <si>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</si>
  <si>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</si>
  <si>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</si>
  <si>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</si>
  <si>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</si>
  <si>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</si>
  <si>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</si>
  <si>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</si>
  <si>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</si>
  <si>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</si>
  <si>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</si>
  <si>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</si>
  <si>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</si>
  <si>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</si>
  <si>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</si>
  <si>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</si>
  <si>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</si>
  <si>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</si>
  <si>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</si>
  <si>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</si>
  <si>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</si>
  <si>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</si>
  <si>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</si>
  <si>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</si>
  <si>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</si>
  <si>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</si>
  <si>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</si>
  <si>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</si>
  <si>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</si>
  <si>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</si>
  <si>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</si>
  <si>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</si>
  <si>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</si>
  <si>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</si>
  <si>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</si>
  <si>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</si>
  <si>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</si>
  <si>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</si>
  <si>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</si>
  <si>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</si>
  <si>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</si>
  <si>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</si>
  <si>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</si>
  <si>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</si>
  <si>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</si>
  <si>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</si>
  <si>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</si>
  <si>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</si>
  <si>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</si>
  <si>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</si>
  <si>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</si>
  <si>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</si>
  <si>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</si>
  <si>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</si>
  <si>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</si>
  <si>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</si>
  <si>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</si>
  <si>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</si>
  <si>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</si>
  <si>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</si>
  <si>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</si>
  <si>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</si>
  <si>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</si>
  <si>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</si>
  <si>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</si>
  <si>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</si>
  <si>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</si>
  <si>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</si>
  <si>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</si>
  <si>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</si>
  <si>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</si>
  <si>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</si>
  <si>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</si>
  <si>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</si>
  <si>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</si>
  <si>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</si>
  <si>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</si>
  <si>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</si>
  <si>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</si>
  <si>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</si>
  <si>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</si>
  <si>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</si>
  <si>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</si>
  <si>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</si>
  <si>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</si>
  <si>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</si>
  <si>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</si>
  <si>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</si>
  <si>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3-4环</t>
  </si>
  <si>
    <t>项目信息</t>
  </si>
  <si>
    <t>商业</t>
    <phoneticPr fontId="247" type="noConversion"/>
  </si>
  <si>
    <t>低层：≤3层，10米</t>
  </si>
  <si>
    <t>/</t>
    <phoneticPr fontId="247" type="noConversion"/>
  </si>
  <si>
    <t>独立商业</t>
  </si>
  <si>
    <t>1</t>
    <phoneticPr fontId="247" type="noConversion"/>
  </si>
  <si>
    <t>对外</t>
  </si>
  <si>
    <t>北京福迪餐饮管理有限公司</t>
    <phoneticPr fontId="247" type="noConversion"/>
  </si>
  <si>
    <t>永和大王</t>
    <phoneticPr fontId="247" type="noConversion"/>
  </si>
  <si>
    <t>餐饮（明火）</t>
  </si>
  <si>
    <t>季付</t>
  </si>
  <si>
    <t>其他</t>
  </si>
  <si>
    <t>约定</t>
    <phoneticPr fontId="247" type="noConversion"/>
  </si>
  <si>
    <t>合同</t>
  </si>
  <si>
    <t>/</t>
  </si>
  <si>
    <t>押金192500，1层有扩建</t>
    <phoneticPr fontId="247" type="noConversion"/>
  </si>
  <si>
    <t>崔丽新</t>
    <phoneticPr fontId="247" type="noConversion"/>
  </si>
  <si>
    <t>北京共创伟业文化传播有限公司</t>
    <phoneticPr fontId="247" type="noConversion"/>
  </si>
  <si>
    <t>红玫瑰烧腊豉油鸡饭</t>
    <phoneticPr fontId="247" type="noConversion"/>
  </si>
  <si>
    <t>半年付</t>
  </si>
  <si>
    <t>押金54000</t>
    <phoneticPr fontId="247" type="noConversion"/>
  </si>
  <si>
    <t>1-3</t>
    <phoneticPr fontId="247" type="noConversion"/>
  </si>
  <si>
    <t>北京幸糖加信餐饮管理有限公司</t>
    <phoneticPr fontId="247" type="noConversion"/>
  </si>
  <si>
    <t>老广酒楼</t>
    <phoneticPr fontId="247" type="noConversion"/>
  </si>
  <si>
    <t>3层为加建188平米，押金30万</t>
    <phoneticPr fontId="247" type="noConversion"/>
  </si>
  <si>
    <t>燃气</t>
  </si>
  <si>
    <t>一般</t>
    <phoneticPr fontId="24" type="noConversion"/>
  </si>
  <si>
    <t>正评</t>
    <phoneticPr fontId="8" type="noConversion"/>
  </si>
  <si>
    <t>历史</t>
    <phoneticPr fontId="8" type="noConversion"/>
  </si>
  <si>
    <r>
      <t>2016</t>
    </r>
    <r>
      <rPr>
        <sz val="10"/>
        <color indexed="8"/>
        <rFont val="宋体"/>
        <family val="3"/>
        <charset val="134"/>
      </rPr>
      <t>年</t>
    </r>
    <phoneticPr fontId="8" type="noConversion"/>
  </si>
  <si>
    <t>总值</t>
    <phoneticPr fontId="8" type="noConversion"/>
  </si>
  <si>
    <t>单价</t>
    <phoneticPr fontId="8" type="noConversion"/>
  </si>
  <si>
    <r>
      <t>2013</t>
    </r>
    <r>
      <rPr>
        <sz val="10"/>
        <color indexed="8"/>
        <rFont val="宋体"/>
        <family val="3"/>
        <charset val="134"/>
      </rPr>
      <t>年</t>
    </r>
    <phoneticPr fontId="8" type="noConversion"/>
  </si>
  <si>
    <r>
      <t>2013</t>
    </r>
    <r>
      <rPr>
        <sz val="10"/>
        <color indexed="8"/>
        <rFont val="宋体"/>
        <family val="3"/>
        <charset val="134"/>
      </rPr>
      <t>年拍卖</t>
    </r>
    <phoneticPr fontId="8" type="noConversion"/>
  </si>
  <si>
    <r>
      <t>租金1</t>
    </r>
    <r>
      <rPr>
        <sz val="11"/>
        <color theme="1"/>
        <rFont val="宋体"/>
        <family val="3"/>
        <charset val="134"/>
        <scheme val="minor"/>
      </rPr>
      <t>0.5-14元</t>
    </r>
    <phoneticPr fontId="134" type="noConversion"/>
  </si>
  <si>
    <t>市调</t>
    <phoneticPr fontId="134" type="noConversion"/>
  </si>
  <si>
    <t>售价</t>
    <phoneticPr fontId="134" type="noConversion"/>
  </si>
  <si>
    <r>
      <t>5</t>
    </r>
    <r>
      <rPr>
        <sz val="11"/>
        <color theme="1"/>
        <rFont val="宋体"/>
        <family val="3"/>
        <charset val="134"/>
        <scheme val="minor"/>
      </rPr>
      <t>00万</t>
    </r>
    <phoneticPr fontId="134" type="noConversion"/>
  </si>
  <si>
    <r>
      <t>5</t>
    </r>
    <r>
      <rPr>
        <sz val="11"/>
        <color theme="1"/>
        <rFont val="宋体"/>
        <family val="3"/>
        <charset val="134"/>
        <scheme val="minor"/>
      </rPr>
      <t>0平</t>
    </r>
    <phoneticPr fontId="134" type="noConversion"/>
  </si>
  <si>
    <r>
      <t>年租金3</t>
    </r>
    <r>
      <rPr>
        <sz val="11"/>
        <color theme="1"/>
        <rFont val="宋体"/>
        <family val="3"/>
        <charset val="134"/>
        <scheme val="minor"/>
      </rPr>
      <t>1.5</t>
    </r>
    <phoneticPr fontId="134" type="noConversion"/>
  </si>
  <si>
    <r>
      <t>回报率5</t>
    </r>
    <r>
      <rPr>
        <sz val="11"/>
        <color theme="1"/>
        <rFont val="宋体"/>
        <family val="3"/>
        <charset val="134"/>
        <scheme val="minor"/>
      </rPr>
      <t>.2</t>
    </r>
    <phoneticPr fontId="134" type="noConversion"/>
  </si>
  <si>
    <t>日租金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</si>
</sst>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6"/>
      <name val="宋体"/>
      <family val="3"/>
      <charset val="134"/>
      <scheme val="minor"/>
    </font>
    <font>
      <b/>
      <sz val="11"/>
      <name val="宋体"/>
      <family val="3"/>
      <charset val="134"/>
      <scheme val="minor"/>
    </font>
    <font>
      <sz val="11"/>
      <name val="宋体"/>
      <family val="3"/>
      <charset val="134"/>
      <scheme val="minor"/>
    </font>
    <font>
      <sz val="11"/>
      <color indexed="9"/>
      <name val="宋体"/>
      <family val="3"/>
      <charset val="134"/>
    </font>
    <font>
      <b/>
      <sz val="15"/>
      <color indexed="56"/>
      <name val="宋体"/>
      <family val="3"/>
      <charset val="134"/>
    </font>
    <font>
      <b/>
      <sz val="18"/>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FF0000"/>
      <name val="宋体"/>
      <family val="3"/>
      <charset val="134"/>
      <scheme val="minor"/>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CFEB6"/>
        <bgColor indexed="64"/>
      </patternFill>
    </fill>
    <fill>
      <patternFill patternType="solid">
        <fgColor theme="1" tint="0.49998474074526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DashDotDot">
        <color rgb="FFFF0000"/>
      </top>
      <bottom style="thick">
        <color indexed="64"/>
      </bottom>
      <diagonal/>
    </border>
  </borders>
  <cellStyleXfs count="707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4"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5"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6"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8"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29"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1"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32"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27"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0"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128" fillId="33"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4"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1"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2"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5"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6"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2" fillId="37" borderId="0" applyNumberFormat="0" applyBorder="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3" fillId="0" borderId="176" applyNumberFormat="0" applyFill="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5" fillId="0" borderId="177" applyNumberFormat="0" applyFill="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178" applyNumberFormat="0" applyFill="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6"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277" fillId="25" borderId="0" applyNumberFormat="0" applyBorder="0" applyAlignment="0" applyProtection="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36" fillId="0" borderId="0"/>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36"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278" fillId="26" borderId="0" applyNumberFormat="0" applyBorder="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146" fillId="0" borderId="179" applyNumberFormat="0" applyFill="0" applyAlignment="0" applyProtection="0">
      <alignment vertical="center"/>
    </xf>
    <xf numFmtId="0" fontId="36" fillId="0" borderId="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43" fontId="36" fillId="0" borderId="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xf numFmtId="0" fontId="36" fillId="0" borderId="0" applyNumberFormat="0" applyFont="0" applyFill="0" applyBorder="0" applyAlignment="0" applyProtection="0">
      <alignment vertical="center"/>
    </xf>
  </cellStyleXfs>
  <cellXfs count="39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270" fillId="0" borderId="0" xfId="10" applyFont="1" applyBorder="1" applyAlignment="1">
      <alignment vertical="center" wrapText="1"/>
    </xf>
    <xf numFmtId="43" fontId="270" fillId="0" borderId="0" xfId="10" applyNumberFormat="1" applyFont="1" applyBorder="1" applyAlignment="1">
      <alignment vertical="center" wrapText="1"/>
    </xf>
    <xf numFmtId="0" fontId="270" fillId="0" borderId="0" xfId="10" applyFont="1" applyBorder="1" applyAlignment="1">
      <alignment horizontal="left" vertical="center" wrapText="1"/>
    </xf>
    <xf numFmtId="0" fontId="270" fillId="22" borderId="1" xfId="10" applyFont="1" applyFill="1" applyBorder="1" applyAlignment="1">
      <alignment horizontal="center" vertical="center" wrapText="1"/>
    </xf>
    <xf numFmtId="49" fontId="270" fillId="22" borderId="1" xfId="10" applyNumberFormat="1" applyFont="1" applyFill="1" applyBorder="1" applyAlignment="1">
      <alignment horizontal="center" vertical="center" wrapText="1"/>
    </xf>
    <xf numFmtId="0" fontId="270" fillId="23" borderId="23" xfId="10" applyFont="1" applyFill="1" applyBorder="1" applyAlignment="1">
      <alignment horizontal="center" vertical="center" wrapText="1"/>
    </xf>
    <xf numFmtId="0" fontId="270" fillId="23" borderId="1" xfId="10" applyFont="1" applyFill="1" applyBorder="1" applyAlignment="1">
      <alignment horizontal="center" vertical="center" wrapText="1"/>
    </xf>
    <xf numFmtId="179" fontId="270" fillId="23" borderId="1" xfId="10" applyNumberFormat="1" applyFont="1" applyFill="1" applyBorder="1" applyAlignment="1">
      <alignment horizontal="center" vertical="center" wrapText="1"/>
    </xf>
    <xf numFmtId="43" fontId="270" fillId="23" borderId="1" xfId="10" applyNumberFormat="1" applyFont="1" applyFill="1" applyBorder="1" applyAlignment="1">
      <alignment horizontal="center" vertical="center" wrapText="1"/>
    </xf>
    <xf numFmtId="0" fontId="270" fillId="0" borderId="0" xfId="10" applyFont="1" applyBorder="1" applyAlignment="1">
      <alignment horizontal="center" vertical="center" wrapText="1"/>
    </xf>
    <xf numFmtId="0" fontId="271" fillId="0" borderId="1" xfId="10" applyFont="1" applyBorder="1" applyAlignment="1">
      <alignment horizontal="center" vertical="center" wrapText="1"/>
    </xf>
    <xf numFmtId="0" fontId="271" fillId="0" borderId="1" xfId="10" applyFont="1" applyBorder="1" applyAlignment="1">
      <alignment vertical="center" wrapText="1"/>
    </xf>
    <xf numFmtId="0" fontId="271" fillId="0" borderId="1" xfId="10" applyFont="1" applyFill="1" applyBorder="1" applyAlignment="1">
      <alignment vertical="center" wrapText="1"/>
    </xf>
    <xf numFmtId="179" fontId="271" fillId="0" borderId="1" xfId="10" applyNumberFormat="1" applyFont="1" applyBorder="1" applyAlignment="1">
      <alignment vertical="center" wrapText="1"/>
    </xf>
    <xf numFmtId="43" fontId="271" fillId="5" borderId="1" xfId="10" applyNumberFormat="1" applyFont="1" applyFill="1" applyBorder="1" applyAlignment="1">
      <alignment vertical="center" wrapText="1"/>
    </xf>
    <xf numFmtId="43" fontId="271" fillId="0" borderId="1" xfId="10" applyNumberFormat="1" applyFont="1" applyBorder="1" applyAlignment="1">
      <alignment vertical="center" wrapText="1"/>
    </xf>
    <xf numFmtId="0" fontId="271" fillId="0" borderId="0" xfId="10" applyFont="1" applyBorder="1" applyAlignment="1">
      <alignment vertical="center" wrapText="1"/>
    </xf>
    <xf numFmtId="0" fontId="271" fillId="22" borderId="1" xfId="10" applyFont="1" applyFill="1" applyBorder="1" applyAlignment="1">
      <alignment horizontal="center" vertical="center" wrapText="1"/>
    </xf>
    <xf numFmtId="0" fontId="271" fillId="22" borderId="1" xfId="10" applyFont="1" applyFill="1" applyBorder="1" applyAlignment="1">
      <alignment vertical="center" wrapText="1"/>
    </xf>
    <xf numFmtId="179" fontId="271" fillId="22" borderId="1" xfId="10" applyNumberFormat="1" applyFont="1" applyFill="1" applyBorder="1" applyAlignment="1">
      <alignment vertical="center" wrapText="1"/>
    </xf>
    <xf numFmtId="43" fontId="271" fillId="22" borderId="1" xfId="10" applyNumberFormat="1" applyFont="1" applyFill="1" applyBorder="1" applyAlignment="1">
      <alignment vertical="center" wrapText="1"/>
    </xf>
    <xf numFmtId="179" fontId="271" fillId="0" borderId="0" xfId="10" applyNumberFormat="1" applyFont="1" applyBorder="1" applyAlignment="1">
      <alignment vertical="center" wrapText="1"/>
    </xf>
    <xf numFmtId="0" fontId="271" fillId="0" borderId="0" xfId="10" applyFont="1" applyBorder="1" applyAlignment="1">
      <alignment horizontal="center" vertical="center" wrapText="1"/>
    </xf>
    <xf numFmtId="43" fontId="271" fillId="0" borderId="0" xfId="10" applyNumberFormat="1" applyFont="1" applyBorder="1" applyAlignment="1">
      <alignment vertical="center" wrapText="1"/>
    </xf>
    <xf numFmtId="9" fontId="270" fillId="0" borderId="0" xfId="10" applyNumberFormat="1" applyFont="1" applyBorder="1" applyAlignment="1">
      <alignment vertical="center" wrapText="1"/>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69" fillId="0" borderId="0" xfId="10" applyFont="1" applyBorder="1" applyAlignment="1">
      <alignment horizontal="left" vertical="center" wrapText="1"/>
    </xf>
    <xf numFmtId="0" fontId="270" fillId="0" borderId="1" xfId="10" applyFont="1" applyBorder="1" applyAlignment="1">
      <alignment horizontal="left" vertical="center" wrapText="1"/>
    </xf>
    <xf numFmtId="0" fontId="270" fillId="0" borderId="6" xfId="10" applyFont="1" applyBorder="1" applyAlignment="1">
      <alignment horizontal="left" vertical="center" wrapText="1"/>
    </xf>
    <xf numFmtId="0" fontId="270" fillId="0" borderId="9" xfId="10" applyFont="1" applyBorder="1" applyAlignment="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xf numFmtId="0" fontId="279" fillId="6" borderId="5" xfId="0" applyFont="1" applyFill="1" applyBorder="1" applyAlignment="1" applyProtection="1">
      <alignment horizontal="left" vertical="center" wrapText="1"/>
    </xf>
    <xf numFmtId="0" fontId="280" fillId="38" borderId="6" xfId="0" applyFont="1" applyFill="1" applyBorder="1" applyAlignment="1" applyProtection="1">
      <alignment horizontal="left" vertical="center" wrapText="1"/>
    </xf>
    <xf numFmtId="0" fontId="281" fillId="38" borderId="9" xfId="0" applyFont="1" applyFill="1" applyBorder="1" applyAlignment="1" applyProtection="1">
      <alignment horizontal="left" vertical="center" wrapText="1"/>
    </xf>
    <xf numFmtId="0" fontId="280" fillId="38" borderId="9" xfId="0" applyFont="1" applyFill="1" applyBorder="1" applyAlignment="1" applyProtection="1">
      <alignment horizontal="left" vertical="center" wrapText="1"/>
    </xf>
    <xf numFmtId="0" fontId="280" fillId="38" borderId="10" xfId="0" applyFont="1" applyFill="1" applyBorder="1" applyAlignment="1" applyProtection="1">
      <alignment horizontal="left" vertical="center" wrapText="1"/>
    </xf>
    <xf numFmtId="0" fontId="280" fillId="39" borderId="95" xfId="0" applyFont="1" applyFill="1" applyBorder="1" applyAlignment="1" applyProtection="1">
      <alignment horizontal="left" vertical="center" wrapText="1"/>
    </xf>
    <xf numFmtId="0" fontId="282" fillId="40" borderId="6" xfId="0" applyFont="1" applyFill="1" applyBorder="1" applyAlignment="1" applyProtection="1">
      <alignment horizontal="left" vertical="center" wrapText="1"/>
    </xf>
    <xf numFmtId="0" fontId="282" fillId="40" borderId="9" xfId="0" applyFont="1" applyFill="1" applyBorder="1" applyAlignment="1" applyProtection="1">
      <alignment horizontal="left" vertical="center" wrapText="1"/>
    </xf>
    <xf numFmtId="0" fontId="282" fillId="40" borderId="10" xfId="0" applyFont="1" applyFill="1" applyBorder="1" applyAlignment="1" applyProtection="1">
      <alignment horizontal="left" vertical="center" wrapText="1"/>
    </xf>
    <xf numFmtId="0" fontId="282" fillId="41" borderId="6" xfId="0" applyFont="1" applyFill="1" applyBorder="1" applyAlignment="1" applyProtection="1">
      <alignment horizontal="left" vertical="center" wrapText="1"/>
    </xf>
    <xf numFmtId="0" fontId="282" fillId="41" borderId="9" xfId="0" applyFont="1" applyFill="1" applyBorder="1" applyAlignment="1" applyProtection="1">
      <alignment horizontal="left" vertical="center" wrapText="1"/>
    </xf>
    <xf numFmtId="0" fontId="280" fillId="41" borderId="9" xfId="0" applyFont="1" applyFill="1" applyBorder="1" applyAlignment="1" applyProtection="1">
      <alignment horizontal="left" vertical="center" wrapText="1"/>
    </xf>
    <xf numFmtId="0" fontId="282" fillId="41" borderId="17" xfId="0" applyFont="1" applyFill="1" applyBorder="1" applyAlignment="1" applyProtection="1">
      <alignment vertical="center" wrapText="1"/>
    </xf>
    <xf numFmtId="0" fontId="282" fillId="41" borderId="10" xfId="0" applyFont="1" applyFill="1" applyBorder="1" applyAlignment="1" applyProtection="1">
      <alignment horizontal="left" vertical="center" wrapText="1"/>
    </xf>
    <xf numFmtId="0" fontId="282" fillId="0" borderId="6" xfId="0" applyFont="1" applyBorder="1" applyAlignment="1" applyProtection="1">
      <alignment horizontal="left" vertical="center" wrapText="1"/>
    </xf>
    <xf numFmtId="0" fontId="282" fillId="0" borderId="9" xfId="0" applyFont="1" applyBorder="1" applyAlignment="1" applyProtection="1">
      <alignment horizontal="left" vertical="center" wrapText="1"/>
    </xf>
    <xf numFmtId="0" fontId="282" fillId="0" borderId="10" xfId="0" applyFont="1" applyBorder="1" applyAlignment="1" applyProtection="1">
      <alignment horizontal="left" vertical="center" wrapText="1"/>
    </xf>
    <xf numFmtId="0" fontId="280" fillId="0" borderId="3" xfId="0" applyFont="1" applyBorder="1" applyAlignment="1" applyProtection="1">
      <alignment horizontal="left" vertical="center" wrapText="1"/>
    </xf>
    <xf numFmtId="0" fontId="280" fillId="0" borderId="1" xfId="0" applyFont="1" applyBorder="1" applyAlignment="1" applyProtection="1">
      <alignment horizontal="left" vertical="center" wrapText="1"/>
    </xf>
    <xf numFmtId="0" fontId="282" fillId="0" borderId="0" xfId="0" applyFont="1" applyAlignment="1" applyProtection="1">
      <alignment horizontal="left" vertical="center" wrapText="1"/>
    </xf>
    <xf numFmtId="0" fontId="282" fillId="6" borderId="46" xfId="0" applyFont="1" applyFill="1" applyBorder="1" applyAlignment="1" applyProtection="1">
      <alignment horizontal="left" vertical="center" wrapText="1"/>
    </xf>
    <xf numFmtId="0" fontId="280" fillId="38" borderId="11" xfId="0" applyFont="1" applyFill="1" applyBorder="1" applyAlignment="1" applyProtection="1">
      <alignment horizontal="left" vertical="center" wrapText="1"/>
    </xf>
    <xf numFmtId="0" fontId="281" fillId="38" borderId="13" xfId="0" applyFont="1" applyFill="1" applyBorder="1" applyAlignment="1" applyProtection="1">
      <alignment horizontal="left" vertical="center" wrapText="1"/>
    </xf>
    <xf numFmtId="0" fontId="280" fillId="38" borderId="13" xfId="0" applyFont="1" applyFill="1" applyBorder="1" applyAlignment="1" applyProtection="1">
      <alignment horizontal="left" vertical="center" wrapText="1"/>
    </xf>
    <xf numFmtId="0" fontId="281" fillId="38" borderId="13" xfId="0" applyFont="1" applyFill="1" applyBorder="1" applyAlignment="1" applyProtection="1">
      <alignment horizontal="left" vertical="center" wrapText="1"/>
    </xf>
    <xf numFmtId="0" fontId="280" fillId="38" borderId="13" xfId="0" applyFont="1" applyFill="1" applyBorder="1" applyAlignment="1" applyProtection="1">
      <alignment horizontal="left" vertical="center" wrapText="1"/>
    </xf>
    <xf numFmtId="0" fontId="280" fillId="38" borderId="61" xfId="0" applyFont="1" applyFill="1" applyBorder="1" applyAlignment="1" applyProtection="1">
      <alignment horizontal="left" vertical="center" wrapText="1"/>
    </xf>
    <xf numFmtId="0" fontId="280" fillId="39" borderId="72" xfId="0" applyFont="1" applyFill="1" applyBorder="1" applyAlignment="1" applyProtection="1">
      <alignment horizontal="left" vertical="center" wrapText="1"/>
    </xf>
    <xf numFmtId="0" fontId="280" fillId="40" borderId="11" xfId="0" applyFont="1" applyFill="1" applyBorder="1" applyAlignment="1" applyProtection="1">
      <alignment horizontal="left" vertical="center" wrapText="1"/>
    </xf>
    <xf numFmtId="0" fontId="280" fillId="40" borderId="13" xfId="0" applyFont="1" applyFill="1" applyBorder="1" applyAlignment="1" applyProtection="1">
      <alignment horizontal="left" vertical="center" wrapText="1"/>
    </xf>
    <xf numFmtId="0" fontId="282" fillId="40" borderId="13" xfId="0" applyFont="1" applyFill="1" applyBorder="1" applyAlignment="1" applyProtection="1">
      <alignment horizontal="left" vertical="center" wrapText="1"/>
    </xf>
    <xf numFmtId="0" fontId="282" fillId="40" borderId="61" xfId="0" applyFont="1" applyFill="1" applyBorder="1" applyAlignment="1" applyProtection="1">
      <alignment horizontal="left" vertical="center" wrapText="1"/>
    </xf>
    <xf numFmtId="0" fontId="282" fillId="41" borderId="11" xfId="0" applyFont="1" applyFill="1" applyBorder="1" applyAlignment="1" applyProtection="1">
      <alignment horizontal="left" vertical="center" wrapText="1"/>
    </xf>
    <xf numFmtId="0" fontId="282" fillId="41" borderId="13" xfId="0" applyFont="1" applyFill="1" applyBorder="1" applyAlignment="1" applyProtection="1">
      <alignment horizontal="left" vertical="center" wrapText="1"/>
    </xf>
    <xf numFmtId="0" fontId="280" fillId="41" borderId="13" xfId="0" applyFont="1" applyFill="1" applyBorder="1" applyAlignment="1" applyProtection="1">
      <alignment horizontal="left" vertical="center" wrapText="1"/>
    </xf>
    <xf numFmtId="0" fontId="280" fillId="41" borderId="13" xfId="0" applyFont="1" applyFill="1" applyBorder="1" applyAlignment="1" applyProtection="1">
      <alignment horizontal="left" vertical="center" wrapText="1"/>
    </xf>
    <xf numFmtId="0" fontId="282" fillId="41" borderId="15" xfId="0" applyFont="1" applyFill="1" applyBorder="1" applyAlignment="1" applyProtection="1">
      <alignment vertical="center" wrapText="1"/>
    </xf>
    <xf numFmtId="0" fontId="280" fillId="41" borderId="15" xfId="0" applyFont="1" applyFill="1" applyBorder="1" applyAlignment="1" applyProtection="1">
      <alignment vertical="center" wrapText="1"/>
    </xf>
    <xf numFmtId="0" fontId="282" fillId="41" borderId="13" xfId="0" applyFont="1" applyFill="1" applyBorder="1" applyAlignment="1" applyProtection="1">
      <alignment horizontal="left" vertical="center" wrapText="1"/>
    </xf>
    <xf numFmtId="0" fontId="282" fillId="41" borderId="61" xfId="0" applyFont="1" applyFill="1" applyBorder="1" applyAlignment="1" applyProtection="1">
      <alignment horizontal="left" vertical="center" wrapText="1"/>
    </xf>
    <xf numFmtId="0" fontId="282" fillId="0" borderId="15" xfId="0" applyFont="1" applyFill="1" applyBorder="1" applyAlignment="1" applyProtection="1">
      <alignment vertical="center" wrapText="1"/>
    </xf>
    <xf numFmtId="0" fontId="282" fillId="0" borderId="13" xfId="0" applyFont="1" applyFill="1" applyBorder="1" applyAlignment="1" applyProtection="1">
      <alignment horizontal="left" vertical="center" wrapText="1"/>
    </xf>
    <xf numFmtId="0" fontId="282" fillId="0" borderId="61" xfId="0" applyFont="1" applyFill="1" applyBorder="1" applyAlignment="1" applyProtection="1">
      <alignment horizontal="left" vertical="center" wrapText="1"/>
    </xf>
    <xf numFmtId="0" fontId="280" fillId="0" borderId="22" xfId="0" applyFont="1" applyBorder="1" applyAlignment="1" applyProtection="1">
      <alignment horizontal="left" vertical="center" wrapText="1"/>
    </xf>
    <xf numFmtId="0" fontId="280" fillId="0" borderId="13" xfId="0" applyFont="1" applyBorder="1" applyAlignment="1" applyProtection="1">
      <alignment horizontal="left" vertical="center" wrapText="1"/>
    </xf>
    <xf numFmtId="0" fontId="107" fillId="6" borderId="67" xfId="0" applyFont="1" applyFill="1" applyBorder="1" applyAlignment="1" applyProtection="1">
      <alignment horizontal="left" vertical="center"/>
      <protection locked="0"/>
    </xf>
    <xf numFmtId="0" fontId="107" fillId="38" borderId="28" xfId="0" applyFont="1" applyFill="1" applyBorder="1" applyAlignment="1" applyProtection="1">
      <alignment horizontal="left" vertical="center"/>
      <protection locked="0"/>
    </xf>
    <xf numFmtId="0" fontId="107" fillId="38" borderId="4" xfId="0" applyFont="1" applyFill="1" applyBorder="1" applyAlignment="1" applyProtection="1">
      <alignment horizontal="left" vertical="center"/>
      <protection locked="0"/>
    </xf>
    <xf numFmtId="0" fontId="107" fillId="38" borderId="5" xfId="0" applyFont="1" applyFill="1" applyBorder="1" applyAlignment="1" applyProtection="1">
      <alignment horizontal="left" vertical="center"/>
      <protection locked="0"/>
    </xf>
    <xf numFmtId="0" fontId="107" fillId="42" borderId="75" xfId="0" applyFont="1" applyFill="1" applyBorder="1" applyAlignment="1" applyProtection="1">
      <alignment horizontal="left" vertical="center"/>
      <protection locked="0"/>
    </xf>
    <xf numFmtId="0" fontId="107" fillId="42" borderId="34" xfId="0" applyFont="1" applyFill="1" applyBorder="1" applyAlignment="1" applyProtection="1">
      <alignment horizontal="left" vertical="center"/>
      <protection locked="0"/>
    </xf>
    <xf numFmtId="0" fontId="107" fillId="40" borderId="28" xfId="0" applyFont="1" applyFill="1" applyBorder="1" applyAlignment="1" applyProtection="1">
      <alignment horizontal="left" vertical="center"/>
      <protection locked="0"/>
    </xf>
    <xf numFmtId="0" fontId="107" fillId="42" borderId="4" xfId="0" applyFont="1" applyFill="1" applyBorder="1" applyAlignment="1" applyProtection="1">
      <alignment horizontal="left" vertical="center"/>
      <protection locked="0"/>
    </xf>
    <xf numFmtId="0" fontId="107" fillId="42" borderId="5" xfId="0" applyFont="1" applyFill="1" applyBorder="1" applyAlignment="1" applyProtection="1">
      <alignment horizontal="left" vertical="center"/>
      <protection locked="0"/>
    </xf>
    <xf numFmtId="0" fontId="107" fillId="40" borderId="4" xfId="0" applyFont="1" applyFill="1" applyBorder="1" applyAlignment="1" applyProtection="1">
      <alignment horizontal="left" vertical="center"/>
      <protection locked="0"/>
    </xf>
    <xf numFmtId="49" fontId="107" fillId="40" borderId="4" xfId="0" applyNumberFormat="1" applyFont="1" applyFill="1" applyBorder="1" applyAlignment="1" applyProtection="1">
      <alignment horizontal="left" vertical="center"/>
      <protection locked="0"/>
    </xf>
    <xf numFmtId="14" fontId="107" fillId="40" borderId="4" xfId="0" applyNumberFormat="1" applyFont="1" applyFill="1" applyBorder="1" applyAlignment="1" applyProtection="1">
      <alignment horizontal="left" vertical="center"/>
      <protection locked="0"/>
    </xf>
    <xf numFmtId="0" fontId="107" fillId="41" borderId="4" xfId="0" applyFont="1" applyFill="1" applyBorder="1" applyAlignment="1" applyProtection="1">
      <alignment horizontal="left" vertical="center"/>
      <protection locked="0"/>
    </xf>
    <xf numFmtId="0" fontId="107" fillId="41" borderId="5" xfId="0" applyFont="1" applyFill="1" applyBorder="1" applyAlignment="1" applyProtection="1">
      <alignment horizontal="left" vertical="center"/>
      <protection locked="0"/>
    </xf>
    <xf numFmtId="181" fontId="107" fillId="43" borderId="4" xfId="17" applyNumberFormat="1" applyFont="1" applyFill="1" applyBorder="1" applyAlignment="1" applyProtection="1">
      <alignment horizontal="left" vertical="center"/>
      <protection locked="0"/>
    </xf>
    <xf numFmtId="0" fontId="284" fillId="42" borderId="4" xfId="0" applyFont="1" applyFill="1" applyBorder="1" applyAlignment="1" applyProtection="1">
      <alignment horizontal="left" vertical="center"/>
      <protection locked="0"/>
    </xf>
    <xf numFmtId="2" fontId="107" fillId="43" borderId="4" xfId="0" applyNumberFormat="1" applyFont="1" applyFill="1" applyBorder="1" applyAlignment="1" applyProtection="1">
      <alignment horizontal="left" vertical="center"/>
      <protection locked="0"/>
    </xf>
    <xf numFmtId="9" fontId="107" fillId="42" borderId="4" xfId="0" applyNumberFormat="1" applyFont="1" applyFill="1" applyBorder="1" applyAlignment="1" applyProtection="1">
      <alignment horizontal="left" vertical="center"/>
      <protection locked="0"/>
    </xf>
    <xf numFmtId="14" fontId="107" fillId="41" borderId="4" xfId="0" applyNumberFormat="1" applyFont="1" applyFill="1" applyBorder="1" applyAlignment="1" applyProtection="1">
      <alignment horizontal="left" vertical="center"/>
      <protection locked="0"/>
    </xf>
    <xf numFmtId="10" fontId="107" fillId="41" borderId="4" xfId="0" applyNumberFormat="1" applyFont="1" applyFill="1" applyBorder="1" applyAlignment="1" applyProtection="1">
      <alignment horizontal="left" vertical="center"/>
      <protection locked="0"/>
    </xf>
    <xf numFmtId="0" fontId="107" fillId="0" borderId="28" xfId="0" applyFont="1" applyFill="1" applyBorder="1" applyAlignment="1" applyProtection="1">
      <alignment horizontal="left" vertical="center"/>
      <protection locked="0"/>
    </xf>
    <xf numFmtId="9" fontId="107" fillId="42" borderId="5" xfId="0" applyNumberFormat="1" applyFont="1" applyFill="1" applyBorder="1" applyAlignment="1" applyProtection="1">
      <alignment horizontal="left" vertical="center"/>
      <protection locked="0"/>
    </xf>
    <xf numFmtId="0" fontId="107" fillId="0" borderId="5" xfId="0" applyFont="1" applyFill="1" applyBorder="1" applyAlignment="1" applyProtection="1">
      <alignment horizontal="left" vertical="center"/>
      <protection locked="0"/>
    </xf>
    <xf numFmtId="0" fontId="107" fillId="0" borderId="4" xfId="0" applyFont="1" applyBorder="1" applyAlignment="1" applyProtection="1">
      <alignment horizontal="left" vertical="center"/>
      <protection locked="0"/>
    </xf>
    <xf numFmtId="0" fontId="107" fillId="0" borderId="4" xfId="0" applyFont="1" applyFill="1" applyBorder="1" applyAlignment="1" applyProtection="1">
      <alignment horizontal="left" vertical="center"/>
      <protection locked="0"/>
    </xf>
    <xf numFmtId="14" fontId="107" fillId="0" borderId="4" xfId="0" applyNumberFormat="1" applyFont="1" applyFill="1" applyBorder="1" applyAlignment="1" applyProtection="1">
      <alignment horizontal="left" vertical="center"/>
      <protection locked="0"/>
    </xf>
    <xf numFmtId="0" fontId="107" fillId="0" borderId="180" xfId="0" applyFont="1" applyBorder="1" applyAlignment="1" applyProtection="1">
      <alignment horizontal="left" vertical="center"/>
      <protection locked="0"/>
    </xf>
    <xf numFmtId="14" fontId="107" fillId="0" borderId="180" xfId="0" applyNumberFormat="1" applyFont="1" applyBorder="1" applyAlignment="1" applyProtection="1">
      <alignment horizontal="left" vertical="center"/>
      <protection locked="0"/>
    </xf>
    <xf numFmtId="0" fontId="107" fillId="0" borderId="0" xfId="0" applyFont="1" applyAlignment="1" applyProtection="1">
      <alignment horizontal="left" vertical="center"/>
      <protection locked="0"/>
    </xf>
    <xf numFmtId="14" fontId="107" fillId="0" borderId="75" xfId="0" applyNumberFormat="1" applyFont="1" applyBorder="1" applyAlignment="1" applyProtection="1">
      <alignment horizontal="left" vertical="center"/>
      <protection locked="0"/>
    </xf>
    <xf numFmtId="49" fontId="222" fillId="0" borderId="24" xfId="0" applyNumberFormat="1" applyFont="1" applyFill="1" applyBorder="1" applyAlignment="1" applyProtection="1">
      <alignment vertical="center" wrapText="1"/>
      <protection locked="0"/>
    </xf>
    <xf numFmtId="0" fontId="77" fillId="7" borderId="0" xfId="0" applyFont="1" applyFill="1" applyAlignment="1" applyProtection="1">
      <alignment horizontal="left" vertical="center"/>
      <protection locked="0"/>
    </xf>
    <xf numFmtId="0" fontId="95" fillId="0" borderId="0" xfId="0" applyFont="1">
      <alignment vertical="center"/>
    </xf>
  </cellXfs>
  <cellStyles count="7079">
    <cellStyle name="20% - 强调文字颜色 1 2 10" xfId="19"/>
    <cellStyle name="20% - 强调文字颜色 1 2 10 2" xfId="20"/>
    <cellStyle name="20% - 强调文字颜色 1 2 10 3" xfId="21"/>
    <cellStyle name="20% - 强调文字颜色 1 2 10 4" xfId="22"/>
    <cellStyle name="20% - 强调文字颜色 1 2 10 5" xfId="23"/>
    <cellStyle name="20% - 强调文字颜色 1 2 11" xfId="24"/>
    <cellStyle name="20% - 强调文字颜色 1 2 11 2" xfId="25"/>
    <cellStyle name="20% - 强调文字颜色 1 2 11 3" xfId="26"/>
    <cellStyle name="20% - 强调文字颜色 1 2 11 4" xfId="27"/>
    <cellStyle name="20% - 强调文字颜色 1 2 11 5" xfId="28"/>
    <cellStyle name="20% - 强调文字颜色 1 2 12" xfId="29"/>
    <cellStyle name="20% - 强调文字颜色 1 2 12 2" xfId="30"/>
    <cellStyle name="20% - 强调文字颜色 1 2 12 3" xfId="31"/>
    <cellStyle name="20% - 强调文字颜色 1 2 12 4" xfId="32"/>
    <cellStyle name="20% - 强调文字颜色 1 2 12 5" xfId="33"/>
    <cellStyle name="20% - 强调文字颜色 1 2 13" xfId="34"/>
    <cellStyle name="20% - 强调文字颜色 1 2 14" xfId="35"/>
    <cellStyle name="20% - 强调文字颜色 1 2 15" xfId="36"/>
    <cellStyle name="20% - 强调文字颜色 1 2 16" xfId="37"/>
    <cellStyle name="20% - 强调文字颜色 1 2 17" xfId="38"/>
    <cellStyle name="20% - 强调文字颜色 1 2 18" xfId="39"/>
    <cellStyle name="20% - 强调文字颜色 1 2 19" xfId="40"/>
    <cellStyle name="20% - 强调文字颜色 1 2 2" xfId="41"/>
    <cellStyle name="20% - 强调文字颜色 1 2 2 10" xfId="42"/>
    <cellStyle name="20% - 强调文字颜色 1 2 2 2" xfId="43"/>
    <cellStyle name="20% - 强调文字颜色 1 2 2 3" xfId="44"/>
    <cellStyle name="20% - 强调文字颜色 1 2 2 4" xfId="45"/>
    <cellStyle name="20% - 强调文字颜色 1 2 2 5" xfId="46"/>
    <cellStyle name="20% - 强调文字颜色 1 2 2 6" xfId="47"/>
    <cellStyle name="20% - 强调文字颜色 1 2 2 7" xfId="48"/>
    <cellStyle name="20% - 强调文字颜色 1 2 2 8" xfId="49"/>
    <cellStyle name="20% - 强调文字颜色 1 2 2 9" xfId="50"/>
    <cellStyle name="20% - 强调文字颜色 1 2 20" xfId="51"/>
    <cellStyle name="20% - 强调文字颜色 1 2 21" xfId="52"/>
    <cellStyle name="20% - 强调文字颜色 1 2 22" xfId="53"/>
    <cellStyle name="20% - 强调文字颜色 1 2 23" xfId="54"/>
    <cellStyle name="20% - 强调文字颜色 1 2 24" xfId="55"/>
    <cellStyle name="20% - 强调文字颜色 1 2 25" xfId="56"/>
    <cellStyle name="20% - 强调文字颜色 1 2 26" xfId="57"/>
    <cellStyle name="20% - 强调文字颜色 1 2 3" xfId="58"/>
    <cellStyle name="20% - 强调文字颜色 1 2 3 10" xfId="59"/>
    <cellStyle name="20% - 强调文字颜色 1 2 3 2" xfId="60"/>
    <cellStyle name="20% - 强调文字颜色 1 2 3 3" xfId="61"/>
    <cellStyle name="20% - 强调文字颜色 1 2 3 4" xfId="62"/>
    <cellStyle name="20% - 强调文字颜色 1 2 3 5" xfId="63"/>
    <cellStyle name="20% - 强调文字颜色 1 2 3 6" xfId="64"/>
    <cellStyle name="20% - 强调文字颜色 1 2 3 7" xfId="65"/>
    <cellStyle name="20% - 强调文字颜色 1 2 3 8" xfId="66"/>
    <cellStyle name="20% - 强调文字颜色 1 2 3 9" xfId="67"/>
    <cellStyle name="20% - 强调文字颜色 1 2 4" xfId="68"/>
    <cellStyle name="20% - 强调文字颜色 1 2 4 10" xfId="69"/>
    <cellStyle name="20% - 强调文字颜色 1 2 4 2" xfId="70"/>
    <cellStyle name="20% - 强调文字颜色 1 2 4 3" xfId="71"/>
    <cellStyle name="20% - 强调文字颜色 1 2 4 4" xfId="72"/>
    <cellStyle name="20% - 强调文字颜色 1 2 4 5" xfId="73"/>
    <cellStyle name="20% - 强调文字颜色 1 2 4 6" xfId="74"/>
    <cellStyle name="20% - 强调文字颜色 1 2 4 7" xfId="75"/>
    <cellStyle name="20% - 强调文字颜色 1 2 4 8" xfId="76"/>
    <cellStyle name="20% - 强调文字颜色 1 2 4 9" xfId="77"/>
    <cellStyle name="20% - 强调文字颜色 1 2 5" xfId="78"/>
    <cellStyle name="20% - 强调文字颜色 1 2 5 10" xfId="79"/>
    <cellStyle name="20% - 强调文字颜色 1 2 5 2" xfId="80"/>
    <cellStyle name="20% - 强调文字颜色 1 2 5 3" xfId="81"/>
    <cellStyle name="20% - 强调文字颜色 1 2 5 4" xfId="82"/>
    <cellStyle name="20% - 强调文字颜色 1 2 5 5" xfId="83"/>
    <cellStyle name="20% - 强调文字颜色 1 2 5 6" xfId="84"/>
    <cellStyle name="20% - 强调文字颜色 1 2 5 7" xfId="85"/>
    <cellStyle name="20% - 强调文字颜色 1 2 5 8" xfId="86"/>
    <cellStyle name="20% - 强调文字颜色 1 2 5 9" xfId="87"/>
    <cellStyle name="20% - 强调文字颜色 1 2 6" xfId="88"/>
    <cellStyle name="20% - 强调文字颜色 1 2 6 10" xfId="89"/>
    <cellStyle name="20% - 强调文字颜色 1 2 6 2" xfId="90"/>
    <cellStyle name="20% - 强调文字颜色 1 2 6 3" xfId="91"/>
    <cellStyle name="20% - 强调文字颜色 1 2 6 4" xfId="92"/>
    <cellStyle name="20% - 强调文字颜色 1 2 6 5" xfId="93"/>
    <cellStyle name="20% - 强调文字颜色 1 2 6 6" xfId="94"/>
    <cellStyle name="20% - 强调文字颜色 1 2 6 7" xfId="95"/>
    <cellStyle name="20% - 强调文字颜色 1 2 6 8" xfId="96"/>
    <cellStyle name="20% - 强调文字颜色 1 2 6 9" xfId="97"/>
    <cellStyle name="20% - 强调文字颜色 1 2 7" xfId="98"/>
    <cellStyle name="20% - 强调文字颜色 1 2 7 10" xfId="99"/>
    <cellStyle name="20% - 强调文字颜色 1 2 7 2" xfId="100"/>
    <cellStyle name="20% - 强调文字颜色 1 2 7 3" xfId="101"/>
    <cellStyle name="20% - 强调文字颜色 1 2 7 4" xfId="102"/>
    <cellStyle name="20% - 强调文字颜色 1 2 7 5" xfId="103"/>
    <cellStyle name="20% - 强调文字颜色 1 2 7 6" xfId="104"/>
    <cellStyle name="20% - 强调文字颜色 1 2 7 7" xfId="105"/>
    <cellStyle name="20% - 强调文字颜色 1 2 7 8" xfId="106"/>
    <cellStyle name="20% - 强调文字颜色 1 2 7 9" xfId="107"/>
    <cellStyle name="20% - 强调文字颜色 1 2 8" xfId="108"/>
    <cellStyle name="20% - 强调文字颜色 1 2 8 2" xfId="109"/>
    <cellStyle name="20% - 强调文字颜色 1 2 8 3" xfId="110"/>
    <cellStyle name="20% - 强调文字颜色 1 2 8 4" xfId="111"/>
    <cellStyle name="20% - 强调文字颜色 1 2 8 5" xfId="112"/>
    <cellStyle name="20% - 强调文字颜色 1 2 9" xfId="113"/>
    <cellStyle name="20% - 强调文字颜色 1 2 9 2" xfId="114"/>
    <cellStyle name="20% - 强调文字颜色 1 2 9 3" xfId="115"/>
    <cellStyle name="20% - 强调文字颜色 1 2 9 4" xfId="116"/>
    <cellStyle name="20% - 强调文字颜色 1 2 9 5" xfId="117"/>
    <cellStyle name="20% - 强调文字颜色 1 3" xfId="118"/>
    <cellStyle name="20% - 强调文字颜色 1 3 10" xfId="119"/>
    <cellStyle name="20% - 强调文字颜色 1 3 2" xfId="120"/>
    <cellStyle name="20% - 强调文字颜色 1 3 3" xfId="121"/>
    <cellStyle name="20% - 强调文字颜色 1 3 4" xfId="122"/>
    <cellStyle name="20% - 强调文字颜色 1 3 5" xfId="123"/>
    <cellStyle name="20% - 强调文字颜色 1 3 6" xfId="124"/>
    <cellStyle name="20% - 强调文字颜色 1 3 7" xfId="125"/>
    <cellStyle name="20% - 强调文字颜色 1 3 8" xfId="126"/>
    <cellStyle name="20% - 强调文字颜色 1 3 9" xfId="127"/>
    <cellStyle name="20% - 强调文字颜色 2 2 10" xfId="128"/>
    <cellStyle name="20% - 强调文字颜色 2 2 10 2" xfId="129"/>
    <cellStyle name="20% - 强调文字颜色 2 2 10 3" xfId="130"/>
    <cellStyle name="20% - 强调文字颜色 2 2 10 4" xfId="131"/>
    <cellStyle name="20% - 强调文字颜色 2 2 10 5" xfId="132"/>
    <cellStyle name="20% - 强调文字颜色 2 2 11" xfId="133"/>
    <cellStyle name="20% - 强调文字颜色 2 2 11 2" xfId="134"/>
    <cellStyle name="20% - 强调文字颜色 2 2 11 3" xfId="135"/>
    <cellStyle name="20% - 强调文字颜色 2 2 11 4" xfId="136"/>
    <cellStyle name="20% - 强调文字颜色 2 2 11 5" xfId="137"/>
    <cellStyle name="20% - 强调文字颜色 2 2 12" xfId="138"/>
    <cellStyle name="20% - 强调文字颜色 2 2 12 2" xfId="139"/>
    <cellStyle name="20% - 强调文字颜色 2 2 12 3" xfId="140"/>
    <cellStyle name="20% - 强调文字颜色 2 2 12 4" xfId="141"/>
    <cellStyle name="20% - 强调文字颜色 2 2 12 5" xfId="142"/>
    <cellStyle name="20% - 强调文字颜色 2 2 13" xfId="143"/>
    <cellStyle name="20% - 强调文字颜色 2 2 14" xfId="144"/>
    <cellStyle name="20% - 强调文字颜色 2 2 15" xfId="145"/>
    <cellStyle name="20% - 强调文字颜色 2 2 16" xfId="146"/>
    <cellStyle name="20% - 强调文字颜色 2 2 17" xfId="147"/>
    <cellStyle name="20% - 强调文字颜色 2 2 18" xfId="148"/>
    <cellStyle name="20% - 强调文字颜色 2 2 19" xfId="149"/>
    <cellStyle name="20% - 强调文字颜色 2 2 2" xfId="150"/>
    <cellStyle name="20% - 强调文字颜色 2 2 2 10" xfId="151"/>
    <cellStyle name="20% - 强调文字颜色 2 2 2 2" xfId="152"/>
    <cellStyle name="20% - 强调文字颜色 2 2 2 3" xfId="153"/>
    <cellStyle name="20% - 强调文字颜色 2 2 2 4" xfId="154"/>
    <cellStyle name="20% - 强调文字颜色 2 2 2 5" xfId="155"/>
    <cellStyle name="20% - 强调文字颜色 2 2 2 6" xfId="156"/>
    <cellStyle name="20% - 强调文字颜色 2 2 2 7" xfId="157"/>
    <cellStyle name="20% - 强调文字颜色 2 2 2 8" xfId="158"/>
    <cellStyle name="20% - 强调文字颜色 2 2 2 9" xfId="159"/>
    <cellStyle name="20% - 强调文字颜色 2 2 20" xfId="160"/>
    <cellStyle name="20% - 强调文字颜色 2 2 21" xfId="161"/>
    <cellStyle name="20% - 强调文字颜色 2 2 22" xfId="162"/>
    <cellStyle name="20% - 强调文字颜色 2 2 23" xfId="163"/>
    <cellStyle name="20% - 强调文字颜色 2 2 24" xfId="164"/>
    <cellStyle name="20% - 强调文字颜色 2 2 25" xfId="165"/>
    <cellStyle name="20% - 强调文字颜色 2 2 26" xfId="166"/>
    <cellStyle name="20% - 强调文字颜色 2 2 3" xfId="167"/>
    <cellStyle name="20% - 强调文字颜色 2 2 3 10" xfId="168"/>
    <cellStyle name="20% - 强调文字颜色 2 2 3 2" xfId="169"/>
    <cellStyle name="20% - 强调文字颜色 2 2 3 3" xfId="170"/>
    <cellStyle name="20% - 强调文字颜色 2 2 3 4" xfId="171"/>
    <cellStyle name="20% - 强调文字颜色 2 2 3 5" xfId="172"/>
    <cellStyle name="20% - 强调文字颜色 2 2 3 6" xfId="173"/>
    <cellStyle name="20% - 强调文字颜色 2 2 3 7" xfId="174"/>
    <cellStyle name="20% - 强调文字颜色 2 2 3 8" xfId="175"/>
    <cellStyle name="20% - 强调文字颜色 2 2 3 9" xfId="176"/>
    <cellStyle name="20% - 强调文字颜色 2 2 4" xfId="177"/>
    <cellStyle name="20% - 强调文字颜色 2 2 4 10" xfId="178"/>
    <cellStyle name="20% - 强调文字颜色 2 2 4 2" xfId="179"/>
    <cellStyle name="20% - 强调文字颜色 2 2 4 3" xfId="180"/>
    <cellStyle name="20% - 强调文字颜色 2 2 4 4" xfId="181"/>
    <cellStyle name="20% - 强调文字颜色 2 2 4 5" xfId="182"/>
    <cellStyle name="20% - 强调文字颜色 2 2 4 6" xfId="183"/>
    <cellStyle name="20% - 强调文字颜色 2 2 4 7" xfId="184"/>
    <cellStyle name="20% - 强调文字颜色 2 2 4 8" xfId="185"/>
    <cellStyle name="20% - 强调文字颜色 2 2 4 9" xfId="186"/>
    <cellStyle name="20% - 强调文字颜色 2 2 5" xfId="187"/>
    <cellStyle name="20% - 强调文字颜色 2 2 5 10" xfId="188"/>
    <cellStyle name="20% - 强调文字颜色 2 2 5 2" xfId="189"/>
    <cellStyle name="20% - 强调文字颜色 2 2 5 3" xfId="190"/>
    <cellStyle name="20% - 强调文字颜色 2 2 5 4" xfId="191"/>
    <cellStyle name="20% - 强调文字颜色 2 2 5 5" xfId="192"/>
    <cellStyle name="20% - 强调文字颜色 2 2 5 6" xfId="193"/>
    <cellStyle name="20% - 强调文字颜色 2 2 5 7" xfId="194"/>
    <cellStyle name="20% - 强调文字颜色 2 2 5 8" xfId="195"/>
    <cellStyle name="20% - 强调文字颜色 2 2 5 9" xfId="196"/>
    <cellStyle name="20% - 强调文字颜色 2 2 6" xfId="197"/>
    <cellStyle name="20% - 强调文字颜色 2 2 6 10" xfId="198"/>
    <cellStyle name="20% - 强调文字颜色 2 2 6 2" xfId="199"/>
    <cellStyle name="20% - 强调文字颜色 2 2 6 3" xfId="200"/>
    <cellStyle name="20% - 强调文字颜色 2 2 6 4" xfId="201"/>
    <cellStyle name="20% - 强调文字颜色 2 2 6 5" xfId="202"/>
    <cellStyle name="20% - 强调文字颜色 2 2 6 6" xfId="203"/>
    <cellStyle name="20% - 强调文字颜色 2 2 6 7" xfId="204"/>
    <cellStyle name="20% - 强调文字颜色 2 2 6 8" xfId="205"/>
    <cellStyle name="20% - 强调文字颜色 2 2 6 9" xfId="206"/>
    <cellStyle name="20% - 强调文字颜色 2 2 7" xfId="207"/>
    <cellStyle name="20% - 强调文字颜色 2 2 7 10" xfId="208"/>
    <cellStyle name="20% - 强调文字颜色 2 2 7 2" xfId="209"/>
    <cellStyle name="20% - 强调文字颜色 2 2 7 3" xfId="210"/>
    <cellStyle name="20% - 强调文字颜色 2 2 7 4" xfId="211"/>
    <cellStyle name="20% - 强调文字颜色 2 2 7 5" xfId="212"/>
    <cellStyle name="20% - 强调文字颜色 2 2 7 6" xfId="213"/>
    <cellStyle name="20% - 强调文字颜色 2 2 7 7" xfId="214"/>
    <cellStyle name="20% - 强调文字颜色 2 2 7 8" xfId="215"/>
    <cellStyle name="20% - 强调文字颜色 2 2 7 9" xfId="216"/>
    <cellStyle name="20% - 强调文字颜色 2 2 8" xfId="217"/>
    <cellStyle name="20% - 强调文字颜色 2 2 8 2" xfId="218"/>
    <cellStyle name="20% - 强调文字颜色 2 2 8 3" xfId="219"/>
    <cellStyle name="20% - 强调文字颜色 2 2 8 4" xfId="220"/>
    <cellStyle name="20% - 强调文字颜色 2 2 8 5" xfId="221"/>
    <cellStyle name="20% - 强调文字颜色 2 2 9" xfId="222"/>
    <cellStyle name="20% - 强调文字颜色 2 2 9 2" xfId="223"/>
    <cellStyle name="20% - 强调文字颜色 2 2 9 3" xfId="224"/>
    <cellStyle name="20% - 强调文字颜色 2 2 9 4" xfId="225"/>
    <cellStyle name="20% - 强调文字颜色 2 2 9 5" xfId="226"/>
    <cellStyle name="20% - 强调文字颜色 2 3" xfId="227"/>
    <cellStyle name="20% - 强调文字颜色 2 3 10" xfId="228"/>
    <cellStyle name="20% - 强调文字颜色 2 3 2" xfId="229"/>
    <cellStyle name="20% - 强调文字颜色 2 3 3" xfId="230"/>
    <cellStyle name="20% - 强调文字颜色 2 3 4" xfId="231"/>
    <cellStyle name="20% - 强调文字颜色 2 3 5" xfId="232"/>
    <cellStyle name="20% - 强调文字颜色 2 3 6" xfId="233"/>
    <cellStyle name="20% - 强调文字颜色 2 3 7" xfId="234"/>
    <cellStyle name="20% - 强调文字颜色 2 3 8" xfId="235"/>
    <cellStyle name="20% - 强调文字颜色 2 3 9" xfId="236"/>
    <cellStyle name="20% - 强调文字颜色 3 2 10" xfId="237"/>
    <cellStyle name="20% - 强调文字颜色 3 2 10 2" xfId="238"/>
    <cellStyle name="20% - 强调文字颜色 3 2 10 3" xfId="239"/>
    <cellStyle name="20% - 强调文字颜色 3 2 10 4" xfId="240"/>
    <cellStyle name="20% - 强调文字颜色 3 2 10 5" xfId="241"/>
    <cellStyle name="20% - 强调文字颜色 3 2 11" xfId="242"/>
    <cellStyle name="20% - 强调文字颜色 3 2 11 2" xfId="243"/>
    <cellStyle name="20% - 强调文字颜色 3 2 11 3" xfId="244"/>
    <cellStyle name="20% - 强调文字颜色 3 2 11 4" xfId="245"/>
    <cellStyle name="20% - 强调文字颜色 3 2 11 5" xfId="246"/>
    <cellStyle name="20% - 强调文字颜色 3 2 12" xfId="247"/>
    <cellStyle name="20% - 强调文字颜色 3 2 12 2" xfId="248"/>
    <cellStyle name="20% - 强调文字颜色 3 2 12 3" xfId="249"/>
    <cellStyle name="20% - 强调文字颜色 3 2 12 4" xfId="250"/>
    <cellStyle name="20% - 强调文字颜色 3 2 12 5" xfId="251"/>
    <cellStyle name="20% - 强调文字颜色 3 2 13" xfId="252"/>
    <cellStyle name="20% - 强调文字颜色 3 2 14" xfId="253"/>
    <cellStyle name="20% - 强调文字颜色 3 2 15" xfId="254"/>
    <cellStyle name="20% - 强调文字颜色 3 2 16" xfId="255"/>
    <cellStyle name="20% - 强调文字颜色 3 2 17" xfId="256"/>
    <cellStyle name="20% - 强调文字颜色 3 2 18" xfId="257"/>
    <cellStyle name="20% - 强调文字颜色 3 2 19" xfId="258"/>
    <cellStyle name="20% - 强调文字颜色 3 2 2" xfId="259"/>
    <cellStyle name="20% - 强调文字颜色 3 2 2 10" xfId="260"/>
    <cellStyle name="20% - 强调文字颜色 3 2 2 2" xfId="261"/>
    <cellStyle name="20% - 强调文字颜色 3 2 2 3" xfId="262"/>
    <cellStyle name="20% - 强调文字颜色 3 2 2 4" xfId="263"/>
    <cellStyle name="20% - 强调文字颜色 3 2 2 5" xfId="264"/>
    <cellStyle name="20% - 强调文字颜色 3 2 2 6" xfId="265"/>
    <cellStyle name="20% - 强调文字颜色 3 2 2 7" xfId="266"/>
    <cellStyle name="20% - 强调文字颜色 3 2 2 8" xfId="267"/>
    <cellStyle name="20% - 强调文字颜色 3 2 2 9" xfId="268"/>
    <cellStyle name="20% - 强调文字颜色 3 2 20" xfId="269"/>
    <cellStyle name="20% - 强调文字颜色 3 2 21" xfId="270"/>
    <cellStyle name="20% - 强调文字颜色 3 2 22" xfId="271"/>
    <cellStyle name="20% - 强调文字颜色 3 2 23" xfId="272"/>
    <cellStyle name="20% - 强调文字颜色 3 2 24" xfId="273"/>
    <cellStyle name="20% - 强调文字颜色 3 2 25" xfId="274"/>
    <cellStyle name="20% - 强调文字颜色 3 2 26" xfId="275"/>
    <cellStyle name="20% - 强调文字颜色 3 2 3" xfId="276"/>
    <cellStyle name="20% - 强调文字颜色 3 2 3 10" xfId="277"/>
    <cellStyle name="20% - 强调文字颜色 3 2 3 2" xfId="278"/>
    <cellStyle name="20% - 强调文字颜色 3 2 3 3" xfId="279"/>
    <cellStyle name="20% - 强调文字颜色 3 2 3 4" xfId="280"/>
    <cellStyle name="20% - 强调文字颜色 3 2 3 5" xfId="281"/>
    <cellStyle name="20% - 强调文字颜色 3 2 3 6" xfId="282"/>
    <cellStyle name="20% - 强调文字颜色 3 2 3 7" xfId="283"/>
    <cellStyle name="20% - 强调文字颜色 3 2 3 8" xfId="284"/>
    <cellStyle name="20% - 强调文字颜色 3 2 3 9" xfId="285"/>
    <cellStyle name="20% - 强调文字颜色 3 2 4" xfId="286"/>
    <cellStyle name="20% - 强调文字颜色 3 2 4 10" xfId="287"/>
    <cellStyle name="20% - 强调文字颜色 3 2 4 2" xfId="288"/>
    <cellStyle name="20% - 强调文字颜色 3 2 4 3" xfId="289"/>
    <cellStyle name="20% - 强调文字颜色 3 2 4 4" xfId="290"/>
    <cellStyle name="20% - 强调文字颜色 3 2 4 5" xfId="291"/>
    <cellStyle name="20% - 强调文字颜色 3 2 4 6" xfId="292"/>
    <cellStyle name="20% - 强调文字颜色 3 2 4 7" xfId="293"/>
    <cellStyle name="20% - 强调文字颜色 3 2 4 8" xfId="294"/>
    <cellStyle name="20% - 强调文字颜色 3 2 4 9" xfId="295"/>
    <cellStyle name="20% - 强调文字颜色 3 2 5" xfId="296"/>
    <cellStyle name="20% - 强调文字颜色 3 2 5 10" xfId="297"/>
    <cellStyle name="20% - 强调文字颜色 3 2 5 2" xfId="298"/>
    <cellStyle name="20% - 强调文字颜色 3 2 5 3" xfId="299"/>
    <cellStyle name="20% - 强调文字颜色 3 2 5 4" xfId="300"/>
    <cellStyle name="20% - 强调文字颜色 3 2 5 5" xfId="301"/>
    <cellStyle name="20% - 强调文字颜色 3 2 5 6" xfId="302"/>
    <cellStyle name="20% - 强调文字颜色 3 2 5 7" xfId="303"/>
    <cellStyle name="20% - 强调文字颜色 3 2 5 8" xfId="304"/>
    <cellStyle name="20% - 强调文字颜色 3 2 5 9" xfId="305"/>
    <cellStyle name="20% - 强调文字颜色 3 2 6" xfId="306"/>
    <cellStyle name="20% - 强调文字颜色 3 2 6 10" xfId="307"/>
    <cellStyle name="20% - 强调文字颜色 3 2 6 2" xfId="308"/>
    <cellStyle name="20% - 强调文字颜色 3 2 6 3" xfId="309"/>
    <cellStyle name="20% - 强调文字颜色 3 2 6 4" xfId="310"/>
    <cellStyle name="20% - 强调文字颜色 3 2 6 5" xfId="311"/>
    <cellStyle name="20% - 强调文字颜色 3 2 6 6" xfId="312"/>
    <cellStyle name="20% - 强调文字颜色 3 2 6 7" xfId="313"/>
    <cellStyle name="20% - 强调文字颜色 3 2 6 8" xfId="314"/>
    <cellStyle name="20% - 强调文字颜色 3 2 6 9" xfId="315"/>
    <cellStyle name="20% - 强调文字颜色 3 2 7" xfId="316"/>
    <cellStyle name="20% - 强调文字颜色 3 2 7 10" xfId="317"/>
    <cellStyle name="20% - 强调文字颜色 3 2 7 2" xfId="318"/>
    <cellStyle name="20% - 强调文字颜色 3 2 7 3" xfId="319"/>
    <cellStyle name="20% - 强调文字颜色 3 2 7 4" xfId="320"/>
    <cellStyle name="20% - 强调文字颜色 3 2 7 5" xfId="321"/>
    <cellStyle name="20% - 强调文字颜色 3 2 7 6" xfId="322"/>
    <cellStyle name="20% - 强调文字颜色 3 2 7 7" xfId="323"/>
    <cellStyle name="20% - 强调文字颜色 3 2 7 8" xfId="324"/>
    <cellStyle name="20% - 强调文字颜色 3 2 7 9" xfId="325"/>
    <cellStyle name="20% - 强调文字颜色 3 2 8" xfId="326"/>
    <cellStyle name="20% - 强调文字颜色 3 2 8 2" xfId="327"/>
    <cellStyle name="20% - 强调文字颜色 3 2 8 3" xfId="328"/>
    <cellStyle name="20% - 强调文字颜色 3 2 8 4" xfId="329"/>
    <cellStyle name="20% - 强调文字颜色 3 2 8 5" xfId="330"/>
    <cellStyle name="20% - 强调文字颜色 3 2 9" xfId="331"/>
    <cellStyle name="20% - 强调文字颜色 3 2 9 2" xfId="332"/>
    <cellStyle name="20% - 强调文字颜色 3 2 9 3" xfId="333"/>
    <cellStyle name="20% - 强调文字颜色 3 2 9 4" xfId="334"/>
    <cellStyle name="20% - 强调文字颜色 3 2 9 5" xfId="335"/>
    <cellStyle name="20% - 强调文字颜色 3 3" xfId="336"/>
    <cellStyle name="20% - 强调文字颜色 3 3 10" xfId="337"/>
    <cellStyle name="20% - 强调文字颜色 3 3 2" xfId="338"/>
    <cellStyle name="20% - 强调文字颜色 3 3 3" xfId="339"/>
    <cellStyle name="20% - 强调文字颜色 3 3 4" xfId="340"/>
    <cellStyle name="20% - 强调文字颜色 3 3 5" xfId="341"/>
    <cellStyle name="20% - 强调文字颜色 3 3 6" xfId="342"/>
    <cellStyle name="20% - 强调文字颜色 3 3 7" xfId="343"/>
    <cellStyle name="20% - 强调文字颜色 3 3 8" xfId="344"/>
    <cellStyle name="20% - 强调文字颜色 3 3 9" xfId="345"/>
    <cellStyle name="20% - 强调文字颜色 4 2 10" xfId="346"/>
    <cellStyle name="20% - 强调文字颜色 4 2 10 2" xfId="347"/>
    <cellStyle name="20% - 强调文字颜色 4 2 10 3" xfId="348"/>
    <cellStyle name="20% - 强调文字颜色 4 2 10 4" xfId="349"/>
    <cellStyle name="20% - 强调文字颜色 4 2 10 5" xfId="350"/>
    <cellStyle name="20% - 强调文字颜色 4 2 11" xfId="351"/>
    <cellStyle name="20% - 强调文字颜色 4 2 11 2" xfId="352"/>
    <cellStyle name="20% - 强调文字颜色 4 2 11 3" xfId="353"/>
    <cellStyle name="20% - 强调文字颜色 4 2 11 4" xfId="354"/>
    <cellStyle name="20% - 强调文字颜色 4 2 11 5" xfId="355"/>
    <cellStyle name="20% - 强调文字颜色 4 2 12" xfId="356"/>
    <cellStyle name="20% - 强调文字颜色 4 2 12 2" xfId="357"/>
    <cellStyle name="20% - 强调文字颜色 4 2 12 3" xfId="358"/>
    <cellStyle name="20% - 强调文字颜色 4 2 12 4" xfId="359"/>
    <cellStyle name="20% - 强调文字颜色 4 2 12 5" xfId="360"/>
    <cellStyle name="20% - 强调文字颜色 4 2 13" xfId="361"/>
    <cellStyle name="20% - 强调文字颜色 4 2 14" xfId="362"/>
    <cellStyle name="20% - 强调文字颜色 4 2 15" xfId="363"/>
    <cellStyle name="20% - 强调文字颜色 4 2 16" xfId="364"/>
    <cellStyle name="20% - 强调文字颜色 4 2 17" xfId="365"/>
    <cellStyle name="20% - 强调文字颜色 4 2 18" xfId="366"/>
    <cellStyle name="20% - 强调文字颜色 4 2 19" xfId="367"/>
    <cellStyle name="20% - 强调文字颜色 4 2 2" xfId="368"/>
    <cellStyle name="20% - 强调文字颜色 4 2 2 10" xfId="369"/>
    <cellStyle name="20% - 强调文字颜色 4 2 2 2" xfId="370"/>
    <cellStyle name="20% - 强调文字颜色 4 2 2 3" xfId="371"/>
    <cellStyle name="20% - 强调文字颜色 4 2 2 4" xfId="372"/>
    <cellStyle name="20% - 强调文字颜色 4 2 2 5" xfId="373"/>
    <cellStyle name="20% - 强调文字颜色 4 2 2 6" xfId="374"/>
    <cellStyle name="20% - 强调文字颜色 4 2 2 7" xfId="375"/>
    <cellStyle name="20% - 强调文字颜色 4 2 2 8" xfId="376"/>
    <cellStyle name="20% - 强调文字颜色 4 2 2 9" xfId="377"/>
    <cellStyle name="20% - 强调文字颜色 4 2 20" xfId="378"/>
    <cellStyle name="20% - 强调文字颜色 4 2 21" xfId="379"/>
    <cellStyle name="20% - 强调文字颜色 4 2 22" xfId="380"/>
    <cellStyle name="20% - 强调文字颜色 4 2 23" xfId="381"/>
    <cellStyle name="20% - 强调文字颜色 4 2 24" xfId="382"/>
    <cellStyle name="20% - 强调文字颜色 4 2 25" xfId="383"/>
    <cellStyle name="20% - 强调文字颜色 4 2 26" xfId="384"/>
    <cellStyle name="20% - 强调文字颜色 4 2 3" xfId="385"/>
    <cellStyle name="20% - 强调文字颜色 4 2 3 10" xfId="386"/>
    <cellStyle name="20% - 强调文字颜色 4 2 3 2" xfId="387"/>
    <cellStyle name="20% - 强调文字颜色 4 2 3 3" xfId="388"/>
    <cellStyle name="20% - 强调文字颜色 4 2 3 4" xfId="389"/>
    <cellStyle name="20% - 强调文字颜色 4 2 3 5" xfId="390"/>
    <cellStyle name="20% - 强调文字颜色 4 2 3 6" xfId="391"/>
    <cellStyle name="20% - 强调文字颜色 4 2 3 7" xfId="392"/>
    <cellStyle name="20% - 强调文字颜色 4 2 3 8" xfId="393"/>
    <cellStyle name="20% - 强调文字颜色 4 2 3 9" xfId="394"/>
    <cellStyle name="20% - 强调文字颜色 4 2 4" xfId="395"/>
    <cellStyle name="20% - 强调文字颜色 4 2 4 10" xfId="396"/>
    <cellStyle name="20% - 强调文字颜色 4 2 4 2" xfId="397"/>
    <cellStyle name="20% - 强调文字颜色 4 2 4 3" xfId="398"/>
    <cellStyle name="20% - 强调文字颜色 4 2 4 4" xfId="399"/>
    <cellStyle name="20% - 强调文字颜色 4 2 4 5" xfId="400"/>
    <cellStyle name="20% - 强调文字颜色 4 2 4 6" xfId="401"/>
    <cellStyle name="20% - 强调文字颜色 4 2 4 7" xfId="402"/>
    <cellStyle name="20% - 强调文字颜色 4 2 4 8" xfId="403"/>
    <cellStyle name="20% - 强调文字颜色 4 2 4 9" xfId="404"/>
    <cellStyle name="20% - 强调文字颜色 4 2 5" xfId="405"/>
    <cellStyle name="20% - 强调文字颜色 4 2 5 10" xfId="406"/>
    <cellStyle name="20% - 强调文字颜色 4 2 5 2" xfId="407"/>
    <cellStyle name="20% - 强调文字颜色 4 2 5 3" xfId="408"/>
    <cellStyle name="20% - 强调文字颜色 4 2 5 4" xfId="409"/>
    <cellStyle name="20% - 强调文字颜色 4 2 5 5" xfId="410"/>
    <cellStyle name="20% - 强调文字颜色 4 2 5 6" xfId="411"/>
    <cellStyle name="20% - 强调文字颜色 4 2 5 7" xfId="412"/>
    <cellStyle name="20% - 强调文字颜色 4 2 5 8" xfId="413"/>
    <cellStyle name="20% - 强调文字颜色 4 2 5 9" xfId="414"/>
    <cellStyle name="20% - 强调文字颜色 4 2 6" xfId="415"/>
    <cellStyle name="20% - 强调文字颜色 4 2 6 10" xfId="416"/>
    <cellStyle name="20% - 强调文字颜色 4 2 6 2" xfId="417"/>
    <cellStyle name="20% - 强调文字颜色 4 2 6 3" xfId="418"/>
    <cellStyle name="20% - 强调文字颜色 4 2 6 4" xfId="419"/>
    <cellStyle name="20% - 强调文字颜色 4 2 6 5" xfId="420"/>
    <cellStyle name="20% - 强调文字颜色 4 2 6 6" xfId="421"/>
    <cellStyle name="20% - 强调文字颜色 4 2 6 7" xfId="422"/>
    <cellStyle name="20% - 强调文字颜色 4 2 6 8" xfId="423"/>
    <cellStyle name="20% - 强调文字颜色 4 2 6 9" xfId="424"/>
    <cellStyle name="20% - 强调文字颜色 4 2 7" xfId="425"/>
    <cellStyle name="20% - 强调文字颜色 4 2 7 10" xfId="426"/>
    <cellStyle name="20% - 强调文字颜色 4 2 7 2" xfId="427"/>
    <cellStyle name="20% - 强调文字颜色 4 2 7 3" xfId="428"/>
    <cellStyle name="20% - 强调文字颜色 4 2 7 4" xfId="429"/>
    <cellStyle name="20% - 强调文字颜色 4 2 7 5" xfId="430"/>
    <cellStyle name="20% - 强调文字颜色 4 2 7 6" xfId="431"/>
    <cellStyle name="20% - 强调文字颜色 4 2 7 7" xfId="432"/>
    <cellStyle name="20% - 强调文字颜色 4 2 7 8" xfId="433"/>
    <cellStyle name="20% - 强调文字颜色 4 2 7 9" xfId="434"/>
    <cellStyle name="20% - 强调文字颜色 4 2 8" xfId="435"/>
    <cellStyle name="20% - 强调文字颜色 4 2 8 2" xfId="436"/>
    <cellStyle name="20% - 强调文字颜色 4 2 8 3" xfId="437"/>
    <cellStyle name="20% - 强调文字颜色 4 2 8 4" xfId="438"/>
    <cellStyle name="20% - 强调文字颜色 4 2 8 5" xfId="439"/>
    <cellStyle name="20% - 强调文字颜色 4 2 9" xfId="440"/>
    <cellStyle name="20% - 强调文字颜色 4 2 9 2" xfId="441"/>
    <cellStyle name="20% - 强调文字颜色 4 2 9 3" xfId="442"/>
    <cellStyle name="20% - 强调文字颜色 4 2 9 4" xfId="443"/>
    <cellStyle name="20% - 强调文字颜色 4 2 9 5" xfId="444"/>
    <cellStyle name="20% - 强调文字颜色 4 3" xfId="445"/>
    <cellStyle name="20% - 强调文字颜色 4 3 10" xfId="446"/>
    <cellStyle name="20% - 强调文字颜色 4 3 2" xfId="447"/>
    <cellStyle name="20% - 强调文字颜色 4 3 3" xfId="448"/>
    <cellStyle name="20% - 强调文字颜色 4 3 4" xfId="449"/>
    <cellStyle name="20% - 强调文字颜色 4 3 5" xfId="450"/>
    <cellStyle name="20% - 强调文字颜色 4 3 6" xfId="451"/>
    <cellStyle name="20% - 强调文字颜色 4 3 7" xfId="452"/>
    <cellStyle name="20% - 强调文字颜色 4 3 8" xfId="453"/>
    <cellStyle name="20% - 强调文字颜色 4 3 9" xfId="454"/>
    <cellStyle name="20% - 强调文字颜色 5 2 10" xfId="455"/>
    <cellStyle name="20% - 强调文字颜色 5 2 10 2" xfId="456"/>
    <cellStyle name="20% - 强调文字颜色 5 2 10 3" xfId="457"/>
    <cellStyle name="20% - 强调文字颜色 5 2 10 4" xfId="458"/>
    <cellStyle name="20% - 强调文字颜色 5 2 10 5" xfId="459"/>
    <cellStyle name="20% - 强调文字颜色 5 2 11" xfId="460"/>
    <cellStyle name="20% - 强调文字颜色 5 2 11 2" xfId="461"/>
    <cellStyle name="20% - 强调文字颜色 5 2 11 3" xfId="462"/>
    <cellStyle name="20% - 强调文字颜色 5 2 11 4" xfId="463"/>
    <cellStyle name="20% - 强调文字颜色 5 2 11 5" xfId="464"/>
    <cellStyle name="20% - 强调文字颜色 5 2 12" xfId="465"/>
    <cellStyle name="20% - 强调文字颜色 5 2 12 2" xfId="466"/>
    <cellStyle name="20% - 强调文字颜色 5 2 12 3" xfId="467"/>
    <cellStyle name="20% - 强调文字颜色 5 2 12 4" xfId="468"/>
    <cellStyle name="20% - 强调文字颜色 5 2 12 5" xfId="469"/>
    <cellStyle name="20% - 强调文字颜色 5 2 13" xfId="470"/>
    <cellStyle name="20% - 强调文字颜色 5 2 14" xfId="471"/>
    <cellStyle name="20% - 强调文字颜色 5 2 15" xfId="472"/>
    <cellStyle name="20% - 强调文字颜色 5 2 16" xfId="473"/>
    <cellStyle name="20% - 强调文字颜色 5 2 17" xfId="474"/>
    <cellStyle name="20% - 强调文字颜色 5 2 18" xfId="475"/>
    <cellStyle name="20% - 强调文字颜色 5 2 19" xfId="476"/>
    <cellStyle name="20% - 强调文字颜色 5 2 2" xfId="477"/>
    <cellStyle name="20% - 强调文字颜色 5 2 2 10" xfId="478"/>
    <cellStyle name="20% - 强调文字颜色 5 2 2 2" xfId="479"/>
    <cellStyle name="20% - 强调文字颜色 5 2 2 3" xfId="480"/>
    <cellStyle name="20% - 强调文字颜色 5 2 2 4" xfId="481"/>
    <cellStyle name="20% - 强调文字颜色 5 2 2 5" xfId="482"/>
    <cellStyle name="20% - 强调文字颜色 5 2 2 6" xfId="483"/>
    <cellStyle name="20% - 强调文字颜色 5 2 2 7" xfId="484"/>
    <cellStyle name="20% - 强调文字颜色 5 2 2 8" xfId="485"/>
    <cellStyle name="20% - 强调文字颜色 5 2 2 9" xfId="486"/>
    <cellStyle name="20% - 强调文字颜色 5 2 20" xfId="487"/>
    <cellStyle name="20% - 强调文字颜色 5 2 21" xfId="488"/>
    <cellStyle name="20% - 强调文字颜色 5 2 22" xfId="489"/>
    <cellStyle name="20% - 强调文字颜色 5 2 23" xfId="490"/>
    <cellStyle name="20% - 强调文字颜色 5 2 24" xfId="491"/>
    <cellStyle name="20% - 强调文字颜色 5 2 25" xfId="492"/>
    <cellStyle name="20% - 强调文字颜色 5 2 26" xfId="493"/>
    <cellStyle name="20% - 强调文字颜色 5 2 3" xfId="494"/>
    <cellStyle name="20% - 强调文字颜色 5 2 3 10" xfId="495"/>
    <cellStyle name="20% - 强调文字颜色 5 2 3 2" xfId="496"/>
    <cellStyle name="20% - 强调文字颜色 5 2 3 3" xfId="497"/>
    <cellStyle name="20% - 强调文字颜色 5 2 3 4" xfId="498"/>
    <cellStyle name="20% - 强调文字颜色 5 2 3 5" xfId="499"/>
    <cellStyle name="20% - 强调文字颜色 5 2 3 6" xfId="500"/>
    <cellStyle name="20% - 强调文字颜色 5 2 3 7" xfId="501"/>
    <cellStyle name="20% - 强调文字颜色 5 2 3 8" xfId="502"/>
    <cellStyle name="20% - 强调文字颜色 5 2 3 9" xfId="503"/>
    <cellStyle name="20% - 强调文字颜色 5 2 4" xfId="504"/>
    <cellStyle name="20% - 强调文字颜色 5 2 4 10" xfId="505"/>
    <cellStyle name="20% - 强调文字颜色 5 2 4 2" xfId="506"/>
    <cellStyle name="20% - 强调文字颜色 5 2 4 3" xfId="507"/>
    <cellStyle name="20% - 强调文字颜色 5 2 4 4" xfId="508"/>
    <cellStyle name="20% - 强调文字颜色 5 2 4 5" xfId="509"/>
    <cellStyle name="20% - 强调文字颜色 5 2 4 6" xfId="510"/>
    <cellStyle name="20% - 强调文字颜色 5 2 4 7" xfId="511"/>
    <cellStyle name="20% - 强调文字颜色 5 2 4 8" xfId="512"/>
    <cellStyle name="20% - 强调文字颜色 5 2 4 9" xfId="513"/>
    <cellStyle name="20% - 强调文字颜色 5 2 5" xfId="514"/>
    <cellStyle name="20% - 强调文字颜色 5 2 5 10" xfId="515"/>
    <cellStyle name="20% - 强调文字颜色 5 2 5 2" xfId="516"/>
    <cellStyle name="20% - 强调文字颜色 5 2 5 3" xfId="517"/>
    <cellStyle name="20% - 强调文字颜色 5 2 5 4" xfId="518"/>
    <cellStyle name="20% - 强调文字颜色 5 2 5 5" xfId="519"/>
    <cellStyle name="20% - 强调文字颜色 5 2 5 6" xfId="520"/>
    <cellStyle name="20% - 强调文字颜色 5 2 5 7" xfId="521"/>
    <cellStyle name="20% - 强调文字颜色 5 2 5 8" xfId="522"/>
    <cellStyle name="20% - 强调文字颜色 5 2 5 9" xfId="523"/>
    <cellStyle name="20% - 强调文字颜色 5 2 6" xfId="524"/>
    <cellStyle name="20% - 强调文字颜色 5 2 6 10" xfId="525"/>
    <cellStyle name="20% - 强调文字颜色 5 2 6 2" xfId="526"/>
    <cellStyle name="20% - 强调文字颜色 5 2 6 3" xfId="527"/>
    <cellStyle name="20% - 强调文字颜色 5 2 6 4" xfId="528"/>
    <cellStyle name="20% - 强调文字颜色 5 2 6 5" xfId="529"/>
    <cellStyle name="20% - 强调文字颜色 5 2 6 6" xfId="530"/>
    <cellStyle name="20% - 强调文字颜色 5 2 6 7" xfId="531"/>
    <cellStyle name="20% - 强调文字颜色 5 2 6 8" xfId="532"/>
    <cellStyle name="20% - 强调文字颜色 5 2 6 9" xfId="533"/>
    <cellStyle name="20% - 强调文字颜色 5 2 7" xfId="534"/>
    <cellStyle name="20% - 强调文字颜色 5 2 7 10" xfId="535"/>
    <cellStyle name="20% - 强调文字颜色 5 2 7 2" xfId="536"/>
    <cellStyle name="20% - 强调文字颜色 5 2 7 3" xfId="537"/>
    <cellStyle name="20% - 强调文字颜色 5 2 7 4" xfId="538"/>
    <cellStyle name="20% - 强调文字颜色 5 2 7 5" xfId="539"/>
    <cellStyle name="20% - 强调文字颜色 5 2 7 6" xfId="540"/>
    <cellStyle name="20% - 强调文字颜色 5 2 7 7" xfId="541"/>
    <cellStyle name="20% - 强调文字颜色 5 2 7 8" xfId="542"/>
    <cellStyle name="20% - 强调文字颜色 5 2 7 9" xfId="543"/>
    <cellStyle name="20% - 强调文字颜色 5 2 8" xfId="544"/>
    <cellStyle name="20% - 强调文字颜色 5 2 8 2" xfId="545"/>
    <cellStyle name="20% - 强调文字颜色 5 2 8 3" xfId="546"/>
    <cellStyle name="20% - 强调文字颜色 5 2 8 4" xfId="547"/>
    <cellStyle name="20% - 强调文字颜色 5 2 8 5" xfId="548"/>
    <cellStyle name="20% - 强调文字颜色 5 2 9" xfId="549"/>
    <cellStyle name="20% - 强调文字颜色 5 2 9 2" xfId="550"/>
    <cellStyle name="20% - 强调文字颜色 5 2 9 3" xfId="551"/>
    <cellStyle name="20% - 强调文字颜色 5 2 9 4" xfId="552"/>
    <cellStyle name="20% - 强调文字颜色 5 2 9 5" xfId="553"/>
    <cellStyle name="20% - 强调文字颜色 5 3" xfId="554"/>
    <cellStyle name="20% - 强调文字颜色 5 3 10" xfId="555"/>
    <cellStyle name="20% - 强调文字颜色 5 3 2" xfId="556"/>
    <cellStyle name="20% - 强调文字颜色 5 3 3" xfId="557"/>
    <cellStyle name="20% - 强调文字颜色 5 3 4" xfId="558"/>
    <cellStyle name="20% - 强调文字颜色 5 3 5" xfId="559"/>
    <cellStyle name="20% - 强调文字颜色 5 3 6" xfId="560"/>
    <cellStyle name="20% - 强调文字颜色 5 3 7" xfId="561"/>
    <cellStyle name="20% - 强调文字颜色 5 3 8" xfId="562"/>
    <cellStyle name="20% - 强调文字颜色 5 3 9" xfId="563"/>
    <cellStyle name="20% - 强调文字颜色 6 2 10" xfId="564"/>
    <cellStyle name="20% - 强调文字颜色 6 2 10 2" xfId="565"/>
    <cellStyle name="20% - 强调文字颜色 6 2 10 3" xfId="566"/>
    <cellStyle name="20% - 强调文字颜色 6 2 10 4" xfId="567"/>
    <cellStyle name="20% - 强调文字颜色 6 2 10 5" xfId="568"/>
    <cellStyle name="20% - 强调文字颜色 6 2 11" xfId="569"/>
    <cellStyle name="20% - 强调文字颜色 6 2 11 2" xfId="570"/>
    <cellStyle name="20% - 强调文字颜色 6 2 11 3" xfId="571"/>
    <cellStyle name="20% - 强调文字颜色 6 2 11 4" xfId="572"/>
    <cellStyle name="20% - 强调文字颜色 6 2 11 5" xfId="573"/>
    <cellStyle name="20% - 强调文字颜色 6 2 12" xfId="574"/>
    <cellStyle name="20% - 强调文字颜色 6 2 12 2" xfId="575"/>
    <cellStyle name="20% - 强调文字颜色 6 2 12 3" xfId="576"/>
    <cellStyle name="20% - 强调文字颜色 6 2 12 4" xfId="577"/>
    <cellStyle name="20% - 强调文字颜色 6 2 12 5" xfId="578"/>
    <cellStyle name="20% - 强调文字颜色 6 2 13" xfId="579"/>
    <cellStyle name="20% - 强调文字颜色 6 2 14" xfId="580"/>
    <cellStyle name="20% - 强调文字颜色 6 2 15" xfId="581"/>
    <cellStyle name="20% - 强调文字颜色 6 2 16" xfId="582"/>
    <cellStyle name="20% - 强调文字颜色 6 2 17" xfId="583"/>
    <cellStyle name="20% - 强调文字颜色 6 2 18" xfId="584"/>
    <cellStyle name="20% - 强调文字颜色 6 2 19" xfId="585"/>
    <cellStyle name="20% - 强调文字颜色 6 2 2" xfId="586"/>
    <cellStyle name="20% - 强调文字颜色 6 2 2 10" xfId="587"/>
    <cellStyle name="20% - 强调文字颜色 6 2 2 2" xfId="588"/>
    <cellStyle name="20% - 强调文字颜色 6 2 2 3" xfId="589"/>
    <cellStyle name="20% - 强调文字颜色 6 2 2 4" xfId="590"/>
    <cellStyle name="20% - 强调文字颜色 6 2 2 5" xfId="591"/>
    <cellStyle name="20% - 强调文字颜色 6 2 2 6" xfId="592"/>
    <cellStyle name="20% - 强调文字颜色 6 2 2 7" xfId="593"/>
    <cellStyle name="20% - 强调文字颜色 6 2 2 8" xfId="594"/>
    <cellStyle name="20% - 强调文字颜色 6 2 2 9" xfId="595"/>
    <cellStyle name="20% - 强调文字颜色 6 2 20" xfId="596"/>
    <cellStyle name="20% - 强调文字颜色 6 2 21" xfId="597"/>
    <cellStyle name="20% - 强调文字颜色 6 2 22" xfId="598"/>
    <cellStyle name="20% - 强调文字颜色 6 2 23" xfId="599"/>
    <cellStyle name="20% - 强调文字颜色 6 2 24" xfId="600"/>
    <cellStyle name="20% - 强调文字颜色 6 2 25" xfId="601"/>
    <cellStyle name="20% - 强调文字颜色 6 2 26" xfId="602"/>
    <cellStyle name="20% - 强调文字颜色 6 2 3" xfId="603"/>
    <cellStyle name="20% - 强调文字颜色 6 2 3 10" xfId="604"/>
    <cellStyle name="20% - 强调文字颜色 6 2 3 2" xfId="605"/>
    <cellStyle name="20% - 强调文字颜色 6 2 3 3" xfId="606"/>
    <cellStyle name="20% - 强调文字颜色 6 2 3 4" xfId="607"/>
    <cellStyle name="20% - 强调文字颜色 6 2 3 5" xfId="608"/>
    <cellStyle name="20% - 强调文字颜色 6 2 3 6" xfId="609"/>
    <cellStyle name="20% - 强调文字颜色 6 2 3 7" xfId="610"/>
    <cellStyle name="20% - 强调文字颜色 6 2 3 8" xfId="611"/>
    <cellStyle name="20% - 强调文字颜色 6 2 3 9" xfId="612"/>
    <cellStyle name="20% - 强调文字颜色 6 2 4" xfId="613"/>
    <cellStyle name="20% - 强调文字颜色 6 2 4 10" xfId="614"/>
    <cellStyle name="20% - 强调文字颜色 6 2 4 2" xfId="615"/>
    <cellStyle name="20% - 强调文字颜色 6 2 4 3" xfId="616"/>
    <cellStyle name="20% - 强调文字颜色 6 2 4 4" xfId="617"/>
    <cellStyle name="20% - 强调文字颜色 6 2 4 5" xfId="618"/>
    <cellStyle name="20% - 强调文字颜色 6 2 4 6" xfId="619"/>
    <cellStyle name="20% - 强调文字颜色 6 2 4 7" xfId="620"/>
    <cellStyle name="20% - 强调文字颜色 6 2 4 8" xfId="621"/>
    <cellStyle name="20% - 强调文字颜色 6 2 4 9" xfId="622"/>
    <cellStyle name="20% - 强调文字颜色 6 2 5" xfId="623"/>
    <cellStyle name="20% - 强调文字颜色 6 2 5 10" xfId="624"/>
    <cellStyle name="20% - 强调文字颜色 6 2 5 2" xfId="625"/>
    <cellStyle name="20% - 强调文字颜色 6 2 5 3" xfId="626"/>
    <cellStyle name="20% - 强调文字颜色 6 2 5 4" xfId="627"/>
    <cellStyle name="20% - 强调文字颜色 6 2 5 5" xfId="628"/>
    <cellStyle name="20% - 强调文字颜色 6 2 5 6" xfId="629"/>
    <cellStyle name="20% - 强调文字颜色 6 2 5 7" xfId="630"/>
    <cellStyle name="20% - 强调文字颜色 6 2 5 8" xfId="631"/>
    <cellStyle name="20% - 强调文字颜色 6 2 5 9" xfId="632"/>
    <cellStyle name="20% - 强调文字颜色 6 2 6" xfId="633"/>
    <cellStyle name="20% - 强调文字颜色 6 2 6 10" xfId="634"/>
    <cellStyle name="20% - 强调文字颜色 6 2 6 2" xfId="635"/>
    <cellStyle name="20% - 强调文字颜色 6 2 6 3" xfId="636"/>
    <cellStyle name="20% - 强调文字颜色 6 2 6 4" xfId="637"/>
    <cellStyle name="20% - 强调文字颜色 6 2 6 5" xfId="638"/>
    <cellStyle name="20% - 强调文字颜色 6 2 6 6" xfId="639"/>
    <cellStyle name="20% - 强调文字颜色 6 2 6 7" xfId="640"/>
    <cellStyle name="20% - 强调文字颜色 6 2 6 8" xfId="641"/>
    <cellStyle name="20% - 强调文字颜色 6 2 6 9" xfId="642"/>
    <cellStyle name="20% - 强调文字颜色 6 2 7" xfId="643"/>
    <cellStyle name="20% - 强调文字颜色 6 2 7 10" xfId="644"/>
    <cellStyle name="20% - 强调文字颜色 6 2 7 2" xfId="645"/>
    <cellStyle name="20% - 强调文字颜色 6 2 7 3" xfId="646"/>
    <cellStyle name="20% - 强调文字颜色 6 2 7 4" xfId="647"/>
    <cellStyle name="20% - 强调文字颜色 6 2 7 5" xfId="648"/>
    <cellStyle name="20% - 强调文字颜色 6 2 7 6" xfId="649"/>
    <cellStyle name="20% - 强调文字颜色 6 2 7 7" xfId="650"/>
    <cellStyle name="20% - 强调文字颜色 6 2 7 8" xfId="651"/>
    <cellStyle name="20% - 强调文字颜色 6 2 7 9" xfId="652"/>
    <cellStyle name="20% - 强调文字颜色 6 2 8" xfId="653"/>
    <cellStyle name="20% - 强调文字颜色 6 2 8 2" xfId="654"/>
    <cellStyle name="20% - 强调文字颜色 6 2 8 3" xfId="655"/>
    <cellStyle name="20% - 强调文字颜色 6 2 8 4" xfId="656"/>
    <cellStyle name="20% - 强调文字颜色 6 2 8 5" xfId="657"/>
    <cellStyle name="20% - 强调文字颜色 6 2 9" xfId="658"/>
    <cellStyle name="20% - 强调文字颜色 6 2 9 2" xfId="659"/>
    <cellStyle name="20% - 强调文字颜色 6 2 9 3" xfId="660"/>
    <cellStyle name="20% - 强调文字颜色 6 2 9 4" xfId="661"/>
    <cellStyle name="20% - 强调文字颜色 6 2 9 5" xfId="662"/>
    <cellStyle name="20% - 强调文字颜色 6 3" xfId="663"/>
    <cellStyle name="20% - 强调文字颜色 6 3 10" xfId="664"/>
    <cellStyle name="20% - 强调文字颜色 6 3 2" xfId="665"/>
    <cellStyle name="20% - 强调文字颜色 6 3 3" xfId="666"/>
    <cellStyle name="20% - 强调文字颜色 6 3 4" xfId="667"/>
    <cellStyle name="20% - 强调文字颜色 6 3 5" xfId="668"/>
    <cellStyle name="20% - 强调文字颜色 6 3 6" xfId="669"/>
    <cellStyle name="20% - 强调文字颜色 6 3 7" xfId="670"/>
    <cellStyle name="20% - 强调文字颜色 6 3 8" xfId="671"/>
    <cellStyle name="20% - 强调文字颜色 6 3 9" xfId="672"/>
    <cellStyle name="40% - 强调文字颜色 1 2 10" xfId="673"/>
    <cellStyle name="40% - 强调文字颜色 1 2 10 2" xfId="674"/>
    <cellStyle name="40% - 强调文字颜色 1 2 10 3" xfId="675"/>
    <cellStyle name="40% - 强调文字颜色 1 2 10 4" xfId="676"/>
    <cellStyle name="40% - 强调文字颜色 1 2 10 5" xfId="677"/>
    <cellStyle name="40% - 强调文字颜色 1 2 11" xfId="678"/>
    <cellStyle name="40% - 强调文字颜色 1 2 11 2" xfId="679"/>
    <cellStyle name="40% - 强调文字颜色 1 2 11 3" xfId="680"/>
    <cellStyle name="40% - 强调文字颜色 1 2 11 4" xfId="681"/>
    <cellStyle name="40% - 强调文字颜色 1 2 11 5" xfId="682"/>
    <cellStyle name="40% - 强调文字颜色 1 2 12" xfId="683"/>
    <cellStyle name="40% - 强调文字颜色 1 2 12 2" xfId="684"/>
    <cellStyle name="40% - 强调文字颜色 1 2 12 3" xfId="685"/>
    <cellStyle name="40% - 强调文字颜色 1 2 12 4" xfId="686"/>
    <cellStyle name="40% - 强调文字颜色 1 2 12 5" xfId="687"/>
    <cellStyle name="40% - 强调文字颜色 1 2 13" xfId="688"/>
    <cellStyle name="40% - 强调文字颜色 1 2 14" xfId="689"/>
    <cellStyle name="40% - 强调文字颜色 1 2 15" xfId="690"/>
    <cellStyle name="40% - 强调文字颜色 1 2 16" xfId="691"/>
    <cellStyle name="40% - 强调文字颜色 1 2 17" xfId="692"/>
    <cellStyle name="40% - 强调文字颜色 1 2 18" xfId="693"/>
    <cellStyle name="40% - 强调文字颜色 1 2 19" xfId="694"/>
    <cellStyle name="40% - 强调文字颜色 1 2 2" xfId="695"/>
    <cellStyle name="40% - 强调文字颜色 1 2 2 10" xfId="696"/>
    <cellStyle name="40% - 强调文字颜色 1 2 2 2" xfId="697"/>
    <cellStyle name="40% - 强调文字颜色 1 2 2 3" xfId="698"/>
    <cellStyle name="40% - 强调文字颜色 1 2 2 4" xfId="699"/>
    <cellStyle name="40% - 强调文字颜色 1 2 2 5" xfId="700"/>
    <cellStyle name="40% - 强调文字颜色 1 2 2 6" xfId="701"/>
    <cellStyle name="40% - 强调文字颜色 1 2 2 7" xfId="702"/>
    <cellStyle name="40% - 强调文字颜色 1 2 2 8" xfId="703"/>
    <cellStyle name="40% - 强调文字颜色 1 2 2 9" xfId="704"/>
    <cellStyle name="40% - 强调文字颜色 1 2 20" xfId="705"/>
    <cellStyle name="40% - 强调文字颜色 1 2 21" xfId="706"/>
    <cellStyle name="40% - 强调文字颜色 1 2 22" xfId="707"/>
    <cellStyle name="40% - 强调文字颜色 1 2 23" xfId="708"/>
    <cellStyle name="40% - 强调文字颜色 1 2 24" xfId="709"/>
    <cellStyle name="40% - 强调文字颜色 1 2 25" xfId="710"/>
    <cellStyle name="40% - 强调文字颜色 1 2 26" xfId="711"/>
    <cellStyle name="40% - 强调文字颜色 1 2 3" xfId="712"/>
    <cellStyle name="40% - 强调文字颜色 1 2 3 10" xfId="713"/>
    <cellStyle name="40% - 强调文字颜色 1 2 3 2" xfId="714"/>
    <cellStyle name="40% - 强调文字颜色 1 2 3 3" xfId="715"/>
    <cellStyle name="40% - 强调文字颜色 1 2 3 4" xfId="716"/>
    <cellStyle name="40% - 强调文字颜色 1 2 3 5" xfId="717"/>
    <cellStyle name="40% - 强调文字颜色 1 2 3 6" xfId="718"/>
    <cellStyle name="40% - 强调文字颜色 1 2 3 7" xfId="719"/>
    <cellStyle name="40% - 强调文字颜色 1 2 3 8" xfId="720"/>
    <cellStyle name="40% - 强调文字颜色 1 2 3 9" xfId="721"/>
    <cellStyle name="40% - 强调文字颜色 1 2 4" xfId="722"/>
    <cellStyle name="40% - 强调文字颜色 1 2 4 10" xfId="723"/>
    <cellStyle name="40% - 强调文字颜色 1 2 4 2" xfId="724"/>
    <cellStyle name="40% - 强调文字颜色 1 2 4 3" xfId="725"/>
    <cellStyle name="40% - 强调文字颜色 1 2 4 4" xfId="726"/>
    <cellStyle name="40% - 强调文字颜色 1 2 4 5" xfId="727"/>
    <cellStyle name="40% - 强调文字颜色 1 2 4 6" xfId="728"/>
    <cellStyle name="40% - 强调文字颜色 1 2 4 7" xfId="729"/>
    <cellStyle name="40% - 强调文字颜色 1 2 4 8" xfId="730"/>
    <cellStyle name="40% - 强调文字颜色 1 2 4 9" xfId="731"/>
    <cellStyle name="40% - 强调文字颜色 1 2 5" xfId="732"/>
    <cellStyle name="40% - 强调文字颜色 1 2 5 10" xfId="733"/>
    <cellStyle name="40% - 强调文字颜色 1 2 5 2" xfId="734"/>
    <cellStyle name="40% - 强调文字颜色 1 2 5 3" xfId="735"/>
    <cellStyle name="40% - 强调文字颜色 1 2 5 4" xfId="736"/>
    <cellStyle name="40% - 强调文字颜色 1 2 5 5" xfId="737"/>
    <cellStyle name="40% - 强调文字颜色 1 2 5 6" xfId="738"/>
    <cellStyle name="40% - 强调文字颜色 1 2 5 7" xfId="739"/>
    <cellStyle name="40% - 强调文字颜色 1 2 5 8" xfId="740"/>
    <cellStyle name="40% - 强调文字颜色 1 2 5 9" xfId="741"/>
    <cellStyle name="40% - 强调文字颜色 1 2 6" xfId="742"/>
    <cellStyle name="40% - 强调文字颜色 1 2 6 10" xfId="743"/>
    <cellStyle name="40% - 强调文字颜色 1 2 6 2" xfId="744"/>
    <cellStyle name="40% - 强调文字颜色 1 2 6 3" xfId="745"/>
    <cellStyle name="40% - 强调文字颜色 1 2 6 4" xfId="746"/>
    <cellStyle name="40% - 强调文字颜色 1 2 6 5" xfId="747"/>
    <cellStyle name="40% - 强调文字颜色 1 2 6 6" xfId="748"/>
    <cellStyle name="40% - 强调文字颜色 1 2 6 7" xfId="749"/>
    <cellStyle name="40% - 强调文字颜色 1 2 6 8" xfId="750"/>
    <cellStyle name="40% - 强调文字颜色 1 2 6 9" xfId="751"/>
    <cellStyle name="40% - 强调文字颜色 1 2 7" xfId="752"/>
    <cellStyle name="40% - 强调文字颜色 1 2 7 10" xfId="753"/>
    <cellStyle name="40% - 强调文字颜色 1 2 7 2" xfId="754"/>
    <cellStyle name="40% - 强调文字颜色 1 2 7 3" xfId="755"/>
    <cellStyle name="40% - 强调文字颜色 1 2 7 4" xfId="756"/>
    <cellStyle name="40% - 强调文字颜色 1 2 7 5" xfId="757"/>
    <cellStyle name="40% - 强调文字颜色 1 2 7 6" xfId="758"/>
    <cellStyle name="40% - 强调文字颜色 1 2 7 7" xfId="759"/>
    <cellStyle name="40% - 强调文字颜色 1 2 7 8" xfId="760"/>
    <cellStyle name="40% - 强调文字颜色 1 2 7 9" xfId="761"/>
    <cellStyle name="40% - 强调文字颜色 1 2 8" xfId="762"/>
    <cellStyle name="40% - 强调文字颜色 1 2 8 2" xfId="763"/>
    <cellStyle name="40% - 强调文字颜色 1 2 8 3" xfId="764"/>
    <cellStyle name="40% - 强调文字颜色 1 2 8 4" xfId="765"/>
    <cellStyle name="40% - 强调文字颜色 1 2 8 5" xfId="766"/>
    <cellStyle name="40% - 强调文字颜色 1 2 9" xfId="767"/>
    <cellStyle name="40% - 强调文字颜色 1 2 9 2" xfId="768"/>
    <cellStyle name="40% - 强调文字颜色 1 2 9 3" xfId="769"/>
    <cellStyle name="40% - 强调文字颜色 1 2 9 4" xfId="770"/>
    <cellStyle name="40% - 强调文字颜色 1 2 9 5" xfId="771"/>
    <cellStyle name="40% - 强调文字颜色 1 3" xfId="772"/>
    <cellStyle name="40% - 强调文字颜色 1 3 10" xfId="773"/>
    <cellStyle name="40% - 强调文字颜色 1 3 2" xfId="774"/>
    <cellStyle name="40% - 强调文字颜色 1 3 3" xfId="775"/>
    <cellStyle name="40% - 强调文字颜色 1 3 4" xfId="776"/>
    <cellStyle name="40% - 强调文字颜色 1 3 5" xfId="777"/>
    <cellStyle name="40% - 强调文字颜色 1 3 6" xfId="778"/>
    <cellStyle name="40% - 强调文字颜色 1 3 7" xfId="779"/>
    <cellStyle name="40% - 强调文字颜色 1 3 8" xfId="780"/>
    <cellStyle name="40% - 强调文字颜色 1 3 9" xfId="781"/>
    <cellStyle name="40% - 强调文字颜色 2 2 10" xfId="782"/>
    <cellStyle name="40% - 强调文字颜色 2 2 10 2" xfId="783"/>
    <cellStyle name="40% - 强调文字颜色 2 2 10 3" xfId="784"/>
    <cellStyle name="40% - 强调文字颜色 2 2 10 4" xfId="785"/>
    <cellStyle name="40% - 强调文字颜色 2 2 10 5" xfId="786"/>
    <cellStyle name="40% - 强调文字颜色 2 2 11" xfId="787"/>
    <cellStyle name="40% - 强调文字颜色 2 2 11 2" xfId="788"/>
    <cellStyle name="40% - 强调文字颜色 2 2 11 3" xfId="789"/>
    <cellStyle name="40% - 强调文字颜色 2 2 11 4" xfId="790"/>
    <cellStyle name="40% - 强调文字颜色 2 2 11 5" xfId="791"/>
    <cellStyle name="40% - 强调文字颜色 2 2 12" xfId="792"/>
    <cellStyle name="40% - 强调文字颜色 2 2 12 2" xfId="793"/>
    <cellStyle name="40% - 强调文字颜色 2 2 12 3" xfId="794"/>
    <cellStyle name="40% - 强调文字颜色 2 2 12 4" xfId="795"/>
    <cellStyle name="40% - 强调文字颜色 2 2 12 5" xfId="796"/>
    <cellStyle name="40% - 强调文字颜色 2 2 13" xfId="797"/>
    <cellStyle name="40% - 强调文字颜色 2 2 14" xfId="798"/>
    <cellStyle name="40% - 强调文字颜色 2 2 15" xfId="799"/>
    <cellStyle name="40% - 强调文字颜色 2 2 16" xfId="800"/>
    <cellStyle name="40% - 强调文字颜色 2 2 17" xfId="801"/>
    <cellStyle name="40% - 强调文字颜色 2 2 18" xfId="802"/>
    <cellStyle name="40% - 强调文字颜色 2 2 19" xfId="803"/>
    <cellStyle name="40% - 强调文字颜色 2 2 2" xfId="804"/>
    <cellStyle name="40% - 强调文字颜色 2 2 2 10" xfId="805"/>
    <cellStyle name="40% - 强调文字颜色 2 2 2 2" xfId="806"/>
    <cellStyle name="40% - 强调文字颜色 2 2 2 3" xfId="807"/>
    <cellStyle name="40% - 强调文字颜色 2 2 2 4" xfId="808"/>
    <cellStyle name="40% - 强调文字颜色 2 2 2 5" xfId="809"/>
    <cellStyle name="40% - 强调文字颜色 2 2 2 6" xfId="810"/>
    <cellStyle name="40% - 强调文字颜色 2 2 2 7" xfId="811"/>
    <cellStyle name="40% - 强调文字颜色 2 2 2 8" xfId="812"/>
    <cellStyle name="40% - 强调文字颜色 2 2 2 9" xfId="813"/>
    <cellStyle name="40% - 强调文字颜色 2 2 20" xfId="814"/>
    <cellStyle name="40% - 强调文字颜色 2 2 21" xfId="815"/>
    <cellStyle name="40% - 强调文字颜色 2 2 22" xfId="816"/>
    <cellStyle name="40% - 强调文字颜色 2 2 23" xfId="817"/>
    <cellStyle name="40% - 强调文字颜色 2 2 24" xfId="818"/>
    <cellStyle name="40% - 强调文字颜色 2 2 25" xfId="819"/>
    <cellStyle name="40% - 强调文字颜色 2 2 26" xfId="820"/>
    <cellStyle name="40% - 强调文字颜色 2 2 3" xfId="821"/>
    <cellStyle name="40% - 强调文字颜色 2 2 3 10" xfId="822"/>
    <cellStyle name="40% - 强调文字颜色 2 2 3 2" xfId="823"/>
    <cellStyle name="40% - 强调文字颜色 2 2 3 3" xfId="824"/>
    <cellStyle name="40% - 强调文字颜色 2 2 3 4" xfId="825"/>
    <cellStyle name="40% - 强调文字颜色 2 2 3 5" xfId="826"/>
    <cellStyle name="40% - 强调文字颜色 2 2 3 6" xfId="827"/>
    <cellStyle name="40% - 强调文字颜色 2 2 3 7" xfId="828"/>
    <cellStyle name="40% - 强调文字颜色 2 2 3 8" xfId="829"/>
    <cellStyle name="40% - 强调文字颜色 2 2 3 9" xfId="830"/>
    <cellStyle name="40% - 强调文字颜色 2 2 4" xfId="831"/>
    <cellStyle name="40% - 强调文字颜色 2 2 4 10" xfId="832"/>
    <cellStyle name="40% - 强调文字颜色 2 2 4 2" xfId="833"/>
    <cellStyle name="40% - 强调文字颜色 2 2 4 3" xfId="834"/>
    <cellStyle name="40% - 强调文字颜色 2 2 4 4" xfId="835"/>
    <cellStyle name="40% - 强调文字颜色 2 2 4 5" xfId="836"/>
    <cellStyle name="40% - 强调文字颜色 2 2 4 6" xfId="837"/>
    <cellStyle name="40% - 强调文字颜色 2 2 4 7" xfId="838"/>
    <cellStyle name="40% - 强调文字颜色 2 2 4 8" xfId="839"/>
    <cellStyle name="40% - 强调文字颜色 2 2 4 9" xfId="840"/>
    <cellStyle name="40% - 强调文字颜色 2 2 5" xfId="841"/>
    <cellStyle name="40% - 强调文字颜色 2 2 5 10" xfId="842"/>
    <cellStyle name="40% - 强调文字颜色 2 2 5 2" xfId="843"/>
    <cellStyle name="40% - 强调文字颜色 2 2 5 3" xfId="844"/>
    <cellStyle name="40% - 强调文字颜色 2 2 5 4" xfId="845"/>
    <cellStyle name="40% - 强调文字颜色 2 2 5 5" xfId="846"/>
    <cellStyle name="40% - 强调文字颜色 2 2 5 6" xfId="847"/>
    <cellStyle name="40% - 强调文字颜色 2 2 5 7" xfId="848"/>
    <cellStyle name="40% - 强调文字颜色 2 2 5 8" xfId="849"/>
    <cellStyle name="40% - 强调文字颜色 2 2 5 9" xfId="850"/>
    <cellStyle name="40% - 强调文字颜色 2 2 6" xfId="851"/>
    <cellStyle name="40% - 强调文字颜色 2 2 6 10" xfId="852"/>
    <cellStyle name="40% - 强调文字颜色 2 2 6 2" xfId="853"/>
    <cellStyle name="40% - 强调文字颜色 2 2 6 3" xfId="854"/>
    <cellStyle name="40% - 强调文字颜色 2 2 6 4" xfId="855"/>
    <cellStyle name="40% - 强调文字颜色 2 2 6 5" xfId="856"/>
    <cellStyle name="40% - 强调文字颜色 2 2 6 6" xfId="857"/>
    <cellStyle name="40% - 强调文字颜色 2 2 6 7" xfId="858"/>
    <cellStyle name="40% - 强调文字颜色 2 2 6 8" xfId="859"/>
    <cellStyle name="40% - 强调文字颜色 2 2 6 9" xfId="860"/>
    <cellStyle name="40% - 强调文字颜色 2 2 7" xfId="861"/>
    <cellStyle name="40% - 强调文字颜色 2 2 7 10" xfId="862"/>
    <cellStyle name="40% - 强调文字颜色 2 2 7 2" xfId="863"/>
    <cellStyle name="40% - 强调文字颜色 2 2 7 3" xfId="864"/>
    <cellStyle name="40% - 强调文字颜色 2 2 7 4" xfId="865"/>
    <cellStyle name="40% - 强调文字颜色 2 2 7 5" xfId="866"/>
    <cellStyle name="40% - 强调文字颜色 2 2 7 6" xfId="867"/>
    <cellStyle name="40% - 强调文字颜色 2 2 7 7" xfId="868"/>
    <cellStyle name="40% - 强调文字颜色 2 2 7 8" xfId="869"/>
    <cellStyle name="40% - 强调文字颜色 2 2 7 9" xfId="870"/>
    <cellStyle name="40% - 强调文字颜色 2 2 8" xfId="871"/>
    <cellStyle name="40% - 强调文字颜色 2 2 8 2" xfId="872"/>
    <cellStyle name="40% - 强调文字颜色 2 2 8 3" xfId="873"/>
    <cellStyle name="40% - 强调文字颜色 2 2 8 4" xfId="874"/>
    <cellStyle name="40% - 强调文字颜色 2 2 8 5" xfId="875"/>
    <cellStyle name="40% - 强调文字颜色 2 2 9" xfId="876"/>
    <cellStyle name="40% - 强调文字颜色 2 2 9 2" xfId="877"/>
    <cellStyle name="40% - 强调文字颜色 2 2 9 3" xfId="878"/>
    <cellStyle name="40% - 强调文字颜色 2 2 9 4" xfId="879"/>
    <cellStyle name="40% - 强调文字颜色 2 2 9 5" xfId="880"/>
    <cellStyle name="40% - 强调文字颜色 2 3" xfId="881"/>
    <cellStyle name="40% - 强调文字颜色 2 3 10" xfId="882"/>
    <cellStyle name="40% - 强调文字颜色 2 3 2" xfId="883"/>
    <cellStyle name="40% - 强调文字颜色 2 3 3" xfId="884"/>
    <cellStyle name="40% - 强调文字颜色 2 3 4" xfId="885"/>
    <cellStyle name="40% - 强调文字颜色 2 3 5" xfId="886"/>
    <cellStyle name="40% - 强调文字颜色 2 3 6" xfId="887"/>
    <cellStyle name="40% - 强调文字颜色 2 3 7" xfId="888"/>
    <cellStyle name="40% - 强调文字颜色 2 3 8" xfId="889"/>
    <cellStyle name="40% - 强调文字颜色 2 3 9" xfId="890"/>
    <cellStyle name="40% - 强调文字颜色 3 2 10" xfId="891"/>
    <cellStyle name="40% - 强调文字颜色 3 2 10 2" xfId="892"/>
    <cellStyle name="40% - 强调文字颜色 3 2 10 3" xfId="893"/>
    <cellStyle name="40% - 强调文字颜色 3 2 10 4" xfId="894"/>
    <cellStyle name="40% - 强调文字颜色 3 2 10 5" xfId="895"/>
    <cellStyle name="40% - 强调文字颜色 3 2 11" xfId="896"/>
    <cellStyle name="40% - 强调文字颜色 3 2 11 2" xfId="897"/>
    <cellStyle name="40% - 强调文字颜色 3 2 11 3" xfId="898"/>
    <cellStyle name="40% - 强调文字颜色 3 2 11 4" xfId="899"/>
    <cellStyle name="40% - 强调文字颜色 3 2 11 5" xfId="900"/>
    <cellStyle name="40% - 强调文字颜色 3 2 12" xfId="901"/>
    <cellStyle name="40% - 强调文字颜色 3 2 12 2" xfId="902"/>
    <cellStyle name="40% - 强调文字颜色 3 2 12 3" xfId="903"/>
    <cellStyle name="40% - 强调文字颜色 3 2 12 4" xfId="904"/>
    <cellStyle name="40% - 强调文字颜色 3 2 12 5" xfId="905"/>
    <cellStyle name="40% - 强调文字颜色 3 2 13" xfId="906"/>
    <cellStyle name="40% - 强调文字颜色 3 2 14" xfId="907"/>
    <cellStyle name="40% - 强调文字颜色 3 2 15" xfId="908"/>
    <cellStyle name="40% - 强调文字颜色 3 2 16" xfId="909"/>
    <cellStyle name="40% - 强调文字颜色 3 2 17" xfId="910"/>
    <cellStyle name="40% - 强调文字颜色 3 2 18" xfId="911"/>
    <cellStyle name="40% - 强调文字颜色 3 2 19" xfId="912"/>
    <cellStyle name="40% - 强调文字颜色 3 2 2" xfId="913"/>
    <cellStyle name="40% - 强调文字颜色 3 2 2 10" xfId="914"/>
    <cellStyle name="40% - 强调文字颜色 3 2 2 2" xfId="915"/>
    <cellStyle name="40% - 强调文字颜色 3 2 2 3" xfId="916"/>
    <cellStyle name="40% - 强调文字颜色 3 2 2 4" xfId="917"/>
    <cellStyle name="40% - 强调文字颜色 3 2 2 5" xfId="918"/>
    <cellStyle name="40% - 强调文字颜色 3 2 2 6" xfId="919"/>
    <cellStyle name="40% - 强调文字颜色 3 2 2 7" xfId="920"/>
    <cellStyle name="40% - 强调文字颜色 3 2 2 8" xfId="921"/>
    <cellStyle name="40% - 强调文字颜色 3 2 2 9" xfId="922"/>
    <cellStyle name="40% - 强调文字颜色 3 2 20" xfId="923"/>
    <cellStyle name="40% - 强调文字颜色 3 2 21" xfId="924"/>
    <cellStyle name="40% - 强调文字颜色 3 2 22" xfId="925"/>
    <cellStyle name="40% - 强调文字颜色 3 2 23" xfId="926"/>
    <cellStyle name="40% - 强调文字颜色 3 2 24" xfId="927"/>
    <cellStyle name="40% - 强调文字颜色 3 2 25" xfId="928"/>
    <cellStyle name="40% - 强调文字颜色 3 2 26" xfId="929"/>
    <cellStyle name="40% - 强调文字颜色 3 2 3" xfId="930"/>
    <cellStyle name="40% - 强调文字颜色 3 2 3 10" xfId="931"/>
    <cellStyle name="40% - 强调文字颜色 3 2 3 2" xfId="932"/>
    <cellStyle name="40% - 强调文字颜色 3 2 3 3" xfId="933"/>
    <cellStyle name="40% - 强调文字颜色 3 2 3 4" xfId="934"/>
    <cellStyle name="40% - 强调文字颜色 3 2 3 5" xfId="935"/>
    <cellStyle name="40% - 强调文字颜色 3 2 3 6" xfId="936"/>
    <cellStyle name="40% - 强调文字颜色 3 2 3 7" xfId="937"/>
    <cellStyle name="40% - 强调文字颜色 3 2 3 8" xfId="938"/>
    <cellStyle name="40% - 强调文字颜色 3 2 3 9" xfId="939"/>
    <cellStyle name="40% - 强调文字颜色 3 2 4" xfId="940"/>
    <cellStyle name="40% - 强调文字颜色 3 2 4 10" xfId="941"/>
    <cellStyle name="40% - 强调文字颜色 3 2 4 2" xfId="942"/>
    <cellStyle name="40% - 强调文字颜色 3 2 4 3" xfId="943"/>
    <cellStyle name="40% - 强调文字颜色 3 2 4 4" xfId="944"/>
    <cellStyle name="40% - 强调文字颜色 3 2 4 5" xfId="945"/>
    <cellStyle name="40% - 强调文字颜色 3 2 4 6" xfId="946"/>
    <cellStyle name="40% - 强调文字颜色 3 2 4 7" xfId="947"/>
    <cellStyle name="40% - 强调文字颜色 3 2 4 8" xfId="948"/>
    <cellStyle name="40% - 强调文字颜色 3 2 4 9" xfId="949"/>
    <cellStyle name="40% - 强调文字颜色 3 2 5" xfId="950"/>
    <cellStyle name="40% - 强调文字颜色 3 2 5 10" xfId="951"/>
    <cellStyle name="40% - 强调文字颜色 3 2 5 2" xfId="952"/>
    <cellStyle name="40% - 强调文字颜色 3 2 5 3" xfId="953"/>
    <cellStyle name="40% - 强调文字颜色 3 2 5 4" xfId="954"/>
    <cellStyle name="40% - 强调文字颜色 3 2 5 5" xfId="955"/>
    <cellStyle name="40% - 强调文字颜色 3 2 5 6" xfId="956"/>
    <cellStyle name="40% - 强调文字颜色 3 2 5 7" xfId="957"/>
    <cellStyle name="40% - 强调文字颜色 3 2 5 8" xfId="958"/>
    <cellStyle name="40% - 强调文字颜色 3 2 5 9" xfId="959"/>
    <cellStyle name="40% - 强调文字颜色 3 2 6" xfId="960"/>
    <cellStyle name="40% - 强调文字颜色 3 2 6 10" xfId="961"/>
    <cellStyle name="40% - 强调文字颜色 3 2 6 2" xfId="962"/>
    <cellStyle name="40% - 强调文字颜色 3 2 6 3" xfId="963"/>
    <cellStyle name="40% - 强调文字颜色 3 2 6 4" xfId="964"/>
    <cellStyle name="40% - 强调文字颜色 3 2 6 5" xfId="965"/>
    <cellStyle name="40% - 强调文字颜色 3 2 6 6" xfId="966"/>
    <cellStyle name="40% - 强调文字颜色 3 2 6 7" xfId="967"/>
    <cellStyle name="40% - 强调文字颜色 3 2 6 8" xfId="968"/>
    <cellStyle name="40% - 强调文字颜色 3 2 6 9" xfId="969"/>
    <cellStyle name="40% - 强调文字颜色 3 2 7" xfId="970"/>
    <cellStyle name="40% - 强调文字颜色 3 2 7 10" xfId="971"/>
    <cellStyle name="40% - 强调文字颜色 3 2 7 2" xfId="972"/>
    <cellStyle name="40% - 强调文字颜色 3 2 7 3" xfId="973"/>
    <cellStyle name="40% - 强调文字颜色 3 2 7 4" xfId="974"/>
    <cellStyle name="40% - 强调文字颜色 3 2 7 5" xfId="975"/>
    <cellStyle name="40% - 强调文字颜色 3 2 7 6" xfId="976"/>
    <cellStyle name="40% - 强调文字颜色 3 2 7 7" xfId="977"/>
    <cellStyle name="40% - 强调文字颜色 3 2 7 8" xfId="978"/>
    <cellStyle name="40% - 强调文字颜色 3 2 7 9" xfId="979"/>
    <cellStyle name="40% - 强调文字颜色 3 2 8" xfId="980"/>
    <cellStyle name="40% - 强调文字颜色 3 2 8 2" xfId="981"/>
    <cellStyle name="40% - 强调文字颜色 3 2 8 3" xfId="982"/>
    <cellStyle name="40% - 强调文字颜色 3 2 8 4" xfId="983"/>
    <cellStyle name="40% - 强调文字颜色 3 2 8 5" xfId="984"/>
    <cellStyle name="40% - 强调文字颜色 3 2 9" xfId="985"/>
    <cellStyle name="40% - 强调文字颜色 3 2 9 2" xfId="986"/>
    <cellStyle name="40% - 强调文字颜色 3 2 9 3" xfId="987"/>
    <cellStyle name="40% - 强调文字颜色 3 2 9 4" xfId="988"/>
    <cellStyle name="40% - 强调文字颜色 3 2 9 5" xfId="989"/>
    <cellStyle name="40% - 强调文字颜色 3 3" xfId="990"/>
    <cellStyle name="40% - 强调文字颜色 3 3 10" xfId="991"/>
    <cellStyle name="40% - 强调文字颜色 3 3 2" xfId="992"/>
    <cellStyle name="40% - 强调文字颜色 3 3 3" xfId="993"/>
    <cellStyle name="40% - 强调文字颜色 3 3 4" xfId="994"/>
    <cellStyle name="40% - 强调文字颜色 3 3 5" xfId="995"/>
    <cellStyle name="40% - 强调文字颜色 3 3 6" xfId="996"/>
    <cellStyle name="40% - 强调文字颜色 3 3 7" xfId="997"/>
    <cellStyle name="40% - 强调文字颜色 3 3 8" xfId="998"/>
    <cellStyle name="40% - 强调文字颜色 3 3 9" xfId="999"/>
    <cellStyle name="40% - 强调文字颜色 4 2 10" xfId="1000"/>
    <cellStyle name="40% - 强调文字颜色 4 2 10 2" xfId="1001"/>
    <cellStyle name="40% - 强调文字颜色 4 2 10 3" xfId="1002"/>
    <cellStyle name="40% - 强调文字颜色 4 2 10 4" xfId="1003"/>
    <cellStyle name="40% - 强调文字颜色 4 2 10 5" xfId="1004"/>
    <cellStyle name="40% - 强调文字颜色 4 2 11" xfId="1005"/>
    <cellStyle name="40% - 强调文字颜色 4 2 11 2" xfId="1006"/>
    <cellStyle name="40% - 强调文字颜色 4 2 11 3" xfId="1007"/>
    <cellStyle name="40% - 强调文字颜色 4 2 11 4" xfId="1008"/>
    <cellStyle name="40% - 强调文字颜色 4 2 11 5" xfId="1009"/>
    <cellStyle name="40% - 强调文字颜色 4 2 12" xfId="1010"/>
    <cellStyle name="40% - 强调文字颜色 4 2 12 2" xfId="1011"/>
    <cellStyle name="40% - 强调文字颜色 4 2 12 3" xfId="1012"/>
    <cellStyle name="40% - 强调文字颜色 4 2 12 4" xfId="1013"/>
    <cellStyle name="40% - 强调文字颜色 4 2 12 5" xfId="1014"/>
    <cellStyle name="40% - 强调文字颜色 4 2 13" xfId="1015"/>
    <cellStyle name="40% - 强调文字颜色 4 2 14" xfId="1016"/>
    <cellStyle name="40% - 强调文字颜色 4 2 15" xfId="1017"/>
    <cellStyle name="40% - 强调文字颜色 4 2 16" xfId="1018"/>
    <cellStyle name="40% - 强调文字颜色 4 2 17" xfId="1019"/>
    <cellStyle name="40% - 强调文字颜色 4 2 18" xfId="1020"/>
    <cellStyle name="40% - 强调文字颜色 4 2 19" xfId="1021"/>
    <cellStyle name="40% - 强调文字颜色 4 2 2" xfId="1022"/>
    <cellStyle name="40% - 强调文字颜色 4 2 2 10" xfId="1023"/>
    <cellStyle name="40% - 强调文字颜色 4 2 2 2" xfId="1024"/>
    <cellStyle name="40% - 强调文字颜色 4 2 2 3" xfId="1025"/>
    <cellStyle name="40% - 强调文字颜色 4 2 2 4" xfId="1026"/>
    <cellStyle name="40% - 强调文字颜色 4 2 2 5" xfId="1027"/>
    <cellStyle name="40% - 强调文字颜色 4 2 2 6" xfId="1028"/>
    <cellStyle name="40% - 强调文字颜色 4 2 2 7" xfId="1029"/>
    <cellStyle name="40% - 强调文字颜色 4 2 2 8" xfId="1030"/>
    <cellStyle name="40% - 强调文字颜色 4 2 2 9" xfId="1031"/>
    <cellStyle name="40% - 强调文字颜色 4 2 20" xfId="1032"/>
    <cellStyle name="40% - 强调文字颜色 4 2 21" xfId="1033"/>
    <cellStyle name="40% - 强调文字颜色 4 2 22" xfId="1034"/>
    <cellStyle name="40% - 强调文字颜色 4 2 23" xfId="1035"/>
    <cellStyle name="40% - 强调文字颜色 4 2 24" xfId="1036"/>
    <cellStyle name="40% - 强调文字颜色 4 2 25" xfId="1037"/>
    <cellStyle name="40% - 强调文字颜色 4 2 26" xfId="1038"/>
    <cellStyle name="40% - 强调文字颜色 4 2 3" xfId="1039"/>
    <cellStyle name="40% - 强调文字颜色 4 2 3 10" xfId="1040"/>
    <cellStyle name="40% - 强调文字颜色 4 2 3 2" xfId="1041"/>
    <cellStyle name="40% - 强调文字颜色 4 2 3 3" xfId="1042"/>
    <cellStyle name="40% - 强调文字颜色 4 2 3 4" xfId="1043"/>
    <cellStyle name="40% - 强调文字颜色 4 2 3 5" xfId="1044"/>
    <cellStyle name="40% - 强调文字颜色 4 2 3 6" xfId="1045"/>
    <cellStyle name="40% - 强调文字颜色 4 2 3 7" xfId="1046"/>
    <cellStyle name="40% - 强调文字颜色 4 2 3 8" xfId="1047"/>
    <cellStyle name="40% - 强调文字颜色 4 2 3 9" xfId="1048"/>
    <cellStyle name="40% - 强调文字颜色 4 2 4" xfId="1049"/>
    <cellStyle name="40% - 强调文字颜色 4 2 4 10" xfId="1050"/>
    <cellStyle name="40% - 强调文字颜色 4 2 4 2" xfId="1051"/>
    <cellStyle name="40% - 强调文字颜色 4 2 4 3" xfId="1052"/>
    <cellStyle name="40% - 强调文字颜色 4 2 4 4" xfId="1053"/>
    <cellStyle name="40% - 强调文字颜色 4 2 4 5" xfId="1054"/>
    <cellStyle name="40% - 强调文字颜色 4 2 4 6" xfId="1055"/>
    <cellStyle name="40% - 强调文字颜色 4 2 4 7" xfId="1056"/>
    <cellStyle name="40% - 强调文字颜色 4 2 4 8" xfId="1057"/>
    <cellStyle name="40% - 强调文字颜色 4 2 4 9" xfId="1058"/>
    <cellStyle name="40% - 强调文字颜色 4 2 5" xfId="1059"/>
    <cellStyle name="40% - 强调文字颜色 4 2 5 10" xfId="1060"/>
    <cellStyle name="40% - 强调文字颜色 4 2 5 2" xfId="1061"/>
    <cellStyle name="40% - 强调文字颜色 4 2 5 3" xfId="1062"/>
    <cellStyle name="40% - 强调文字颜色 4 2 5 4" xfId="1063"/>
    <cellStyle name="40% - 强调文字颜色 4 2 5 5" xfId="1064"/>
    <cellStyle name="40% - 强调文字颜色 4 2 5 6" xfId="1065"/>
    <cellStyle name="40% - 强调文字颜色 4 2 5 7" xfId="1066"/>
    <cellStyle name="40% - 强调文字颜色 4 2 5 8" xfId="1067"/>
    <cellStyle name="40% - 强调文字颜色 4 2 5 9" xfId="1068"/>
    <cellStyle name="40% - 强调文字颜色 4 2 6" xfId="1069"/>
    <cellStyle name="40% - 强调文字颜色 4 2 6 10" xfId="1070"/>
    <cellStyle name="40% - 强调文字颜色 4 2 6 2" xfId="1071"/>
    <cellStyle name="40% - 强调文字颜色 4 2 6 3" xfId="1072"/>
    <cellStyle name="40% - 强调文字颜色 4 2 6 4" xfId="1073"/>
    <cellStyle name="40% - 强调文字颜色 4 2 6 5" xfId="1074"/>
    <cellStyle name="40% - 强调文字颜色 4 2 6 6" xfId="1075"/>
    <cellStyle name="40% - 强调文字颜色 4 2 6 7" xfId="1076"/>
    <cellStyle name="40% - 强调文字颜色 4 2 6 8" xfId="1077"/>
    <cellStyle name="40% - 强调文字颜色 4 2 6 9" xfId="1078"/>
    <cellStyle name="40% - 强调文字颜色 4 2 7" xfId="1079"/>
    <cellStyle name="40% - 强调文字颜色 4 2 7 10" xfId="1080"/>
    <cellStyle name="40% - 强调文字颜色 4 2 7 2" xfId="1081"/>
    <cellStyle name="40% - 强调文字颜色 4 2 7 3" xfId="1082"/>
    <cellStyle name="40% - 强调文字颜色 4 2 7 4" xfId="1083"/>
    <cellStyle name="40% - 强调文字颜色 4 2 7 5" xfId="1084"/>
    <cellStyle name="40% - 强调文字颜色 4 2 7 6" xfId="1085"/>
    <cellStyle name="40% - 强调文字颜色 4 2 7 7" xfId="1086"/>
    <cellStyle name="40% - 强调文字颜色 4 2 7 8" xfId="1087"/>
    <cellStyle name="40% - 强调文字颜色 4 2 7 9" xfId="1088"/>
    <cellStyle name="40% - 强调文字颜色 4 2 8" xfId="1089"/>
    <cellStyle name="40% - 强调文字颜色 4 2 8 2" xfId="1090"/>
    <cellStyle name="40% - 强调文字颜色 4 2 8 3" xfId="1091"/>
    <cellStyle name="40% - 强调文字颜色 4 2 8 4" xfId="1092"/>
    <cellStyle name="40% - 强调文字颜色 4 2 8 5" xfId="1093"/>
    <cellStyle name="40% - 强调文字颜色 4 2 9" xfId="1094"/>
    <cellStyle name="40% - 强调文字颜色 4 2 9 2" xfId="1095"/>
    <cellStyle name="40% - 强调文字颜色 4 2 9 3" xfId="1096"/>
    <cellStyle name="40% - 强调文字颜色 4 2 9 4" xfId="1097"/>
    <cellStyle name="40% - 强调文字颜色 4 2 9 5" xfId="1098"/>
    <cellStyle name="40% - 强调文字颜色 4 3" xfId="1099"/>
    <cellStyle name="40% - 强调文字颜色 4 3 10" xfId="1100"/>
    <cellStyle name="40% - 强调文字颜色 4 3 2" xfId="1101"/>
    <cellStyle name="40% - 强调文字颜色 4 3 3" xfId="1102"/>
    <cellStyle name="40% - 强调文字颜色 4 3 4" xfId="1103"/>
    <cellStyle name="40% - 强调文字颜色 4 3 5" xfId="1104"/>
    <cellStyle name="40% - 强调文字颜色 4 3 6" xfId="1105"/>
    <cellStyle name="40% - 强调文字颜色 4 3 7" xfId="1106"/>
    <cellStyle name="40% - 强调文字颜色 4 3 8" xfId="1107"/>
    <cellStyle name="40% - 强调文字颜色 4 3 9" xfId="1108"/>
    <cellStyle name="40% - 强调文字颜色 5 2 10" xfId="1109"/>
    <cellStyle name="40% - 强调文字颜色 5 2 10 2" xfId="1110"/>
    <cellStyle name="40% - 强调文字颜色 5 2 10 3" xfId="1111"/>
    <cellStyle name="40% - 强调文字颜色 5 2 10 4" xfId="1112"/>
    <cellStyle name="40% - 强调文字颜色 5 2 10 5" xfId="1113"/>
    <cellStyle name="40% - 强调文字颜色 5 2 11" xfId="1114"/>
    <cellStyle name="40% - 强调文字颜色 5 2 11 2" xfId="1115"/>
    <cellStyle name="40% - 强调文字颜色 5 2 11 3" xfId="1116"/>
    <cellStyle name="40% - 强调文字颜色 5 2 11 4" xfId="1117"/>
    <cellStyle name="40% - 强调文字颜色 5 2 11 5" xfId="1118"/>
    <cellStyle name="40% - 强调文字颜色 5 2 12" xfId="1119"/>
    <cellStyle name="40% - 强调文字颜色 5 2 12 2" xfId="1120"/>
    <cellStyle name="40% - 强调文字颜色 5 2 12 3" xfId="1121"/>
    <cellStyle name="40% - 强调文字颜色 5 2 12 4" xfId="1122"/>
    <cellStyle name="40% - 强调文字颜色 5 2 12 5" xfId="1123"/>
    <cellStyle name="40% - 强调文字颜色 5 2 13" xfId="1124"/>
    <cellStyle name="40% - 强调文字颜色 5 2 14" xfId="1125"/>
    <cellStyle name="40% - 强调文字颜色 5 2 15" xfId="1126"/>
    <cellStyle name="40% - 强调文字颜色 5 2 16" xfId="1127"/>
    <cellStyle name="40% - 强调文字颜色 5 2 17" xfId="1128"/>
    <cellStyle name="40% - 强调文字颜色 5 2 18" xfId="1129"/>
    <cellStyle name="40% - 强调文字颜色 5 2 19" xfId="1130"/>
    <cellStyle name="40% - 强调文字颜色 5 2 2" xfId="1131"/>
    <cellStyle name="40% - 强调文字颜色 5 2 2 10" xfId="1132"/>
    <cellStyle name="40% - 强调文字颜色 5 2 2 2" xfId="1133"/>
    <cellStyle name="40% - 强调文字颜色 5 2 2 3" xfId="1134"/>
    <cellStyle name="40% - 强调文字颜色 5 2 2 4" xfId="1135"/>
    <cellStyle name="40% - 强调文字颜色 5 2 2 5" xfId="1136"/>
    <cellStyle name="40% - 强调文字颜色 5 2 2 6" xfId="1137"/>
    <cellStyle name="40% - 强调文字颜色 5 2 2 7" xfId="1138"/>
    <cellStyle name="40% - 强调文字颜色 5 2 2 8" xfId="1139"/>
    <cellStyle name="40% - 强调文字颜色 5 2 2 9" xfId="1140"/>
    <cellStyle name="40% - 强调文字颜色 5 2 20" xfId="1141"/>
    <cellStyle name="40% - 强调文字颜色 5 2 21" xfId="1142"/>
    <cellStyle name="40% - 强调文字颜色 5 2 22" xfId="1143"/>
    <cellStyle name="40% - 强调文字颜色 5 2 23" xfId="1144"/>
    <cellStyle name="40% - 强调文字颜色 5 2 24" xfId="1145"/>
    <cellStyle name="40% - 强调文字颜色 5 2 25" xfId="1146"/>
    <cellStyle name="40% - 强调文字颜色 5 2 26" xfId="1147"/>
    <cellStyle name="40% - 强调文字颜色 5 2 3" xfId="1148"/>
    <cellStyle name="40% - 强调文字颜色 5 2 3 10" xfId="1149"/>
    <cellStyle name="40% - 强调文字颜色 5 2 3 2" xfId="1150"/>
    <cellStyle name="40% - 强调文字颜色 5 2 3 3" xfId="1151"/>
    <cellStyle name="40% - 强调文字颜色 5 2 3 4" xfId="1152"/>
    <cellStyle name="40% - 强调文字颜色 5 2 3 5" xfId="1153"/>
    <cellStyle name="40% - 强调文字颜色 5 2 3 6" xfId="1154"/>
    <cellStyle name="40% - 强调文字颜色 5 2 3 7" xfId="1155"/>
    <cellStyle name="40% - 强调文字颜色 5 2 3 8" xfId="1156"/>
    <cellStyle name="40% - 强调文字颜色 5 2 3 9" xfId="1157"/>
    <cellStyle name="40% - 强调文字颜色 5 2 4" xfId="1158"/>
    <cellStyle name="40% - 强调文字颜色 5 2 4 10" xfId="1159"/>
    <cellStyle name="40% - 强调文字颜色 5 2 4 2" xfId="1160"/>
    <cellStyle name="40% - 强调文字颜色 5 2 4 3" xfId="1161"/>
    <cellStyle name="40% - 强调文字颜色 5 2 4 4" xfId="1162"/>
    <cellStyle name="40% - 强调文字颜色 5 2 4 5" xfId="1163"/>
    <cellStyle name="40% - 强调文字颜色 5 2 4 6" xfId="1164"/>
    <cellStyle name="40% - 强调文字颜色 5 2 4 7" xfId="1165"/>
    <cellStyle name="40% - 强调文字颜色 5 2 4 8" xfId="1166"/>
    <cellStyle name="40% - 强调文字颜色 5 2 4 9" xfId="1167"/>
    <cellStyle name="40% - 强调文字颜色 5 2 5" xfId="1168"/>
    <cellStyle name="40% - 强调文字颜色 5 2 5 10" xfId="1169"/>
    <cellStyle name="40% - 强调文字颜色 5 2 5 2" xfId="1170"/>
    <cellStyle name="40% - 强调文字颜色 5 2 5 3" xfId="1171"/>
    <cellStyle name="40% - 强调文字颜色 5 2 5 4" xfId="1172"/>
    <cellStyle name="40% - 强调文字颜色 5 2 5 5" xfId="1173"/>
    <cellStyle name="40% - 强调文字颜色 5 2 5 6" xfId="1174"/>
    <cellStyle name="40% - 强调文字颜色 5 2 5 7" xfId="1175"/>
    <cellStyle name="40% - 强调文字颜色 5 2 5 8" xfId="1176"/>
    <cellStyle name="40% - 强调文字颜色 5 2 5 9" xfId="1177"/>
    <cellStyle name="40% - 强调文字颜色 5 2 6" xfId="1178"/>
    <cellStyle name="40% - 强调文字颜色 5 2 6 10" xfId="1179"/>
    <cellStyle name="40% - 强调文字颜色 5 2 6 2" xfId="1180"/>
    <cellStyle name="40% - 强调文字颜色 5 2 6 3" xfId="1181"/>
    <cellStyle name="40% - 强调文字颜色 5 2 6 4" xfId="1182"/>
    <cellStyle name="40% - 强调文字颜色 5 2 6 5" xfId="1183"/>
    <cellStyle name="40% - 强调文字颜色 5 2 6 6" xfId="1184"/>
    <cellStyle name="40% - 强调文字颜色 5 2 6 7" xfId="1185"/>
    <cellStyle name="40% - 强调文字颜色 5 2 6 8" xfId="1186"/>
    <cellStyle name="40% - 强调文字颜色 5 2 6 9" xfId="1187"/>
    <cellStyle name="40% - 强调文字颜色 5 2 7" xfId="1188"/>
    <cellStyle name="40% - 强调文字颜色 5 2 7 10" xfId="1189"/>
    <cellStyle name="40% - 强调文字颜色 5 2 7 2" xfId="1190"/>
    <cellStyle name="40% - 强调文字颜色 5 2 7 3" xfId="1191"/>
    <cellStyle name="40% - 强调文字颜色 5 2 7 4" xfId="1192"/>
    <cellStyle name="40% - 强调文字颜色 5 2 7 5" xfId="1193"/>
    <cellStyle name="40% - 强调文字颜色 5 2 7 6" xfId="1194"/>
    <cellStyle name="40% - 强调文字颜色 5 2 7 7" xfId="1195"/>
    <cellStyle name="40% - 强调文字颜色 5 2 7 8" xfId="1196"/>
    <cellStyle name="40% - 强调文字颜色 5 2 7 9" xfId="1197"/>
    <cellStyle name="40% - 强调文字颜色 5 2 8" xfId="1198"/>
    <cellStyle name="40% - 强调文字颜色 5 2 8 2" xfId="1199"/>
    <cellStyle name="40% - 强调文字颜色 5 2 8 3" xfId="1200"/>
    <cellStyle name="40% - 强调文字颜色 5 2 8 4" xfId="1201"/>
    <cellStyle name="40% - 强调文字颜色 5 2 8 5" xfId="1202"/>
    <cellStyle name="40% - 强调文字颜色 5 2 9" xfId="1203"/>
    <cellStyle name="40% - 强调文字颜色 5 2 9 2" xfId="1204"/>
    <cellStyle name="40% - 强调文字颜色 5 2 9 3" xfId="1205"/>
    <cellStyle name="40% - 强调文字颜色 5 2 9 4" xfId="1206"/>
    <cellStyle name="40% - 强调文字颜色 5 2 9 5" xfId="1207"/>
    <cellStyle name="40% - 强调文字颜色 5 3" xfId="1208"/>
    <cellStyle name="40% - 强调文字颜色 5 3 10" xfId="1209"/>
    <cellStyle name="40% - 强调文字颜色 5 3 2" xfId="1210"/>
    <cellStyle name="40% - 强调文字颜色 5 3 3" xfId="1211"/>
    <cellStyle name="40% - 强调文字颜色 5 3 4" xfId="1212"/>
    <cellStyle name="40% - 强调文字颜色 5 3 5" xfId="1213"/>
    <cellStyle name="40% - 强调文字颜色 5 3 6" xfId="1214"/>
    <cellStyle name="40% - 强调文字颜色 5 3 7" xfId="1215"/>
    <cellStyle name="40% - 强调文字颜色 5 3 8" xfId="1216"/>
    <cellStyle name="40% - 强调文字颜色 5 3 9" xfId="1217"/>
    <cellStyle name="40% - 强调文字颜色 6 2 10" xfId="1218"/>
    <cellStyle name="40% - 强调文字颜色 6 2 10 2" xfId="1219"/>
    <cellStyle name="40% - 强调文字颜色 6 2 10 3" xfId="1220"/>
    <cellStyle name="40% - 强调文字颜色 6 2 10 4" xfId="1221"/>
    <cellStyle name="40% - 强调文字颜色 6 2 10 5" xfId="1222"/>
    <cellStyle name="40% - 强调文字颜色 6 2 11" xfId="1223"/>
    <cellStyle name="40% - 强调文字颜色 6 2 11 2" xfId="1224"/>
    <cellStyle name="40% - 强调文字颜色 6 2 11 3" xfId="1225"/>
    <cellStyle name="40% - 强调文字颜色 6 2 11 4" xfId="1226"/>
    <cellStyle name="40% - 强调文字颜色 6 2 11 5" xfId="1227"/>
    <cellStyle name="40% - 强调文字颜色 6 2 12" xfId="1228"/>
    <cellStyle name="40% - 强调文字颜色 6 2 12 2" xfId="1229"/>
    <cellStyle name="40% - 强调文字颜色 6 2 12 3" xfId="1230"/>
    <cellStyle name="40% - 强调文字颜色 6 2 12 4" xfId="1231"/>
    <cellStyle name="40% - 强调文字颜色 6 2 12 5" xfId="1232"/>
    <cellStyle name="40% - 强调文字颜色 6 2 13" xfId="1233"/>
    <cellStyle name="40% - 强调文字颜色 6 2 14" xfId="1234"/>
    <cellStyle name="40% - 强调文字颜色 6 2 15" xfId="1235"/>
    <cellStyle name="40% - 强调文字颜色 6 2 16" xfId="1236"/>
    <cellStyle name="40% - 强调文字颜色 6 2 17" xfId="1237"/>
    <cellStyle name="40% - 强调文字颜色 6 2 18" xfId="1238"/>
    <cellStyle name="40% - 强调文字颜色 6 2 19" xfId="1239"/>
    <cellStyle name="40% - 强调文字颜色 6 2 2" xfId="1240"/>
    <cellStyle name="40% - 强调文字颜色 6 2 2 10" xfId="1241"/>
    <cellStyle name="40% - 强调文字颜色 6 2 2 2" xfId="1242"/>
    <cellStyle name="40% - 强调文字颜色 6 2 2 3" xfId="1243"/>
    <cellStyle name="40% - 强调文字颜色 6 2 2 4" xfId="1244"/>
    <cellStyle name="40% - 强调文字颜色 6 2 2 5" xfId="1245"/>
    <cellStyle name="40% - 强调文字颜色 6 2 2 6" xfId="1246"/>
    <cellStyle name="40% - 强调文字颜色 6 2 2 7" xfId="1247"/>
    <cellStyle name="40% - 强调文字颜色 6 2 2 8" xfId="1248"/>
    <cellStyle name="40% - 强调文字颜色 6 2 2 9" xfId="1249"/>
    <cellStyle name="40% - 强调文字颜色 6 2 20" xfId="1250"/>
    <cellStyle name="40% - 强调文字颜色 6 2 21" xfId="1251"/>
    <cellStyle name="40% - 强调文字颜色 6 2 22" xfId="1252"/>
    <cellStyle name="40% - 强调文字颜色 6 2 23" xfId="1253"/>
    <cellStyle name="40% - 强调文字颜色 6 2 24" xfId="1254"/>
    <cellStyle name="40% - 强调文字颜色 6 2 25" xfId="1255"/>
    <cellStyle name="40% - 强调文字颜色 6 2 26" xfId="1256"/>
    <cellStyle name="40% - 强调文字颜色 6 2 3" xfId="1257"/>
    <cellStyle name="40% - 强调文字颜色 6 2 3 10" xfId="1258"/>
    <cellStyle name="40% - 强调文字颜色 6 2 3 2" xfId="1259"/>
    <cellStyle name="40% - 强调文字颜色 6 2 3 3" xfId="1260"/>
    <cellStyle name="40% - 强调文字颜色 6 2 3 4" xfId="1261"/>
    <cellStyle name="40% - 强调文字颜色 6 2 3 5" xfId="1262"/>
    <cellStyle name="40% - 强调文字颜色 6 2 3 6" xfId="1263"/>
    <cellStyle name="40% - 强调文字颜色 6 2 3 7" xfId="1264"/>
    <cellStyle name="40% - 强调文字颜色 6 2 3 8" xfId="1265"/>
    <cellStyle name="40% - 强调文字颜色 6 2 3 9" xfId="1266"/>
    <cellStyle name="40% - 强调文字颜色 6 2 4" xfId="1267"/>
    <cellStyle name="40% - 强调文字颜色 6 2 4 10" xfId="1268"/>
    <cellStyle name="40% - 强调文字颜色 6 2 4 2" xfId="1269"/>
    <cellStyle name="40% - 强调文字颜色 6 2 4 3" xfId="1270"/>
    <cellStyle name="40% - 强调文字颜色 6 2 4 4" xfId="1271"/>
    <cellStyle name="40% - 强调文字颜色 6 2 4 5" xfId="1272"/>
    <cellStyle name="40% - 强调文字颜色 6 2 4 6" xfId="1273"/>
    <cellStyle name="40% - 强调文字颜色 6 2 4 7" xfId="1274"/>
    <cellStyle name="40% - 强调文字颜色 6 2 4 8" xfId="1275"/>
    <cellStyle name="40% - 强调文字颜色 6 2 4 9" xfId="1276"/>
    <cellStyle name="40% - 强调文字颜色 6 2 5" xfId="1277"/>
    <cellStyle name="40% - 强调文字颜色 6 2 5 10" xfId="1278"/>
    <cellStyle name="40% - 强调文字颜色 6 2 5 2" xfId="1279"/>
    <cellStyle name="40% - 强调文字颜色 6 2 5 3" xfId="1280"/>
    <cellStyle name="40% - 强调文字颜色 6 2 5 4" xfId="1281"/>
    <cellStyle name="40% - 强调文字颜色 6 2 5 5" xfId="1282"/>
    <cellStyle name="40% - 强调文字颜色 6 2 5 6" xfId="1283"/>
    <cellStyle name="40% - 强调文字颜色 6 2 5 7" xfId="1284"/>
    <cellStyle name="40% - 强调文字颜色 6 2 5 8" xfId="1285"/>
    <cellStyle name="40% - 强调文字颜色 6 2 5 9" xfId="1286"/>
    <cellStyle name="40% - 强调文字颜色 6 2 6" xfId="1287"/>
    <cellStyle name="40% - 强调文字颜色 6 2 6 10" xfId="1288"/>
    <cellStyle name="40% - 强调文字颜色 6 2 6 2" xfId="1289"/>
    <cellStyle name="40% - 强调文字颜色 6 2 6 3" xfId="1290"/>
    <cellStyle name="40% - 强调文字颜色 6 2 6 4" xfId="1291"/>
    <cellStyle name="40% - 强调文字颜色 6 2 6 5" xfId="1292"/>
    <cellStyle name="40% - 强调文字颜色 6 2 6 6" xfId="1293"/>
    <cellStyle name="40% - 强调文字颜色 6 2 6 7" xfId="1294"/>
    <cellStyle name="40% - 强调文字颜色 6 2 6 8" xfId="1295"/>
    <cellStyle name="40% - 强调文字颜色 6 2 6 9" xfId="1296"/>
    <cellStyle name="40% - 强调文字颜色 6 2 7" xfId="1297"/>
    <cellStyle name="40% - 强调文字颜色 6 2 7 10" xfId="1298"/>
    <cellStyle name="40% - 强调文字颜色 6 2 7 2" xfId="1299"/>
    <cellStyle name="40% - 强调文字颜色 6 2 7 3" xfId="1300"/>
    <cellStyle name="40% - 强调文字颜色 6 2 7 4" xfId="1301"/>
    <cellStyle name="40% - 强调文字颜色 6 2 7 5" xfId="1302"/>
    <cellStyle name="40% - 强调文字颜色 6 2 7 6" xfId="1303"/>
    <cellStyle name="40% - 强调文字颜色 6 2 7 7" xfId="1304"/>
    <cellStyle name="40% - 强调文字颜色 6 2 7 8" xfId="1305"/>
    <cellStyle name="40% - 强调文字颜色 6 2 7 9" xfId="1306"/>
    <cellStyle name="40% - 强调文字颜色 6 2 8" xfId="1307"/>
    <cellStyle name="40% - 强调文字颜色 6 2 8 2" xfId="1308"/>
    <cellStyle name="40% - 强调文字颜色 6 2 8 3" xfId="1309"/>
    <cellStyle name="40% - 强调文字颜色 6 2 8 4" xfId="1310"/>
    <cellStyle name="40% - 强调文字颜色 6 2 8 5" xfId="1311"/>
    <cellStyle name="40% - 强调文字颜色 6 2 9" xfId="1312"/>
    <cellStyle name="40% - 强调文字颜色 6 2 9 2" xfId="1313"/>
    <cellStyle name="40% - 强调文字颜色 6 2 9 3" xfId="1314"/>
    <cellStyle name="40% - 强调文字颜色 6 2 9 4" xfId="1315"/>
    <cellStyle name="40% - 强调文字颜色 6 2 9 5" xfId="1316"/>
    <cellStyle name="40% - 强调文字颜色 6 3" xfId="1317"/>
    <cellStyle name="40% - 强调文字颜色 6 3 10" xfId="1318"/>
    <cellStyle name="40% - 强调文字颜色 6 3 2" xfId="1319"/>
    <cellStyle name="40% - 强调文字颜色 6 3 3" xfId="1320"/>
    <cellStyle name="40% - 强调文字颜色 6 3 4" xfId="1321"/>
    <cellStyle name="40% - 强调文字颜色 6 3 5" xfId="1322"/>
    <cellStyle name="40% - 强调文字颜色 6 3 6" xfId="1323"/>
    <cellStyle name="40% - 强调文字颜色 6 3 7" xfId="1324"/>
    <cellStyle name="40% - 强调文字颜色 6 3 8" xfId="1325"/>
    <cellStyle name="40% - 强调文字颜色 6 3 9" xfId="1326"/>
    <cellStyle name="60% - 强调文字颜色 1 2 10" xfId="1327"/>
    <cellStyle name="60% - 强调文字颜色 1 2 10 2" xfId="1328"/>
    <cellStyle name="60% - 强调文字颜色 1 2 10 3" xfId="1329"/>
    <cellStyle name="60% - 强调文字颜色 1 2 10 4" xfId="1330"/>
    <cellStyle name="60% - 强调文字颜色 1 2 10 5" xfId="1331"/>
    <cellStyle name="60% - 强调文字颜色 1 2 11" xfId="1332"/>
    <cellStyle name="60% - 强调文字颜色 1 2 11 2" xfId="1333"/>
    <cellStyle name="60% - 强调文字颜色 1 2 11 3" xfId="1334"/>
    <cellStyle name="60% - 强调文字颜色 1 2 11 4" xfId="1335"/>
    <cellStyle name="60% - 强调文字颜色 1 2 11 5" xfId="1336"/>
    <cellStyle name="60% - 强调文字颜色 1 2 12" xfId="1337"/>
    <cellStyle name="60% - 强调文字颜色 1 2 12 2" xfId="1338"/>
    <cellStyle name="60% - 强调文字颜色 1 2 12 3" xfId="1339"/>
    <cellStyle name="60% - 强调文字颜色 1 2 12 4" xfId="1340"/>
    <cellStyle name="60% - 强调文字颜色 1 2 12 5" xfId="1341"/>
    <cellStyle name="60% - 强调文字颜色 1 2 13" xfId="1342"/>
    <cellStyle name="60% - 强调文字颜色 1 2 14" xfId="1343"/>
    <cellStyle name="60% - 强调文字颜色 1 2 15" xfId="1344"/>
    <cellStyle name="60% - 强调文字颜色 1 2 16" xfId="1345"/>
    <cellStyle name="60% - 强调文字颜色 1 2 17" xfId="1346"/>
    <cellStyle name="60% - 强调文字颜色 1 2 18" xfId="1347"/>
    <cellStyle name="60% - 强调文字颜色 1 2 19" xfId="1348"/>
    <cellStyle name="60% - 强调文字颜色 1 2 2" xfId="1349"/>
    <cellStyle name="60% - 强调文字颜色 1 2 2 10" xfId="1350"/>
    <cellStyle name="60% - 强调文字颜色 1 2 2 2" xfId="1351"/>
    <cellStyle name="60% - 强调文字颜色 1 2 2 3" xfId="1352"/>
    <cellStyle name="60% - 强调文字颜色 1 2 2 4" xfId="1353"/>
    <cellStyle name="60% - 强调文字颜色 1 2 2 5" xfId="1354"/>
    <cellStyle name="60% - 强调文字颜色 1 2 2 6" xfId="1355"/>
    <cellStyle name="60% - 强调文字颜色 1 2 2 7" xfId="1356"/>
    <cellStyle name="60% - 强调文字颜色 1 2 2 8" xfId="1357"/>
    <cellStyle name="60% - 强调文字颜色 1 2 2 9" xfId="1358"/>
    <cellStyle name="60% - 强调文字颜色 1 2 20" xfId="1359"/>
    <cellStyle name="60% - 强调文字颜色 1 2 21" xfId="1360"/>
    <cellStyle name="60% - 强调文字颜色 1 2 22" xfId="1361"/>
    <cellStyle name="60% - 强调文字颜色 1 2 23" xfId="1362"/>
    <cellStyle name="60% - 强调文字颜色 1 2 24" xfId="1363"/>
    <cellStyle name="60% - 强调文字颜色 1 2 25" xfId="1364"/>
    <cellStyle name="60% - 强调文字颜色 1 2 26" xfId="1365"/>
    <cellStyle name="60% - 强调文字颜色 1 2 3" xfId="1366"/>
    <cellStyle name="60% - 强调文字颜色 1 2 3 10" xfId="1367"/>
    <cellStyle name="60% - 强调文字颜色 1 2 3 2" xfId="1368"/>
    <cellStyle name="60% - 强调文字颜色 1 2 3 3" xfId="1369"/>
    <cellStyle name="60% - 强调文字颜色 1 2 3 4" xfId="1370"/>
    <cellStyle name="60% - 强调文字颜色 1 2 3 5" xfId="1371"/>
    <cellStyle name="60% - 强调文字颜色 1 2 3 6" xfId="1372"/>
    <cellStyle name="60% - 强调文字颜色 1 2 3 7" xfId="1373"/>
    <cellStyle name="60% - 强调文字颜色 1 2 3 8" xfId="1374"/>
    <cellStyle name="60% - 强调文字颜色 1 2 3 9" xfId="1375"/>
    <cellStyle name="60% - 强调文字颜色 1 2 4" xfId="1376"/>
    <cellStyle name="60% - 强调文字颜色 1 2 4 10" xfId="1377"/>
    <cellStyle name="60% - 强调文字颜色 1 2 4 2" xfId="1378"/>
    <cellStyle name="60% - 强调文字颜色 1 2 4 3" xfId="1379"/>
    <cellStyle name="60% - 强调文字颜色 1 2 4 4" xfId="1380"/>
    <cellStyle name="60% - 强调文字颜色 1 2 4 5" xfId="1381"/>
    <cellStyle name="60% - 强调文字颜色 1 2 4 6" xfId="1382"/>
    <cellStyle name="60% - 强调文字颜色 1 2 4 7" xfId="1383"/>
    <cellStyle name="60% - 强调文字颜色 1 2 4 8" xfId="1384"/>
    <cellStyle name="60% - 强调文字颜色 1 2 4 9" xfId="1385"/>
    <cellStyle name="60% - 强调文字颜色 1 2 5" xfId="1386"/>
    <cellStyle name="60% - 强调文字颜色 1 2 5 10" xfId="1387"/>
    <cellStyle name="60% - 强调文字颜色 1 2 5 2" xfId="1388"/>
    <cellStyle name="60% - 强调文字颜色 1 2 5 3" xfId="1389"/>
    <cellStyle name="60% - 强调文字颜色 1 2 5 4" xfId="1390"/>
    <cellStyle name="60% - 强调文字颜色 1 2 5 5" xfId="1391"/>
    <cellStyle name="60% - 强调文字颜色 1 2 5 6" xfId="1392"/>
    <cellStyle name="60% - 强调文字颜色 1 2 5 7" xfId="1393"/>
    <cellStyle name="60% - 强调文字颜色 1 2 5 8" xfId="1394"/>
    <cellStyle name="60% - 强调文字颜色 1 2 5 9" xfId="1395"/>
    <cellStyle name="60% - 强调文字颜色 1 2 6" xfId="1396"/>
    <cellStyle name="60% - 强调文字颜色 1 2 6 10" xfId="1397"/>
    <cellStyle name="60% - 强调文字颜色 1 2 6 2" xfId="1398"/>
    <cellStyle name="60% - 强调文字颜色 1 2 6 3" xfId="1399"/>
    <cellStyle name="60% - 强调文字颜色 1 2 6 4" xfId="1400"/>
    <cellStyle name="60% - 强调文字颜色 1 2 6 5" xfId="1401"/>
    <cellStyle name="60% - 强调文字颜色 1 2 6 6" xfId="1402"/>
    <cellStyle name="60% - 强调文字颜色 1 2 6 7" xfId="1403"/>
    <cellStyle name="60% - 强调文字颜色 1 2 6 8" xfId="1404"/>
    <cellStyle name="60% - 强调文字颜色 1 2 6 9" xfId="1405"/>
    <cellStyle name="60% - 强调文字颜色 1 2 7" xfId="1406"/>
    <cellStyle name="60% - 强调文字颜色 1 2 7 10" xfId="1407"/>
    <cellStyle name="60% - 强调文字颜色 1 2 7 2" xfId="1408"/>
    <cellStyle name="60% - 强调文字颜色 1 2 7 3" xfId="1409"/>
    <cellStyle name="60% - 强调文字颜色 1 2 7 4" xfId="1410"/>
    <cellStyle name="60% - 强调文字颜色 1 2 7 5" xfId="1411"/>
    <cellStyle name="60% - 强调文字颜色 1 2 7 6" xfId="1412"/>
    <cellStyle name="60% - 强调文字颜色 1 2 7 7" xfId="1413"/>
    <cellStyle name="60% - 强调文字颜色 1 2 7 8" xfId="1414"/>
    <cellStyle name="60% - 强调文字颜色 1 2 7 9" xfId="1415"/>
    <cellStyle name="60% - 强调文字颜色 1 2 8" xfId="1416"/>
    <cellStyle name="60% - 强调文字颜色 1 2 8 2" xfId="1417"/>
    <cellStyle name="60% - 强调文字颜色 1 2 8 3" xfId="1418"/>
    <cellStyle name="60% - 强调文字颜色 1 2 8 4" xfId="1419"/>
    <cellStyle name="60% - 强调文字颜色 1 2 8 5" xfId="1420"/>
    <cellStyle name="60% - 强调文字颜色 1 2 9" xfId="1421"/>
    <cellStyle name="60% - 强调文字颜色 1 2 9 2" xfId="1422"/>
    <cellStyle name="60% - 强调文字颜色 1 2 9 3" xfId="1423"/>
    <cellStyle name="60% - 强调文字颜色 1 2 9 4" xfId="1424"/>
    <cellStyle name="60% - 强调文字颜色 1 2 9 5" xfId="1425"/>
    <cellStyle name="60% - 强调文字颜色 1 3" xfId="1426"/>
    <cellStyle name="60% - 强调文字颜色 1 3 10" xfId="1427"/>
    <cellStyle name="60% - 强调文字颜色 1 3 2" xfId="1428"/>
    <cellStyle name="60% - 强调文字颜色 1 3 3" xfId="1429"/>
    <cellStyle name="60% - 强调文字颜色 1 3 4" xfId="1430"/>
    <cellStyle name="60% - 强调文字颜色 1 3 5" xfId="1431"/>
    <cellStyle name="60% - 强调文字颜色 1 3 6" xfId="1432"/>
    <cellStyle name="60% - 强调文字颜色 1 3 7" xfId="1433"/>
    <cellStyle name="60% - 强调文字颜色 1 3 8" xfId="1434"/>
    <cellStyle name="60% - 强调文字颜色 1 3 9" xfId="1435"/>
    <cellStyle name="60% - 强调文字颜色 2 2 10" xfId="1436"/>
    <cellStyle name="60% - 强调文字颜色 2 2 10 2" xfId="1437"/>
    <cellStyle name="60% - 强调文字颜色 2 2 10 3" xfId="1438"/>
    <cellStyle name="60% - 强调文字颜色 2 2 10 4" xfId="1439"/>
    <cellStyle name="60% - 强调文字颜色 2 2 10 5" xfId="1440"/>
    <cellStyle name="60% - 强调文字颜色 2 2 11" xfId="1441"/>
    <cellStyle name="60% - 强调文字颜色 2 2 11 2" xfId="1442"/>
    <cellStyle name="60% - 强调文字颜色 2 2 11 3" xfId="1443"/>
    <cellStyle name="60% - 强调文字颜色 2 2 11 4" xfId="1444"/>
    <cellStyle name="60% - 强调文字颜色 2 2 11 5" xfId="1445"/>
    <cellStyle name="60% - 强调文字颜色 2 2 12" xfId="1446"/>
    <cellStyle name="60% - 强调文字颜色 2 2 12 2" xfId="1447"/>
    <cellStyle name="60% - 强调文字颜色 2 2 12 3" xfId="1448"/>
    <cellStyle name="60% - 强调文字颜色 2 2 12 4" xfId="1449"/>
    <cellStyle name="60% - 强调文字颜色 2 2 12 5" xfId="1450"/>
    <cellStyle name="60% - 强调文字颜色 2 2 13" xfId="1451"/>
    <cellStyle name="60% - 强调文字颜色 2 2 14" xfId="1452"/>
    <cellStyle name="60% - 强调文字颜色 2 2 15" xfId="1453"/>
    <cellStyle name="60% - 强调文字颜色 2 2 16" xfId="1454"/>
    <cellStyle name="60% - 强调文字颜色 2 2 17" xfId="1455"/>
    <cellStyle name="60% - 强调文字颜色 2 2 18" xfId="1456"/>
    <cellStyle name="60% - 强调文字颜色 2 2 19" xfId="1457"/>
    <cellStyle name="60% - 强调文字颜色 2 2 2" xfId="1458"/>
    <cellStyle name="60% - 强调文字颜色 2 2 2 10" xfId="1459"/>
    <cellStyle name="60% - 强调文字颜色 2 2 2 2" xfId="1460"/>
    <cellStyle name="60% - 强调文字颜色 2 2 2 3" xfId="1461"/>
    <cellStyle name="60% - 强调文字颜色 2 2 2 4" xfId="1462"/>
    <cellStyle name="60% - 强调文字颜色 2 2 2 5" xfId="1463"/>
    <cellStyle name="60% - 强调文字颜色 2 2 2 6" xfId="1464"/>
    <cellStyle name="60% - 强调文字颜色 2 2 2 7" xfId="1465"/>
    <cellStyle name="60% - 强调文字颜色 2 2 2 8" xfId="1466"/>
    <cellStyle name="60% - 强调文字颜色 2 2 2 9" xfId="1467"/>
    <cellStyle name="60% - 强调文字颜色 2 2 20" xfId="1468"/>
    <cellStyle name="60% - 强调文字颜色 2 2 21" xfId="1469"/>
    <cellStyle name="60% - 强调文字颜色 2 2 22" xfId="1470"/>
    <cellStyle name="60% - 强调文字颜色 2 2 23" xfId="1471"/>
    <cellStyle name="60% - 强调文字颜色 2 2 24" xfId="1472"/>
    <cellStyle name="60% - 强调文字颜色 2 2 25" xfId="1473"/>
    <cellStyle name="60% - 强调文字颜色 2 2 26" xfId="1474"/>
    <cellStyle name="60% - 强调文字颜色 2 2 3" xfId="1475"/>
    <cellStyle name="60% - 强调文字颜色 2 2 3 10" xfId="1476"/>
    <cellStyle name="60% - 强调文字颜色 2 2 3 2" xfId="1477"/>
    <cellStyle name="60% - 强调文字颜色 2 2 3 3" xfId="1478"/>
    <cellStyle name="60% - 强调文字颜色 2 2 3 4" xfId="1479"/>
    <cellStyle name="60% - 强调文字颜色 2 2 3 5" xfId="1480"/>
    <cellStyle name="60% - 强调文字颜色 2 2 3 6" xfId="1481"/>
    <cellStyle name="60% - 强调文字颜色 2 2 3 7" xfId="1482"/>
    <cellStyle name="60% - 强调文字颜色 2 2 3 8" xfId="1483"/>
    <cellStyle name="60% - 强调文字颜色 2 2 3 9" xfId="1484"/>
    <cellStyle name="60% - 强调文字颜色 2 2 4" xfId="1485"/>
    <cellStyle name="60% - 强调文字颜色 2 2 4 10" xfId="1486"/>
    <cellStyle name="60% - 强调文字颜色 2 2 4 2" xfId="1487"/>
    <cellStyle name="60% - 强调文字颜色 2 2 4 3" xfId="1488"/>
    <cellStyle name="60% - 强调文字颜色 2 2 4 4" xfId="1489"/>
    <cellStyle name="60% - 强调文字颜色 2 2 4 5" xfId="1490"/>
    <cellStyle name="60% - 强调文字颜色 2 2 4 6" xfId="1491"/>
    <cellStyle name="60% - 强调文字颜色 2 2 4 7" xfId="1492"/>
    <cellStyle name="60% - 强调文字颜色 2 2 4 8" xfId="1493"/>
    <cellStyle name="60% - 强调文字颜色 2 2 4 9" xfId="1494"/>
    <cellStyle name="60% - 强调文字颜色 2 2 5" xfId="1495"/>
    <cellStyle name="60% - 强调文字颜色 2 2 5 10" xfId="1496"/>
    <cellStyle name="60% - 强调文字颜色 2 2 5 2" xfId="1497"/>
    <cellStyle name="60% - 强调文字颜色 2 2 5 3" xfId="1498"/>
    <cellStyle name="60% - 强调文字颜色 2 2 5 4" xfId="1499"/>
    <cellStyle name="60% - 强调文字颜色 2 2 5 5" xfId="1500"/>
    <cellStyle name="60% - 强调文字颜色 2 2 5 6" xfId="1501"/>
    <cellStyle name="60% - 强调文字颜色 2 2 5 7" xfId="1502"/>
    <cellStyle name="60% - 强调文字颜色 2 2 5 8" xfId="1503"/>
    <cellStyle name="60% - 强调文字颜色 2 2 5 9" xfId="1504"/>
    <cellStyle name="60% - 强调文字颜色 2 2 6" xfId="1505"/>
    <cellStyle name="60% - 强调文字颜色 2 2 6 10" xfId="1506"/>
    <cellStyle name="60% - 强调文字颜色 2 2 6 2" xfId="1507"/>
    <cellStyle name="60% - 强调文字颜色 2 2 6 3" xfId="1508"/>
    <cellStyle name="60% - 强调文字颜色 2 2 6 4" xfId="1509"/>
    <cellStyle name="60% - 强调文字颜色 2 2 6 5" xfId="1510"/>
    <cellStyle name="60% - 强调文字颜色 2 2 6 6" xfId="1511"/>
    <cellStyle name="60% - 强调文字颜色 2 2 6 7" xfId="1512"/>
    <cellStyle name="60% - 强调文字颜色 2 2 6 8" xfId="1513"/>
    <cellStyle name="60% - 强调文字颜色 2 2 6 9" xfId="1514"/>
    <cellStyle name="60% - 强调文字颜色 2 2 7" xfId="1515"/>
    <cellStyle name="60% - 强调文字颜色 2 2 7 10" xfId="1516"/>
    <cellStyle name="60% - 强调文字颜色 2 2 7 2" xfId="1517"/>
    <cellStyle name="60% - 强调文字颜色 2 2 7 3" xfId="1518"/>
    <cellStyle name="60% - 强调文字颜色 2 2 7 4" xfId="1519"/>
    <cellStyle name="60% - 强调文字颜色 2 2 7 5" xfId="1520"/>
    <cellStyle name="60% - 强调文字颜色 2 2 7 6" xfId="1521"/>
    <cellStyle name="60% - 强调文字颜色 2 2 7 7" xfId="1522"/>
    <cellStyle name="60% - 强调文字颜色 2 2 7 8" xfId="1523"/>
    <cellStyle name="60% - 强调文字颜色 2 2 7 9" xfId="1524"/>
    <cellStyle name="60% - 强调文字颜色 2 2 8" xfId="1525"/>
    <cellStyle name="60% - 强调文字颜色 2 2 8 2" xfId="1526"/>
    <cellStyle name="60% - 强调文字颜色 2 2 8 3" xfId="1527"/>
    <cellStyle name="60% - 强调文字颜色 2 2 8 4" xfId="1528"/>
    <cellStyle name="60% - 强调文字颜色 2 2 8 5" xfId="1529"/>
    <cellStyle name="60% - 强调文字颜色 2 2 9" xfId="1530"/>
    <cellStyle name="60% - 强调文字颜色 2 2 9 2" xfId="1531"/>
    <cellStyle name="60% - 强调文字颜色 2 2 9 3" xfId="1532"/>
    <cellStyle name="60% - 强调文字颜色 2 2 9 4" xfId="1533"/>
    <cellStyle name="60% - 强调文字颜色 2 2 9 5" xfId="1534"/>
    <cellStyle name="60% - 强调文字颜色 2 3" xfId="1535"/>
    <cellStyle name="60% - 强调文字颜色 2 3 10" xfId="1536"/>
    <cellStyle name="60% - 强调文字颜色 2 3 2" xfId="1537"/>
    <cellStyle name="60% - 强调文字颜色 2 3 3" xfId="1538"/>
    <cellStyle name="60% - 强调文字颜色 2 3 4" xfId="1539"/>
    <cellStyle name="60% - 强调文字颜色 2 3 5" xfId="1540"/>
    <cellStyle name="60% - 强调文字颜色 2 3 6" xfId="1541"/>
    <cellStyle name="60% - 强调文字颜色 2 3 7" xfId="1542"/>
    <cellStyle name="60% - 强调文字颜色 2 3 8" xfId="1543"/>
    <cellStyle name="60% - 强调文字颜色 2 3 9" xfId="1544"/>
    <cellStyle name="60% - 强调文字颜色 3 2 10" xfId="1545"/>
    <cellStyle name="60% - 强调文字颜色 3 2 10 2" xfId="1546"/>
    <cellStyle name="60% - 强调文字颜色 3 2 10 3" xfId="1547"/>
    <cellStyle name="60% - 强调文字颜色 3 2 10 4" xfId="1548"/>
    <cellStyle name="60% - 强调文字颜色 3 2 10 5" xfId="1549"/>
    <cellStyle name="60% - 强调文字颜色 3 2 11" xfId="1550"/>
    <cellStyle name="60% - 强调文字颜色 3 2 11 2" xfId="1551"/>
    <cellStyle name="60% - 强调文字颜色 3 2 11 3" xfId="1552"/>
    <cellStyle name="60% - 强调文字颜色 3 2 11 4" xfId="1553"/>
    <cellStyle name="60% - 强调文字颜色 3 2 11 5" xfId="1554"/>
    <cellStyle name="60% - 强调文字颜色 3 2 12" xfId="1555"/>
    <cellStyle name="60% - 强调文字颜色 3 2 12 2" xfId="1556"/>
    <cellStyle name="60% - 强调文字颜色 3 2 12 3" xfId="1557"/>
    <cellStyle name="60% - 强调文字颜色 3 2 12 4" xfId="1558"/>
    <cellStyle name="60% - 强调文字颜色 3 2 12 5" xfId="1559"/>
    <cellStyle name="60% - 强调文字颜色 3 2 13" xfId="1560"/>
    <cellStyle name="60% - 强调文字颜色 3 2 14" xfId="1561"/>
    <cellStyle name="60% - 强调文字颜色 3 2 15" xfId="1562"/>
    <cellStyle name="60% - 强调文字颜色 3 2 16" xfId="1563"/>
    <cellStyle name="60% - 强调文字颜色 3 2 17" xfId="1564"/>
    <cellStyle name="60% - 强调文字颜色 3 2 18" xfId="1565"/>
    <cellStyle name="60% - 强调文字颜色 3 2 19" xfId="1566"/>
    <cellStyle name="60% - 强调文字颜色 3 2 2" xfId="1567"/>
    <cellStyle name="60% - 强调文字颜色 3 2 2 10" xfId="1568"/>
    <cellStyle name="60% - 强调文字颜色 3 2 2 2" xfId="1569"/>
    <cellStyle name="60% - 强调文字颜色 3 2 2 3" xfId="1570"/>
    <cellStyle name="60% - 强调文字颜色 3 2 2 4" xfId="1571"/>
    <cellStyle name="60% - 强调文字颜色 3 2 2 5" xfId="1572"/>
    <cellStyle name="60% - 强调文字颜色 3 2 2 6" xfId="1573"/>
    <cellStyle name="60% - 强调文字颜色 3 2 2 7" xfId="1574"/>
    <cellStyle name="60% - 强调文字颜色 3 2 2 8" xfId="1575"/>
    <cellStyle name="60% - 强调文字颜色 3 2 2 9" xfId="1576"/>
    <cellStyle name="60% - 强调文字颜色 3 2 20" xfId="1577"/>
    <cellStyle name="60% - 强调文字颜色 3 2 21" xfId="1578"/>
    <cellStyle name="60% - 强调文字颜色 3 2 22" xfId="1579"/>
    <cellStyle name="60% - 强调文字颜色 3 2 23" xfId="1580"/>
    <cellStyle name="60% - 强调文字颜色 3 2 24" xfId="1581"/>
    <cellStyle name="60% - 强调文字颜色 3 2 25" xfId="1582"/>
    <cellStyle name="60% - 强调文字颜色 3 2 26" xfId="1583"/>
    <cellStyle name="60% - 强调文字颜色 3 2 3" xfId="1584"/>
    <cellStyle name="60% - 强调文字颜色 3 2 3 10" xfId="1585"/>
    <cellStyle name="60% - 强调文字颜色 3 2 3 2" xfId="1586"/>
    <cellStyle name="60% - 强调文字颜色 3 2 3 3" xfId="1587"/>
    <cellStyle name="60% - 强调文字颜色 3 2 3 4" xfId="1588"/>
    <cellStyle name="60% - 强调文字颜色 3 2 3 5" xfId="1589"/>
    <cellStyle name="60% - 强调文字颜色 3 2 3 6" xfId="1590"/>
    <cellStyle name="60% - 强调文字颜色 3 2 3 7" xfId="1591"/>
    <cellStyle name="60% - 强调文字颜色 3 2 3 8" xfId="1592"/>
    <cellStyle name="60% - 强调文字颜色 3 2 3 9" xfId="1593"/>
    <cellStyle name="60% - 强调文字颜色 3 2 4" xfId="1594"/>
    <cellStyle name="60% - 强调文字颜色 3 2 4 10" xfId="1595"/>
    <cellStyle name="60% - 强调文字颜色 3 2 4 2" xfId="1596"/>
    <cellStyle name="60% - 强调文字颜色 3 2 4 3" xfId="1597"/>
    <cellStyle name="60% - 强调文字颜色 3 2 4 4" xfId="1598"/>
    <cellStyle name="60% - 强调文字颜色 3 2 4 5" xfId="1599"/>
    <cellStyle name="60% - 强调文字颜色 3 2 4 6" xfId="1600"/>
    <cellStyle name="60% - 强调文字颜色 3 2 4 7" xfId="1601"/>
    <cellStyle name="60% - 强调文字颜色 3 2 4 8" xfId="1602"/>
    <cellStyle name="60% - 强调文字颜色 3 2 4 9" xfId="1603"/>
    <cellStyle name="60% - 强调文字颜色 3 2 5" xfId="1604"/>
    <cellStyle name="60% - 强调文字颜色 3 2 5 10" xfId="1605"/>
    <cellStyle name="60% - 强调文字颜色 3 2 5 2" xfId="1606"/>
    <cellStyle name="60% - 强调文字颜色 3 2 5 3" xfId="1607"/>
    <cellStyle name="60% - 强调文字颜色 3 2 5 4" xfId="1608"/>
    <cellStyle name="60% - 强调文字颜色 3 2 5 5" xfId="1609"/>
    <cellStyle name="60% - 强调文字颜色 3 2 5 6" xfId="1610"/>
    <cellStyle name="60% - 强调文字颜色 3 2 5 7" xfId="1611"/>
    <cellStyle name="60% - 强调文字颜色 3 2 5 8" xfId="1612"/>
    <cellStyle name="60% - 强调文字颜色 3 2 5 9" xfId="1613"/>
    <cellStyle name="60% - 强调文字颜色 3 2 6" xfId="1614"/>
    <cellStyle name="60% - 强调文字颜色 3 2 6 10" xfId="1615"/>
    <cellStyle name="60% - 强调文字颜色 3 2 6 2" xfId="1616"/>
    <cellStyle name="60% - 强调文字颜色 3 2 6 3" xfId="1617"/>
    <cellStyle name="60% - 强调文字颜色 3 2 6 4" xfId="1618"/>
    <cellStyle name="60% - 强调文字颜色 3 2 6 5" xfId="1619"/>
    <cellStyle name="60% - 强调文字颜色 3 2 6 6" xfId="1620"/>
    <cellStyle name="60% - 强调文字颜色 3 2 6 7" xfId="1621"/>
    <cellStyle name="60% - 强调文字颜色 3 2 6 8" xfId="1622"/>
    <cellStyle name="60% - 强调文字颜色 3 2 6 9" xfId="1623"/>
    <cellStyle name="60% - 强调文字颜色 3 2 7" xfId="1624"/>
    <cellStyle name="60% - 强调文字颜色 3 2 7 10" xfId="1625"/>
    <cellStyle name="60% - 强调文字颜色 3 2 7 2" xfId="1626"/>
    <cellStyle name="60% - 强调文字颜色 3 2 7 3" xfId="1627"/>
    <cellStyle name="60% - 强调文字颜色 3 2 7 4" xfId="1628"/>
    <cellStyle name="60% - 强调文字颜色 3 2 7 5" xfId="1629"/>
    <cellStyle name="60% - 强调文字颜色 3 2 7 6" xfId="1630"/>
    <cellStyle name="60% - 强调文字颜色 3 2 7 7" xfId="1631"/>
    <cellStyle name="60% - 强调文字颜色 3 2 7 8" xfId="1632"/>
    <cellStyle name="60% - 强调文字颜色 3 2 7 9" xfId="1633"/>
    <cellStyle name="60% - 强调文字颜色 3 2 8" xfId="1634"/>
    <cellStyle name="60% - 强调文字颜色 3 2 8 2" xfId="1635"/>
    <cellStyle name="60% - 强调文字颜色 3 2 8 3" xfId="1636"/>
    <cellStyle name="60% - 强调文字颜色 3 2 8 4" xfId="1637"/>
    <cellStyle name="60% - 强调文字颜色 3 2 8 5" xfId="1638"/>
    <cellStyle name="60% - 强调文字颜色 3 2 9" xfId="1639"/>
    <cellStyle name="60% - 强调文字颜色 3 2 9 2" xfId="1640"/>
    <cellStyle name="60% - 强调文字颜色 3 2 9 3" xfId="1641"/>
    <cellStyle name="60% - 强调文字颜色 3 2 9 4" xfId="1642"/>
    <cellStyle name="60% - 强调文字颜色 3 2 9 5" xfId="1643"/>
    <cellStyle name="60% - 强调文字颜色 3 3" xfId="1644"/>
    <cellStyle name="60% - 强调文字颜色 3 3 10" xfId="1645"/>
    <cellStyle name="60% - 强调文字颜色 3 3 2" xfId="1646"/>
    <cellStyle name="60% - 强调文字颜色 3 3 3" xfId="1647"/>
    <cellStyle name="60% - 强调文字颜色 3 3 4" xfId="1648"/>
    <cellStyle name="60% - 强调文字颜色 3 3 5" xfId="1649"/>
    <cellStyle name="60% - 强调文字颜色 3 3 6" xfId="1650"/>
    <cellStyle name="60% - 强调文字颜色 3 3 7" xfId="1651"/>
    <cellStyle name="60% - 强调文字颜色 3 3 8" xfId="1652"/>
    <cellStyle name="60% - 强调文字颜色 3 3 9" xfId="1653"/>
    <cellStyle name="60% - 强调文字颜色 4 2 10" xfId="1654"/>
    <cellStyle name="60% - 强调文字颜色 4 2 10 2" xfId="1655"/>
    <cellStyle name="60% - 强调文字颜色 4 2 10 3" xfId="1656"/>
    <cellStyle name="60% - 强调文字颜色 4 2 10 4" xfId="1657"/>
    <cellStyle name="60% - 强调文字颜色 4 2 10 5" xfId="1658"/>
    <cellStyle name="60% - 强调文字颜色 4 2 11" xfId="1659"/>
    <cellStyle name="60% - 强调文字颜色 4 2 11 2" xfId="1660"/>
    <cellStyle name="60% - 强调文字颜色 4 2 11 3" xfId="1661"/>
    <cellStyle name="60% - 强调文字颜色 4 2 11 4" xfId="1662"/>
    <cellStyle name="60% - 强调文字颜色 4 2 11 5" xfId="1663"/>
    <cellStyle name="60% - 强调文字颜色 4 2 12" xfId="1664"/>
    <cellStyle name="60% - 强调文字颜色 4 2 12 2" xfId="1665"/>
    <cellStyle name="60% - 强调文字颜色 4 2 12 3" xfId="1666"/>
    <cellStyle name="60% - 强调文字颜色 4 2 12 4" xfId="1667"/>
    <cellStyle name="60% - 强调文字颜色 4 2 12 5" xfId="1668"/>
    <cellStyle name="60% - 强调文字颜色 4 2 13" xfId="1669"/>
    <cellStyle name="60% - 强调文字颜色 4 2 14" xfId="1670"/>
    <cellStyle name="60% - 强调文字颜色 4 2 15" xfId="1671"/>
    <cellStyle name="60% - 强调文字颜色 4 2 16" xfId="1672"/>
    <cellStyle name="60% - 强调文字颜色 4 2 17" xfId="1673"/>
    <cellStyle name="60% - 强调文字颜色 4 2 18" xfId="1674"/>
    <cellStyle name="60% - 强调文字颜色 4 2 19" xfId="1675"/>
    <cellStyle name="60% - 强调文字颜色 4 2 2" xfId="1676"/>
    <cellStyle name="60% - 强调文字颜色 4 2 2 10" xfId="1677"/>
    <cellStyle name="60% - 强调文字颜色 4 2 2 2" xfId="1678"/>
    <cellStyle name="60% - 强调文字颜色 4 2 2 3" xfId="1679"/>
    <cellStyle name="60% - 强调文字颜色 4 2 2 4" xfId="1680"/>
    <cellStyle name="60% - 强调文字颜色 4 2 2 5" xfId="1681"/>
    <cellStyle name="60% - 强调文字颜色 4 2 2 6" xfId="1682"/>
    <cellStyle name="60% - 强调文字颜色 4 2 2 7" xfId="1683"/>
    <cellStyle name="60% - 强调文字颜色 4 2 2 8" xfId="1684"/>
    <cellStyle name="60% - 强调文字颜色 4 2 2 9" xfId="1685"/>
    <cellStyle name="60% - 强调文字颜色 4 2 20" xfId="1686"/>
    <cellStyle name="60% - 强调文字颜色 4 2 21" xfId="1687"/>
    <cellStyle name="60% - 强调文字颜色 4 2 22" xfId="1688"/>
    <cellStyle name="60% - 强调文字颜色 4 2 23" xfId="1689"/>
    <cellStyle name="60% - 强调文字颜色 4 2 24" xfId="1690"/>
    <cellStyle name="60% - 强调文字颜色 4 2 25" xfId="1691"/>
    <cellStyle name="60% - 强调文字颜色 4 2 26" xfId="1692"/>
    <cellStyle name="60% - 强调文字颜色 4 2 3" xfId="1693"/>
    <cellStyle name="60% - 强调文字颜色 4 2 3 10" xfId="1694"/>
    <cellStyle name="60% - 强调文字颜色 4 2 3 2" xfId="1695"/>
    <cellStyle name="60% - 强调文字颜色 4 2 3 3" xfId="1696"/>
    <cellStyle name="60% - 强调文字颜色 4 2 3 4" xfId="1697"/>
    <cellStyle name="60% - 强调文字颜色 4 2 3 5" xfId="1698"/>
    <cellStyle name="60% - 强调文字颜色 4 2 3 6" xfId="1699"/>
    <cellStyle name="60% - 强调文字颜色 4 2 3 7" xfId="1700"/>
    <cellStyle name="60% - 强调文字颜色 4 2 3 8" xfId="1701"/>
    <cellStyle name="60% - 强调文字颜色 4 2 3 9" xfId="1702"/>
    <cellStyle name="60% - 强调文字颜色 4 2 4" xfId="1703"/>
    <cellStyle name="60% - 强调文字颜色 4 2 4 10" xfId="1704"/>
    <cellStyle name="60% - 强调文字颜色 4 2 4 2" xfId="1705"/>
    <cellStyle name="60% - 强调文字颜色 4 2 4 3" xfId="1706"/>
    <cellStyle name="60% - 强调文字颜色 4 2 4 4" xfId="1707"/>
    <cellStyle name="60% - 强调文字颜色 4 2 4 5" xfId="1708"/>
    <cellStyle name="60% - 强调文字颜色 4 2 4 6" xfId="1709"/>
    <cellStyle name="60% - 强调文字颜色 4 2 4 7" xfId="1710"/>
    <cellStyle name="60% - 强调文字颜色 4 2 4 8" xfId="1711"/>
    <cellStyle name="60% - 强调文字颜色 4 2 4 9" xfId="1712"/>
    <cellStyle name="60% - 强调文字颜色 4 2 5" xfId="1713"/>
    <cellStyle name="60% - 强调文字颜色 4 2 5 10" xfId="1714"/>
    <cellStyle name="60% - 强调文字颜色 4 2 5 2" xfId="1715"/>
    <cellStyle name="60% - 强调文字颜色 4 2 5 3" xfId="1716"/>
    <cellStyle name="60% - 强调文字颜色 4 2 5 4" xfId="1717"/>
    <cellStyle name="60% - 强调文字颜色 4 2 5 5" xfId="1718"/>
    <cellStyle name="60% - 强调文字颜色 4 2 5 6" xfId="1719"/>
    <cellStyle name="60% - 强调文字颜色 4 2 5 7" xfId="1720"/>
    <cellStyle name="60% - 强调文字颜色 4 2 5 8" xfId="1721"/>
    <cellStyle name="60% - 强调文字颜色 4 2 5 9" xfId="1722"/>
    <cellStyle name="60% - 强调文字颜色 4 2 6" xfId="1723"/>
    <cellStyle name="60% - 强调文字颜色 4 2 6 10" xfId="1724"/>
    <cellStyle name="60% - 强调文字颜色 4 2 6 2" xfId="1725"/>
    <cellStyle name="60% - 强调文字颜色 4 2 6 3" xfId="1726"/>
    <cellStyle name="60% - 强调文字颜色 4 2 6 4" xfId="1727"/>
    <cellStyle name="60% - 强调文字颜色 4 2 6 5" xfId="1728"/>
    <cellStyle name="60% - 强调文字颜色 4 2 6 6" xfId="1729"/>
    <cellStyle name="60% - 强调文字颜色 4 2 6 7" xfId="1730"/>
    <cellStyle name="60% - 强调文字颜色 4 2 6 8" xfId="1731"/>
    <cellStyle name="60% - 强调文字颜色 4 2 6 9" xfId="1732"/>
    <cellStyle name="60% - 强调文字颜色 4 2 7" xfId="1733"/>
    <cellStyle name="60% - 强调文字颜色 4 2 7 10" xfId="1734"/>
    <cellStyle name="60% - 强调文字颜色 4 2 7 2" xfId="1735"/>
    <cellStyle name="60% - 强调文字颜色 4 2 7 3" xfId="1736"/>
    <cellStyle name="60% - 强调文字颜色 4 2 7 4" xfId="1737"/>
    <cellStyle name="60% - 强调文字颜色 4 2 7 5" xfId="1738"/>
    <cellStyle name="60% - 强调文字颜色 4 2 7 6" xfId="1739"/>
    <cellStyle name="60% - 强调文字颜色 4 2 7 7" xfId="1740"/>
    <cellStyle name="60% - 强调文字颜色 4 2 7 8" xfId="1741"/>
    <cellStyle name="60% - 强调文字颜色 4 2 7 9" xfId="1742"/>
    <cellStyle name="60% - 强调文字颜色 4 2 8" xfId="1743"/>
    <cellStyle name="60% - 强调文字颜色 4 2 8 2" xfId="1744"/>
    <cellStyle name="60% - 强调文字颜色 4 2 8 3" xfId="1745"/>
    <cellStyle name="60% - 强调文字颜色 4 2 8 4" xfId="1746"/>
    <cellStyle name="60% - 强调文字颜色 4 2 8 5" xfId="1747"/>
    <cellStyle name="60% - 强调文字颜色 4 2 9" xfId="1748"/>
    <cellStyle name="60% - 强调文字颜色 4 2 9 2" xfId="1749"/>
    <cellStyle name="60% - 强调文字颜色 4 2 9 3" xfId="1750"/>
    <cellStyle name="60% - 强调文字颜色 4 2 9 4" xfId="1751"/>
    <cellStyle name="60% - 强调文字颜色 4 2 9 5" xfId="1752"/>
    <cellStyle name="60% - 强调文字颜色 4 3" xfId="1753"/>
    <cellStyle name="60% - 强调文字颜色 4 3 10" xfId="1754"/>
    <cellStyle name="60% - 强调文字颜色 4 3 2" xfId="1755"/>
    <cellStyle name="60% - 强调文字颜色 4 3 3" xfId="1756"/>
    <cellStyle name="60% - 强调文字颜色 4 3 4" xfId="1757"/>
    <cellStyle name="60% - 强调文字颜色 4 3 5" xfId="1758"/>
    <cellStyle name="60% - 强调文字颜色 4 3 6" xfId="1759"/>
    <cellStyle name="60% - 强调文字颜色 4 3 7" xfId="1760"/>
    <cellStyle name="60% - 强调文字颜色 4 3 8" xfId="1761"/>
    <cellStyle name="60% - 强调文字颜色 4 3 9" xfId="1762"/>
    <cellStyle name="60% - 强调文字颜色 5 2 10" xfId="1763"/>
    <cellStyle name="60% - 强调文字颜色 5 2 10 2" xfId="1764"/>
    <cellStyle name="60% - 强调文字颜色 5 2 10 3" xfId="1765"/>
    <cellStyle name="60% - 强调文字颜色 5 2 10 4" xfId="1766"/>
    <cellStyle name="60% - 强调文字颜色 5 2 10 5" xfId="1767"/>
    <cellStyle name="60% - 强调文字颜色 5 2 11" xfId="1768"/>
    <cellStyle name="60% - 强调文字颜色 5 2 11 2" xfId="1769"/>
    <cellStyle name="60% - 强调文字颜色 5 2 11 3" xfId="1770"/>
    <cellStyle name="60% - 强调文字颜色 5 2 11 4" xfId="1771"/>
    <cellStyle name="60% - 强调文字颜色 5 2 11 5" xfId="1772"/>
    <cellStyle name="60% - 强调文字颜色 5 2 12" xfId="1773"/>
    <cellStyle name="60% - 强调文字颜色 5 2 12 2" xfId="1774"/>
    <cellStyle name="60% - 强调文字颜色 5 2 12 3" xfId="1775"/>
    <cellStyle name="60% - 强调文字颜色 5 2 12 4" xfId="1776"/>
    <cellStyle name="60% - 强调文字颜色 5 2 12 5" xfId="1777"/>
    <cellStyle name="60% - 强调文字颜色 5 2 13" xfId="1778"/>
    <cellStyle name="60% - 强调文字颜色 5 2 14" xfId="1779"/>
    <cellStyle name="60% - 强调文字颜色 5 2 15" xfId="1780"/>
    <cellStyle name="60% - 强调文字颜色 5 2 16" xfId="1781"/>
    <cellStyle name="60% - 强调文字颜色 5 2 17" xfId="1782"/>
    <cellStyle name="60% - 强调文字颜色 5 2 18" xfId="1783"/>
    <cellStyle name="60% - 强调文字颜色 5 2 19" xfId="1784"/>
    <cellStyle name="60% - 强调文字颜色 5 2 2" xfId="1785"/>
    <cellStyle name="60% - 强调文字颜色 5 2 2 10" xfId="1786"/>
    <cellStyle name="60% - 强调文字颜色 5 2 2 2" xfId="1787"/>
    <cellStyle name="60% - 强调文字颜色 5 2 2 3" xfId="1788"/>
    <cellStyle name="60% - 强调文字颜色 5 2 2 4" xfId="1789"/>
    <cellStyle name="60% - 强调文字颜色 5 2 2 5" xfId="1790"/>
    <cellStyle name="60% - 强调文字颜色 5 2 2 6" xfId="1791"/>
    <cellStyle name="60% - 强调文字颜色 5 2 2 7" xfId="1792"/>
    <cellStyle name="60% - 强调文字颜色 5 2 2 8" xfId="1793"/>
    <cellStyle name="60% - 强调文字颜色 5 2 2 9" xfId="1794"/>
    <cellStyle name="60% - 强调文字颜色 5 2 20" xfId="1795"/>
    <cellStyle name="60% - 强调文字颜色 5 2 21" xfId="1796"/>
    <cellStyle name="60% - 强调文字颜色 5 2 22" xfId="1797"/>
    <cellStyle name="60% - 强调文字颜色 5 2 23" xfId="1798"/>
    <cellStyle name="60% - 强调文字颜色 5 2 24" xfId="1799"/>
    <cellStyle name="60% - 强调文字颜色 5 2 25" xfId="1800"/>
    <cellStyle name="60% - 强调文字颜色 5 2 26" xfId="1801"/>
    <cellStyle name="60% - 强调文字颜色 5 2 3" xfId="1802"/>
    <cellStyle name="60% - 强调文字颜色 5 2 3 10" xfId="1803"/>
    <cellStyle name="60% - 强调文字颜色 5 2 3 2" xfId="1804"/>
    <cellStyle name="60% - 强调文字颜色 5 2 3 3" xfId="1805"/>
    <cellStyle name="60% - 强调文字颜色 5 2 3 4" xfId="1806"/>
    <cellStyle name="60% - 强调文字颜色 5 2 3 5" xfId="1807"/>
    <cellStyle name="60% - 强调文字颜色 5 2 3 6" xfId="1808"/>
    <cellStyle name="60% - 强调文字颜色 5 2 3 7" xfId="1809"/>
    <cellStyle name="60% - 强调文字颜色 5 2 3 8" xfId="1810"/>
    <cellStyle name="60% - 强调文字颜色 5 2 3 9" xfId="1811"/>
    <cellStyle name="60% - 强调文字颜色 5 2 4" xfId="1812"/>
    <cellStyle name="60% - 强调文字颜色 5 2 4 10" xfId="1813"/>
    <cellStyle name="60% - 强调文字颜色 5 2 4 2" xfId="1814"/>
    <cellStyle name="60% - 强调文字颜色 5 2 4 3" xfId="1815"/>
    <cellStyle name="60% - 强调文字颜色 5 2 4 4" xfId="1816"/>
    <cellStyle name="60% - 强调文字颜色 5 2 4 5" xfId="1817"/>
    <cellStyle name="60% - 强调文字颜色 5 2 4 6" xfId="1818"/>
    <cellStyle name="60% - 强调文字颜色 5 2 4 7" xfId="1819"/>
    <cellStyle name="60% - 强调文字颜色 5 2 4 8" xfId="1820"/>
    <cellStyle name="60% - 强调文字颜色 5 2 4 9" xfId="1821"/>
    <cellStyle name="60% - 强调文字颜色 5 2 5" xfId="1822"/>
    <cellStyle name="60% - 强调文字颜色 5 2 5 10" xfId="1823"/>
    <cellStyle name="60% - 强调文字颜色 5 2 5 2" xfId="1824"/>
    <cellStyle name="60% - 强调文字颜色 5 2 5 3" xfId="1825"/>
    <cellStyle name="60% - 强调文字颜色 5 2 5 4" xfId="1826"/>
    <cellStyle name="60% - 强调文字颜色 5 2 5 5" xfId="1827"/>
    <cellStyle name="60% - 强调文字颜色 5 2 5 6" xfId="1828"/>
    <cellStyle name="60% - 强调文字颜色 5 2 5 7" xfId="1829"/>
    <cellStyle name="60% - 强调文字颜色 5 2 5 8" xfId="1830"/>
    <cellStyle name="60% - 强调文字颜色 5 2 5 9" xfId="1831"/>
    <cellStyle name="60% - 强调文字颜色 5 2 6" xfId="1832"/>
    <cellStyle name="60% - 强调文字颜色 5 2 6 10" xfId="1833"/>
    <cellStyle name="60% - 强调文字颜色 5 2 6 2" xfId="1834"/>
    <cellStyle name="60% - 强调文字颜色 5 2 6 3" xfId="1835"/>
    <cellStyle name="60% - 强调文字颜色 5 2 6 4" xfId="1836"/>
    <cellStyle name="60% - 强调文字颜色 5 2 6 5" xfId="1837"/>
    <cellStyle name="60% - 强调文字颜色 5 2 6 6" xfId="1838"/>
    <cellStyle name="60% - 强调文字颜色 5 2 6 7" xfId="1839"/>
    <cellStyle name="60% - 强调文字颜色 5 2 6 8" xfId="1840"/>
    <cellStyle name="60% - 强调文字颜色 5 2 6 9" xfId="1841"/>
    <cellStyle name="60% - 强调文字颜色 5 2 7" xfId="1842"/>
    <cellStyle name="60% - 强调文字颜色 5 2 7 10" xfId="1843"/>
    <cellStyle name="60% - 强调文字颜色 5 2 7 2" xfId="1844"/>
    <cellStyle name="60% - 强调文字颜色 5 2 7 3" xfId="1845"/>
    <cellStyle name="60% - 强调文字颜色 5 2 7 4" xfId="1846"/>
    <cellStyle name="60% - 强调文字颜色 5 2 7 5" xfId="1847"/>
    <cellStyle name="60% - 强调文字颜色 5 2 7 6" xfId="1848"/>
    <cellStyle name="60% - 强调文字颜色 5 2 7 7" xfId="1849"/>
    <cellStyle name="60% - 强调文字颜色 5 2 7 8" xfId="1850"/>
    <cellStyle name="60% - 强调文字颜色 5 2 7 9" xfId="1851"/>
    <cellStyle name="60% - 强调文字颜色 5 2 8" xfId="1852"/>
    <cellStyle name="60% - 强调文字颜色 5 2 8 2" xfId="1853"/>
    <cellStyle name="60% - 强调文字颜色 5 2 8 3" xfId="1854"/>
    <cellStyle name="60% - 强调文字颜色 5 2 8 4" xfId="1855"/>
    <cellStyle name="60% - 强调文字颜色 5 2 8 5" xfId="1856"/>
    <cellStyle name="60% - 强调文字颜色 5 2 9" xfId="1857"/>
    <cellStyle name="60% - 强调文字颜色 5 2 9 2" xfId="1858"/>
    <cellStyle name="60% - 强调文字颜色 5 2 9 3" xfId="1859"/>
    <cellStyle name="60% - 强调文字颜色 5 2 9 4" xfId="1860"/>
    <cellStyle name="60% - 强调文字颜色 5 2 9 5" xfId="1861"/>
    <cellStyle name="60% - 强调文字颜色 5 3" xfId="1862"/>
    <cellStyle name="60% - 强调文字颜色 5 3 10" xfId="1863"/>
    <cellStyle name="60% - 强调文字颜色 5 3 2" xfId="1864"/>
    <cellStyle name="60% - 强调文字颜色 5 3 3" xfId="1865"/>
    <cellStyle name="60% - 强调文字颜色 5 3 4" xfId="1866"/>
    <cellStyle name="60% - 强调文字颜色 5 3 5" xfId="1867"/>
    <cellStyle name="60% - 强调文字颜色 5 3 6" xfId="1868"/>
    <cellStyle name="60% - 强调文字颜色 5 3 7" xfId="1869"/>
    <cellStyle name="60% - 强调文字颜色 5 3 8" xfId="1870"/>
    <cellStyle name="60% - 强调文字颜色 5 3 9" xfId="1871"/>
    <cellStyle name="60% - 强调文字颜色 6 2 10" xfId="1872"/>
    <cellStyle name="60% - 强调文字颜色 6 2 10 2" xfId="1873"/>
    <cellStyle name="60% - 强调文字颜色 6 2 10 3" xfId="1874"/>
    <cellStyle name="60% - 强调文字颜色 6 2 10 4" xfId="1875"/>
    <cellStyle name="60% - 强调文字颜色 6 2 10 5" xfId="1876"/>
    <cellStyle name="60% - 强调文字颜色 6 2 11" xfId="1877"/>
    <cellStyle name="60% - 强调文字颜色 6 2 11 2" xfId="1878"/>
    <cellStyle name="60% - 强调文字颜色 6 2 11 3" xfId="1879"/>
    <cellStyle name="60% - 强调文字颜色 6 2 11 4" xfId="1880"/>
    <cellStyle name="60% - 强调文字颜色 6 2 11 5" xfId="1881"/>
    <cellStyle name="60% - 强调文字颜色 6 2 12" xfId="1882"/>
    <cellStyle name="60% - 强调文字颜色 6 2 12 2" xfId="1883"/>
    <cellStyle name="60% - 强调文字颜色 6 2 12 3" xfId="1884"/>
    <cellStyle name="60% - 强调文字颜色 6 2 12 4" xfId="1885"/>
    <cellStyle name="60% - 强调文字颜色 6 2 12 5" xfId="1886"/>
    <cellStyle name="60% - 强调文字颜色 6 2 13" xfId="1887"/>
    <cellStyle name="60% - 强调文字颜色 6 2 14" xfId="1888"/>
    <cellStyle name="60% - 强调文字颜色 6 2 15" xfId="1889"/>
    <cellStyle name="60% - 强调文字颜色 6 2 16" xfId="1890"/>
    <cellStyle name="60% - 强调文字颜色 6 2 17" xfId="1891"/>
    <cellStyle name="60% - 强调文字颜色 6 2 18" xfId="1892"/>
    <cellStyle name="60% - 强调文字颜色 6 2 19" xfId="1893"/>
    <cellStyle name="60% - 强调文字颜色 6 2 2" xfId="1894"/>
    <cellStyle name="60% - 强调文字颜色 6 2 2 10" xfId="1895"/>
    <cellStyle name="60% - 强调文字颜色 6 2 2 2" xfId="1896"/>
    <cellStyle name="60% - 强调文字颜色 6 2 2 3" xfId="1897"/>
    <cellStyle name="60% - 强调文字颜色 6 2 2 4" xfId="1898"/>
    <cellStyle name="60% - 强调文字颜色 6 2 2 5" xfId="1899"/>
    <cellStyle name="60% - 强调文字颜色 6 2 2 6" xfId="1900"/>
    <cellStyle name="60% - 强调文字颜色 6 2 2 7" xfId="1901"/>
    <cellStyle name="60% - 强调文字颜色 6 2 2 8" xfId="1902"/>
    <cellStyle name="60% - 强调文字颜色 6 2 2 9" xfId="1903"/>
    <cellStyle name="60% - 强调文字颜色 6 2 20" xfId="1904"/>
    <cellStyle name="60% - 强调文字颜色 6 2 21" xfId="1905"/>
    <cellStyle name="60% - 强调文字颜色 6 2 22" xfId="1906"/>
    <cellStyle name="60% - 强调文字颜色 6 2 23" xfId="1907"/>
    <cellStyle name="60% - 强调文字颜色 6 2 24" xfId="1908"/>
    <cellStyle name="60% - 强调文字颜色 6 2 25" xfId="1909"/>
    <cellStyle name="60% - 强调文字颜色 6 2 26" xfId="1910"/>
    <cellStyle name="60% - 强调文字颜色 6 2 3" xfId="1911"/>
    <cellStyle name="60% - 强调文字颜色 6 2 3 10" xfId="1912"/>
    <cellStyle name="60% - 强调文字颜色 6 2 3 2" xfId="1913"/>
    <cellStyle name="60% - 强调文字颜色 6 2 3 3" xfId="1914"/>
    <cellStyle name="60% - 强调文字颜色 6 2 3 4" xfId="1915"/>
    <cellStyle name="60% - 强调文字颜色 6 2 3 5" xfId="1916"/>
    <cellStyle name="60% - 强调文字颜色 6 2 3 6" xfId="1917"/>
    <cellStyle name="60% - 强调文字颜色 6 2 3 7" xfId="1918"/>
    <cellStyle name="60% - 强调文字颜色 6 2 3 8" xfId="1919"/>
    <cellStyle name="60% - 强调文字颜色 6 2 3 9" xfId="1920"/>
    <cellStyle name="60% - 强调文字颜色 6 2 4" xfId="1921"/>
    <cellStyle name="60% - 强调文字颜色 6 2 4 10" xfId="1922"/>
    <cellStyle name="60% - 强调文字颜色 6 2 4 2" xfId="1923"/>
    <cellStyle name="60% - 强调文字颜色 6 2 4 3" xfId="1924"/>
    <cellStyle name="60% - 强调文字颜色 6 2 4 4" xfId="1925"/>
    <cellStyle name="60% - 强调文字颜色 6 2 4 5" xfId="1926"/>
    <cellStyle name="60% - 强调文字颜色 6 2 4 6" xfId="1927"/>
    <cellStyle name="60% - 强调文字颜色 6 2 4 7" xfId="1928"/>
    <cellStyle name="60% - 强调文字颜色 6 2 4 8" xfId="1929"/>
    <cellStyle name="60% - 强调文字颜色 6 2 4 9" xfId="1930"/>
    <cellStyle name="60% - 强调文字颜色 6 2 5" xfId="1931"/>
    <cellStyle name="60% - 强调文字颜色 6 2 5 10" xfId="1932"/>
    <cellStyle name="60% - 强调文字颜色 6 2 5 2" xfId="1933"/>
    <cellStyle name="60% - 强调文字颜色 6 2 5 3" xfId="1934"/>
    <cellStyle name="60% - 强调文字颜色 6 2 5 4" xfId="1935"/>
    <cellStyle name="60% - 强调文字颜色 6 2 5 5" xfId="1936"/>
    <cellStyle name="60% - 强调文字颜色 6 2 5 6" xfId="1937"/>
    <cellStyle name="60% - 强调文字颜色 6 2 5 7" xfId="1938"/>
    <cellStyle name="60% - 强调文字颜色 6 2 5 8" xfId="1939"/>
    <cellStyle name="60% - 强调文字颜色 6 2 5 9" xfId="1940"/>
    <cellStyle name="60% - 强调文字颜色 6 2 6" xfId="1941"/>
    <cellStyle name="60% - 强调文字颜色 6 2 6 10" xfId="1942"/>
    <cellStyle name="60% - 强调文字颜色 6 2 6 2" xfId="1943"/>
    <cellStyle name="60% - 强调文字颜色 6 2 6 3" xfId="1944"/>
    <cellStyle name="60% - 强调文字颜色 6 2 6 4" xfId="1945"/>
    <cellStyle name="60% - 强调文字颜色 6 2 6 5" xfId="1946"/>
    <cellStyle name="60% - 强调文字颜色 6 2 6 6" xfId="1947"/>
    <cellStyle name="60% - 强调文字颜色 6 2 6 7" xfId="1948"/>
    <cellStyle name="60% - 强调文字颜色 6 2 6 8" xfId="1949"/>
    <cellStyle name="60% - 强调文字颜色 6 2 6 9" xfId="1950"/>
    <cellStyle name="60% - 强调文字颜色 6 2 7" xfId="1951"/>
    <cellStyle name="60% - 强调文字颜色 6 2 7 10" xfId="1952"/>
    <cellStyle name="60% - 强调文字颜色 6 2 7 2" xfId="1953"/>
    <cellStyle name="60% - 强调文字颜色 6 2 7 3" xfId="1954"/>
    <cellStyle name="60% - 强调文字颜色 6 2 7 4" xfId="1955"/>
    <cellStyle name="60% - 强调文字颜色 6 2 7 5" xfId="1956"/>
    <cellStyle name="60% - 强调文字颜色 6 2 7 6" xfId="1957"/>
    <cellStyle name="60% - 强调文字颜色 6 2 7 7" xfId="1958"/>
    <cellStyle name="60% - 强调文字颜色 6 2 7 8" xfId="1959"/>
    <cellStyle name="60% - 强调文字颜色 6 2 7 9" xfId="1960"/>
    <cellStyle name="60% - 强调文字颜色 6 2 8" xfId="1961"/>
    <cellStyle name="60% - 强调文字颜色 6 2 8 2" xfId="1962"/>
    <cellStyle name="60% - 强调文字颜色 6 2 8 3" xfId="1963"/>
    <cellStyle name="60% - 强调文字颜色 6 2 8 4" xfId="1964"/>
    <cellStyle name="60% - 强调文字颜色 6 2 8 5" xfId="1965"/>
    <cellStyle name="60% - 强调文字颜色 6 2 9" xfId="1966"/>
    <cellStyle name="60% - 强调文字颜色 6 2 9 2" xfId="1967"/>
    <cellStyle name="60% - 强调文字颜色 6 2 9 3" xfId="1968"/>
    <cellStyle name="60% - 强调文字颜色 6 2 9 4" xfId="1969"/>
    <cellStyle name="60% - 强调文字颜色 6 2 9 5" xfId="1970"/>
    <cellStyle name="60% - 强调文字颜色 6 3" xfId="1971"/>
    <cellStyle name="60% - 强调文字颜色 6 3 10" xfId="1972"/>
    <cellStyle name="60% - 强调文字颜色 6 3 2" xfId="1973"/>
    <cellStyle name="60% - 强调文字颜色 6 3 3" xfId="1974"/>
    <cellStyle name="60% - 强调文字颜色 6 3 4" xfId="1975"/>
    <cellStyle name="60% - 强调文字颜色 6 3 5" xfId="1976"/>
    <cellStyle name="60% - 强调文字颜色 6 3 6" xfId="1977"/>
    <cellStyle name="60% - 强调文字颜色 6 3 7" xfId="1978"/>
    <cellStyle name="60% - 强调文字颜色 6 3 8" xfId="1979"/>
    <cellStyle name="60% - 强调文字颜色 6 3 9" xfId="1980"/>
    <cellStyle name="百分比" xfId="17" builtinId="5"/>
    <cellStyle name="百分比 2" xfId="14"/>
    <cellStyle name="标题 1 10" xfId="1981"/>
    <cellStyle name="标题 1 10 2" xfId="1982"/>
    <cellStyle name="标题 1 10 3" xfId="1983"/>
    <cellStyle name="标题 1 10 4" xfId="1984"/>
    <cellStyle name="标题 1 10 5" xfId="1985"/>
    <cellStyle name="标题 1 11" xfId="1986"/>
    <cellStyle name="标题 1 11 2" xfId="1987"/>
    <cellStyle name="标题 1 11 3" xfId="1988"/>
    <cellStyle name="标题 1 11 4" xfId="1989"/>
    <cellStyle name="标题 1 11 5" xfId="1990"/>
    <cellStyle name="标题 1 12" xfId="1991"/>
    <cellStyle name="标题 1 12 2" xfId="1992"/>
    <cellStyle name="标题 1 12 3" xfId="1993"/>
    <cellStyle name="标题 1 12 4" xfId="1994"/>
    <cellStyle name="标题 1 12 5" xfId="1995"/>
    <cellStyle name="标题 1 13" xfId="1996"/>
    <cellStyle name="标题 1 13 2" xfId="1997"/>
    <cellStyle name="标题 1 13 3" xfId="1998"/>
    <cellStyle name="标题 1 13 4" xfId="1999"/>
    <cellStyle name="标题 1 13 5" xfId="2000"/>
    <cellStyle name="标题 1 14" xfId="2001"/>
    <cellStyle name="标题 1 14 2" xfId="2002"/>
    <cellStyle name="标题 1 14 3" xfId="2003"/>
    <cellStyle name="标题 1 14 4" xfId="2004"/>
    <cellStyle name="标题 1 14 5" xfId="2005"/>
    <cellStyle name="标题 1 14 6" xfId="2006"/>
    <cellStyle name="标题 1 14 7" xfId="2007"/>
    <cellStyle name="标题 1 15" xfId="2008"/>
    <cellStyle name="标题 1 15 2" xfId="2009"/>
    <cellStyle name="标题 1 15 3" xfId="2010"/>
    <cellStyle name="标题 1 15 4" xfId="2011"/>
    <cellStyle name="标题 1 15 5" xfId="2012"/>
    <cellStyle name="标题 1 15 6" xfId="2013"/>
    <cellStyle name="标题 1 15 7" xfId="2014"/>
    <cellStyle name="标题 1 16" xfId="2015"/>
    <cellStyle name="标题 1 16 2" xfId="2016"/>
    <cellStyle name="标题 1 16 3" xfId="2017"/>
    <cellStyle name="标题 1 16 4" xfId="2018"/>
    <cellStyle name="标题 1 16 5" xfId="2019"/>
    <cellStyle name="标题 1 16 6" xfId="2020"/>
    <cellStyle name="标题 1 16 7" xfId="2021"/>
    <cellStyle name="标题 1 17" xfId="2022"/>
    <cellStyle name="标题 1 17 2" xfId="2023"/>
    <cellStyle name="标题 1 17 3" xfId="2024"/>
    <cellStyle name="标题 1 17 4" xfId="2025"/>
    <cellStyle name="标题 1 17 5" xfId="2026"/>
    <cellStyle name="标题 1 17 6" xfId="2027"/>
    <cellStyle name="标题 1 17 7" xfId="2028"/>
    <cellStyle name="标题 1 17 8" xfId="2029"/>
    <cellStyle name="标题 1 17 9" xfId="2030"/>
    <cellStyle name="标题 1 18" xfId="2031"/>
    <cellStyle name="标题 1 18 2" xfId="2032"/>
    <cellStyle name="标题 1 18 3" xfId="2033"/>
    <cellStyle name="标题 1 18 4" xfId="2034"/>
    <cellStyle name="标题 1 18 5" xfId="2035"/>
    <cellStyle name="标题 1 19" xfId="2036"/>
    <cellStyle name="标题 1 19 2" xfId="2037"/>
    <cellStyle name="标题 1 19 3" xfId="2038"/>
    <cellStyle name="标题 1 19 4" xfId="2039"/>
    <cellStyle name="标题 1 19 5" xfId="2040"/>
    <cellStyle name="标题 1 2 10" xfId="2041"/>
    <cellStyle name="标题 1 2 10 2" xfId="2042"/>
    <cellStyle name="标题 1 2 10 3" xfId="2043"/>
    <cellStyle name="标题 1 2 10 4" xfId="2044"/>
    <cellStyle name="标题 1 2 10 5" xfId="2045"/>
    <cellStyle name="标题 1 2 11" xfId="2046"/>
    <cellStyle name="标题 1 2 11 2" xfId="2047"/>
    <cellStyle name="标题 1 2 11 3" xfId="2048"/>
    <cellStyle name="标题 1 2 11 4" xfId="2049"/>
    <cellStyle name="标题 1 2 11 5" xfId="2050"/>
    <cellStyle name="标题 1 2 12" xfId="2051"/>
    <cellStyle name="标题 1 2 12 2" xfId="2052"/>
    <cellStyle name="标题 1 2 12 3" xfId="2053"/>
    <cellStyle name="标题 1 2 12 4" xfId="2054"/>
    <cellStyle name="标题 1 2 12 5" xfId="2055"/>
    <cellStyle name="标题 1 2 13" xfId="2056"/>
    <cellStyle name="标题 1 2 14" xfId="2057"/>
    <cellStyle name="标题 1 2 15" xfId="2058"/>
    <cellStyle name="标题 1 2 16" xfId="2059"/>
    <cellStyle name="标题 1 2 17" xfId="2060"/>
    <cellStyle name="标题 1 2 18" xfId="2061"/>
    <cellStyle name="标题 1 2 19" xfId="2062"/>
    <cellStyle name="标题 1 2 2" xfId="2063"/>
    <cellStyle name="标题 1 2 2 10" xfId="2064"/>
    <cellStyle name="标题 1 2 2 2" xfId="2065"/>
    <cellStyle name="标题 1 2 2 3" xfId="2066"/>
    <cellStyle name="标题 1 2 2 4" xfId="2067"/>
    <cellStyle name="标题 1 2 2 5" xfId="2068"/>
    <cellStyle name="标题 1 2 2 6" xfId="2069"/>
    <cellStyle name="标题 1 2 2 7" xfId="2070"/>
    <cellStyle name="标题 1 2 2 8" xfId="2071"/>
    <cellStyle name="标题 1 2 2 9" xfId="2072"/>
    <cellStyle name="标题 1 2 20" xfId="2073"/>
    <cellStyle name="标题 1 2 21" xfId="2074"/>
    <cellStyle name="标题 1 2 22" xfId="2075"/>
    <cellStyle name="标题 1 2 23" xfId="2076"/>
    <cellStyle name="标题 1 2 24" xfId="2077"/>
    <cellStyle name="标题 1 2 25" xfId="2078"/>
    <cellStyle name="标题 1 2 26" xfId="2079"/>
    <cellStyle name="标题 1 2 3" xfId="2080"/>
    <cellStyle name="标题 1 2 3 10" xfId="2081"/>
    <cellStyle name="标题 1 2 3 2" xfId="2082"/>
    <cellStyle name="标题 1 2 3 3" xfId="2083"/>
    <cellStyle name="标题 1 2 3 4" xfId="2084"/>
    <cellStyle name="标题 1 2 3 5" xfId="2085"/>
    <cellStyle name="标题 1 2 3 6" xfId="2086"/>
    <cellStyle name="标题 1 2 3 7" xfId="2087"/>
    <cellStyle name="标题 1 2 3 8" xfId="2088"/>
    <cellStyle name="标题 1 2 3 9" xfId="2089"/>
    <cellStyle name="标题 1 2 4" xfId="2090"/>
    <cellStyle name="标题 1 2 4 10" xfId="2091"/>
    <cellStyle name="标题 1 2 4 2" xfId="2092"/>
    <cellStyle name="标题 1 2 4 3" xfId="2093"/>
    <cellStyle name="标题 1 2 4 4" xfId="2094"/>
    <cellStyle name="标题 1 2 4 5" xfId="2095"/>
    <cellStyle name="标题 1 2 4 6" xfId="2096"/>
    <cellStyle name="标题 1 2 4 7" xfId="2097"/>
    <cellStyle name="标题 1 2 4 8" xfId="2098"/>
    <cellStyle name="标题 1 2 4 9" xfId="2099"/>
    <cellStyle name="标题 1 2 5" xfId="2100"/>
    <cellStyle name="标题 1 2 5 10" xfId="2101"/>
    <cellStyle name="标题 1 2 5 2" xfId="2102"/>
    <cellStyle name="标题 1 2 5 3" xfId="2103"/>
    <cellStyle name="标题 1 2 5 4" xfId="2104"/>
    <cellStyle name="标题 1 2 5 5" xfId="2105"/>
    <cellStyle name="标题 1 2 5 6" xfId="2106"/>
    <cellStyle name="标题 1 2 5 7" xfId="2107"/>
    <cellStyle name="标题 1 2 5 8" xfId="2108"/>
    <cellStyle name="标题 1 2 5 9" xfId="2109"/>
    <cellStyle name="标题 1 2 6" xfId="2110"/>
    <cellStyle name="标题 1 2 6 10" xfId="2111"/>
    <cellStyle name="标题 1 2 6 2" xfId="2112"/>
    <cellStyle name="标题 1 2 6 3" xfId="2113"/>
    <cellStyle name="标题 1 2 6 4" xfId="2114"/>
    <cellStyle name="标题 1 2 6 5" xfId="2115"/>
    <cellStyle name="标题 1 2 6 6" xfId="2116"/>
    <cellStyle name="标题 1 2 6 7" xfId="2117"/>
    <cellStyle name="标题 1 2 6 8" xfId="2118"/>
    <cellStyle name="标题 1 2 6 9" xfId="2119"/>
    <cellStyle name="标题 1 2 7" xfId="2120"/>
    <cellStyle name="标题 1 2 7 10" xfId="2121"/>
    <cellStyle name="标题 1 2 7 2" xfId="2122"/>
    <cellStyle name="标题 1 2 7 3" xfId="2123"/>
    <cellStyle name="标题 1 2 7 4" xfId="2124"/>
    <cellStyle name="标题 1 2 7 5" xfId="2125"/>
    <cellStyle name="标题 1 2 7 6" xfId="2126"/>
    <cellStyle name="标题 1 2 7 7" xfId="2127"/>
    <cellStyle name="标题 1 2 7 8" xfId="2128"/>
    <cellStyle name="标题 1 2 7 9" xfId="2129"/>
    <cellStyle name="标题 1 2 8" xfId="2130"/>
    <cellStyle name="标题 1 2 8 2" xfId="2131"/>
    <cellStyle name="标题 1 2 8 3" xfId="2132"/>
    <cellStyle name="标题 1 2 8 4" xfId="2133"/>
    <cellStyle name="标题 1 2 8 5" xfId="2134"/>
    <cellStyle name="标题 1 2 9" xfId="2135"/>
    <cellStyle name="标题 1 2 9 2" xfId="2136"/>
    <cellStyle name="标题 1 2 9 3" xfId="2137"/>
    <cellStyle name="标题 1 2 9 4" xfId="2138"/>
    <cellStyle name="标题 1 2 9 5" xfId="2139"/>
    <cellStyle name="标题 1 20" xfId="2140"/>
    <cellStyle name="标题 1 20 2" xfId="2141"/>
    <cellStyle name="标题 1 20 3" xfId="2142"/>
    <cellStyle name="标题 1 21" xfId="2143"/>
    <cellStyle name="标题 1 21 2" xfId="2144"/>
    <cellStyle name="标题 1 21 3" xfId="2145"/>
    <cellStyle name="标题 1 22" xfId="2146"/>
    <cellStyle name="标题 1 22 2" xfId="2147"/>
    <cellStyle name="标题 1 22 3" xfId="2148"/>
    <cellStyle name="标题 1 23" xfId="2149"/>
    <cellStyle name="标题 1 23 2" xfId="2150"/>
    <cellStyle name="标题 1 23 3" xfId="2151"/>
    <cellStyle name="标题 1 24" xfId="2152"/>
    <cellStyle name="标题 1 24 2" xfId="2153"/>
    <cellStyle name="标题 1 25" xfId="2154"/>
    <cellStyle name="标题 1 25 2" xfId="2155"/>
    <cellStyle name="标题 1 3" xfId="2156"/>
    <cellStyle name="标题 1 3 10" xfId="2157"/>
    <cellStyle name="标题 1 3 2" xfId="2158"/>
    <cellStyle name="标题 1 3 3" xfId="2159"/>
    <cellStyle name="标题 1 3 4" xfId="2160"/>
    <cellStyle name="标题 1 3 5" xfId="2161"/>
    <cellStyle name="标题 1 3 6" xfId="2162"/>
    <cellStyle name="标题 1 3 7" xfId="2163"/>
    <cellStyle name="标题 1 3 8" xfId="2164"/>
    <cellStyle name="标题 1 3 9" xfId="2165"/>
    <cellStyle name="标题 1 4" xfId="2166"/>
    <cellStyle name="标题 1 4 10" xfId="2167"/>
    <cellStyle name="标题 1 4 2" xfId="2168"/>
    <cellStyle name="标题 1 4 3" xfId="2169"/>
    <cellStyle name="标题 1 4 4" xfId="2170"/>
    <cellStyle name="标题 1 4 5" xfId="2171"/>
    <cellStyle name="标题 1 4 6" xfId="2172"/>
    <cellStyle name="标题 1 4 7" xfId="2173"/>
    <cellStyle name="标题 1 4 8" xfId="2174"/>
    <cellStyle name="标题 1 4 9" xfId="2175"/>
    <cellStyle name="标题 1 5" xfId="2176"/>
    <cellStyle name="标题 1 5 10" xfId="2177"/>
    <cellStyle name="标题 1 5 2" xfId="2178"/>
    <cellStyle name="标题 1 5 3" xfId="2179"/>
    <cellStyle name="标题 1 5 4" xfId="2180"/>
    <cellStyle name="标题 1 5 5" xfId="2181"/>
    <cellStyle name="标题 1 5 6" xfId="2182"/>
    <cellStyle name="标题 1 5 7" xfId="2183"/>
    <cellStyle name="标题 1 5 8" xfId="2184"/>
    <cellStyle name="标题 1 5 9" xfId="2185"/>
    <cellStyle name="标题 1 6" xfId="2186"/>
    <cellStyle name="标题 1 6 10" xfId="2187"/>
    <cellStyle name="标题 1 6 2" xfId="2188"/>
    <cellStyle name="标题 1 6 3" xfId="2189"/>
    <cellStyle name="标题 1 6 4" xfId="2190"/>
    <cellStyle name="标题 1 6 5" xfId="2191"/>
    <cellStyle name="标题 1 6 6" xfId="2192"/>
    <cellStyle name="标题 1 6 7" xfId="2193"/>
    <cellStyle name="标题 1 6 8" xfId="2194"/>
    <cellStyle name="标题 1 6 9" xfId="2195"/>
    <cellStyle name="标题 1 7" xfId="2196"/>
    <cellStyle name="标题 1 7 10" xfId="2197"/>
    <cellStyle name="标题 1 7 2" xfId="2198"/>
    <cellStyle name="标题 1 7 3" xfId="2199"/>
    <cellStyle name="标题 1 7 4" xfId="2200"/>
    <cellStyle name="标题 1 7 5" xfId="2201"/>
    <cellStyle name="标题 1 7 6" xfId="2202"/>
    <cellStyle name="标题 1 7 7" xfId="2203"/>
    <cellStyle name="标题 1 7 8" xfId="2204"/>
    <cellStyle name="标题 1 7 9" xfId="2205"/>
    <cellStyle name="标题 1 8" xfId="2206"/>
    <cellStyle name="标题 1 8 10" xfId="2207"/>
    <cellStyle name="标题 1 8 2" xfId="2208"/>
    <cellStyle name="标题 1 8 3" xfId="2209"/>
    <cellStyle name="标题 1 8 4" xfId="2210"/>
    <cellStyle name="标题 1 8 5" xfId="2211"/>
    <cellStyle name="标题 1 8 6" xfId="2212"/>
    <cellStyle name="标题 1 8 7" xfId="2213"/>
    <cellStyle name="标题 1 8 8" xfId="2214"/>
    <cellStyle name="标题 1 8 9" xfId="2215"/>
    <cellStyle name="标题 1 9" xfId="2216"/>
    <cellStyle name="标题 1 9 10" xfId="2217"/>
    <cellStyle name="标题 1 9 2" xfId="2218"/>
    <cellStyle name="标题 1 9 3" xfId="2219"/>
    <cellStyle name="标题 1 9 4" xfId="2220"/>
    <cellStyle name="标题 1 9 5" xfId="2221"/>
    <cellStyle name="标题 1 9 6" xfId="2222"/>
    <cellStyle name="标题 1 9 7" xfId="2223"/>
    <cellStyle name="标题 1 9 8" xfId="2224"/>
    <cellStyle name="标题 1 9 9" xfId="2225"/>
    <cellStyle name="标题 10" xfId="2226"/>
    <cellStyle name="标题 10 10" xfId="2227"/>
    <cellStyle name="标题 10 2" xfId="2228"/>
    <cellStyle name="标题 10 3" xfId="2229"/>
    <cellStyle name="标题 10 4" xfId="2230"/>
    <cellStyle name="标题 10 5" xfId="2231"/>
    <cellStyle name="标题 10 6" xfId="2232"/>
    <cellStyle name="标题 10 7" xfId="2233"/>
    <cellStyle name="标题 10 8" xfId="2234"/>
    <cellStyle name="标题 10 9" xfId="2235"/>
    <cellStyle name="标题 11" xfId="2236"/>
    <cellStyle name="标题 11 10" xfId="2237"/>
    <cellStyle name="标题 11 2" xfId="2238"/>
    <cellStyle name="标题 11 3" xfId="2239"/>
    <cellStyle name="标题 11 4" xfId="2240"/>
    <cellStyle name="标题 11 5" xfId="2241"/>
    <cellStyle name="标题 11 6" xfId="2242"/>
    <cellStyle name="标题 11 7" xfId="2243"/>
    <cellStyle name="标题 11 8" xfId="2244"/>
    <cellStyle name="标题 11 9" xfId="2245"/>
    <cellStyle name="标题 12" xfId="2246"/>
    <cellStyle name="标题 12 10" xfId="2247"/>
    <cellStyle name="标题 12 2" xfId="2248"/>
    <cellStyle name="标题 12 3" xfId="2249"/>
    <cellStyle name="标题 12 4" xfId="2250"/>
    <cellStyle name="标题 12 5" xfId="2251"/>
    <cellStyle name="标题 12 6" xfId="2252"/>
    <cellStyle name="标题 12 7" xfId="2253"/>
    <cellStyle name="标题 12 8" xfId="2254"/>
    <cellStyle name="标题 12 9" xfId="2255"/>
    <cellStyle name="标题 13" xfId="2256"/>
    <cellStyle name="标题 13 2" xfId="2257"/>
    <cellStyle name="标题 13 3" xfId="2258"/>
    <cellStyle name="标题 13 4" xfId="2259"/>
    <cellStyle name="标题 13 5" xfId="2260"/>
    <cellStyle name="标题 14" xfId="2261"/>
    <cellStyle name="标题 14 2" xfId="2262"/>
    <cellStyle name="标题 14 3" xfId="2263"/>
    <cellStyle name="标题 14 4" xfId="2264"/>
    <cellStyle name="标题 14 5" xfId="2265"/>
    <cellStyle name="标题 15" xfId="2266"/>
    <cellStyle name="标题 15 2" xfId="2267"/>
    <cellStyle name="标题 15 3" xfId="2268"/>
    <cellStyle name="标题 15 4" xfId="2269"/>
    <cellStyle name="标题 15 5" xfId="2270"/>
    <cellStyle name="标题 16" xfId="2271"/>
    <cellStyle name="标题 16 2" xfId="2272"/>
    <cellStyle name="标题 16 3" xfId="2273"/>
    <cellStyle name="标题 16 4" xfId="2274"/>
    <cellStyle name="标题 16 5" xfId="2275"/>
    <cellStyle name="标题 17" xfId="2276"/>
    <cellStyle name="标题 17 2" xfId="2277"/>
    <cellStyle name="标题 17 3" xfId="2278"/>
    <cellStyle name="标题 17 4" xfId="2279"/>
    <cellStyle name="标题 17 5" xfId="2280"/>
    <cellStyle name="标题 17 6" xfId="2281"/>
    <cellStyle name="标题 17 7" xfId="2282"/>
    <cellStyle name="标题 18" xfId="2283"/>
    <cellStyle name="标题 18 2" xfId="2284"/>
    <cellStyle name="标题 18 3" xfId="2285"/>
    <cellStyle name="标题 18 4" xfId="2286"/>
    <cellStyle name="标题 18 5" xfId="2287"/>
    <cellStyle name="标题 18 6" xfId="2288"/>
    <cellStyle name="标题 18 7" xfId="2289"/>
    <cellStyle name="标题 19" xfId="2290"/>
    <cellStyle name="标题 19 2" xfId="2291"/>
    <cellStyle name="标题 19 3" xfId="2292"/>
    <cellStyle name="标题 19 4" xfId="2293"/>
    <cellStyle name="标题 19 5" xfId="2294"/>
    <cellStyle name="标题 19 6" xfId="2295"/>
    <cellStyle name="标题 19 7" xfId="2296"/>
    <cellStyle name="标题 2 10" xfId="2297"/>
    <cellStyle name="标题 2 10 2" xfId="2298"/>
    <cellStyle name="标题 2 10 3" xfId="2299"/>
    <cellStyle name="标题 2 10 4" xfId="2300"/>
    <cellStyle name="标题 2 10 5" xfId="2301"/>
    <cellStyle name="标题 2 11" xfId="2302"/>
    <cellStyle name="标题 2 11 2" xfId="2303"/>
    <cellStyle name="标题 2 11 3" xfId="2304"/>
    <cellStyle name="标题 2 11 4" xfId="2305"/>
    <cellStyle name="标题 2 11 5" xfId="2306"/>
    <cellStyle name="标题 2 12" xfId="2307"/>
    <cellStyle name="标题 2 12 2" xfId="2308"/>
    <cellStyle name="标题 2 12 3" xfId="2309"/>
    <cellStyle name="标题 2 12 4" xfId="2310"/>
    <cellStyle name="标题 2 12 5" xfId="2311"/>
    <cellStyle name="标题 2 13" xfId="2312"/>
    <cellStyle name="标题 2 13 2" xfId="2313"/>
    <cellStyle name="标题 2 13 3" xfId="2314"/>
    <cellStyle name="标题 2 13 4" xfId="2315"/>
    <cellStyle name="标题 2 13 5" xfId="2316"/>
    <cellStyle name="标题 2 14" xfId="2317"/>
    <cellStyle name="标题 2 14 2" xfId="2318"/>
    <cellStyle name="标题 2 14 3" xfId="2319"/>
    <cellStyle name="标题 2 14 4" xfId="2320"/>
    <cellStyle name="标题 2 14 5" xfId="2321"/>
    <cellStyle name="标题 2 14 6" xfId="2322"/>
    <cellStyle name="标题 2 14 7" xfId="2323"/>
    <cellStyle name="标题 2 15" xfId="2324"/>
    <cellStyle name="标题 2 15 2" xfId="2325"/>
    <cellStyle name="标题 2 15 3" xfId="2326"/>
    <cellStyle name="标题 2 15 4" xfId="2327"/>
    <cellStyle name="标题 2 15 5" xfId="2328"/>
    <cellStyle name="标题 2 15 6" xfId="2329"/>
    <cellStyle name="标题 2 15 7" xfId="2330"/>
    <cellStyle name="标题 2 16" xfId="2331"/>
    <cellStyle name="标题 2 16 2" xfId="2332"/>
    <cellStyle name="标题 2 16 3" xfId="2333"/>
    <cellStyle name="标题 2 16 4" xfId="2334"/>
    <cellStyle name="标题 2 16 5" xfId="2335"/>
    <cellStyle name="标题 2 16 6" xfId="2336"/>
    <cellStyle name="标题 2 16 7" xfId="2337"/>
    <cellStyle name="标题 2 17" xfId="2338"/>
    <cellStyle name="标题 2 17 2" xfId="2339"/>
    <cellStyle name="标题 2 17 3" xfId="2340"/>
    <cellStyle name="标题 2 17 4" xfId="2341"/>
    <cellStyle name="标题 2 17 5" xfId="2342"/>
    <cellStyle name="标题 2 17 6" xfId="2343"/>
    <cellStyle name="标题 2 17 7" xfId="2344"/>
    <cellStyle name="标题 2 17 8" xfId="2345"/>
    <cellStyle name="标题 2 17 9" xfId="2346"/>
    <cellStyle name="标题 2 18" xfId="2347"/>
    <cellStyle name="标题 2 18 2" xfId="2348"/>
    <cellStyle name="标题 2 18 3" xfId="2349"/>
    <cellStyle name="标题 2 18 4" xfId="2350"/>
    <cellStyle name="标题 2 18 5" xfId="2351"/>
    <cellStyle name="标题 2 19" xfId="2352"/>
    <cellStyle name="标题 2 19 2" xfId="2353"/>
    <cellStyle name="标题 2 19 3" xfId="2354"/>
    <cellStyle name="标题 2 19 4" xfId="2355"/>
    <cellStyle name="标题 2 19 5" xfId="2356"/>
    <cellStyle name="标题 2 2 10" xfId="2357"/>
    <cellStyle name="标题 2 2 10 2" xfId="2358"/>
    <cellStyle name="标题 2 2 10 3" xfId="2359"/>
    <cellStyle name="标题 2 2 10 4" xfId="2360"/>
    <cellStyle name="标题 2 2 10 5" xfId="2361"/>
    <cellStyle name="标题 2 2 11" xfId="2362"/>
    <cellStyle name="标题 2 2 11 2" xfId="2363"/>
    <cellStyle name="标题 2 2 11 3" xfId="2364"/>
    <cellStyle name="标题 2 2 11 4" xfId="2365"/>
    <cellStyle name="标题 2 2 11 5" xfId="2366"/>
    <cellStyle name="标题 2 2 12" xfId="2367"/>
    <cellStyle name="标题 2 2 12 2" xfId="2368"/>
    <cellStyle name="标题 2 2 12 3" xfId="2369"/>
    <cellStyle name="标题 2 2 12 4" xfId="2370"/>
    <cellStyle name="标题 2 2 12 5" xfId="2371"/>
    <cellStyle name="标题 2 2 13" xfId="2372"/>
    <cellStyle name="标题 2 2 14" xfId="2373"/>
    <cellStyle name="标题 2 2 15" xfId="2374"/>
    <cellStyle name="标题 2 2 16" xfId="2375"/>
    <cellStyle name="标题 2 2 17" xfId="2376"/>
    <cellStyle name="标题 2 2 18" xfId="2377"/>
    <cellStyle name="标题 2 2 19" xfId="2378"/>
    <cellStyle name="标题 2 2 2" xfId="2379"/>
    <cellStyle name="标题 2 2 2 10" xfId="2380"/>
    <cellStyle name="标题 2 2 2 2" xfId="2381"/>
    <cellStyle name="标题 2 2 2 3" xfId="2382"/>
    <cellStyle name="标题 2 2 2 4" xfId="2383"/>
    <cellStyle name="标题 2 2 2 5" xfId="2384"/>
    <cellStyle name="标题 2 2 2 6" xfId="2385"/>
    <cellStyle name="标题 2 2 2 7" xfId="2386"/>
    <cellStyle name="标题 2 2 2 8" xfId="2387"/>
    <cellStyle name="标题 2 2 2 9" xfId="2388"/>
    <cellStyle name="标题 2 2 20" xfId="2389"/>
    <cellStyle name="标题 2 2 21" xfId="2390"/>
    <cellStyle name="标题 2 2 22" xfId="2391"/>
    <cellStyle name="标题 2 2 23" xfId="2392"/>
    <cellStyle name="标题 2 2 24" xfId="2393"/>
    <cellStyle name="标题 2 2 25" xfId="2394"/>
    <cellStyle name="标题 2 2 26" xfId="2395"/>
    <cellStyle name="标题 2 2 3" xfId="2396"/>
    <cellStyle name="标题 2 2 3 10" xfId="2397"/>
    <cellStyle name="标题 2 2 3 2" xfId="2398"/>
    <cellStyle name="标题 2 2 3 3" xfId="2399"/>
    <cellStyle name="标题 2 2 3 4" xfId="2400"/>
    <cellStyle name="标题 2 2 3 5" xfId="2401"/>
    <cellStyle name="标题 2 2 3 6" xfId="2402"/>
    <cellStyle name="标题 2 2 3 7" xfId="2403"/>
    <cellStyle name="标题 2 2 3 8" xfId="2404"/>
    <cellStyle name="标题 2 2 3 9" xfId="2405"/>
    <cellStyle name="标题 2 2 4" xfId="2406"/>
    <cellStyle name="标题 2 2 4 10" xfId="2407"/>
    <cellStyle name="标题 2 2 4 2" xfId="2408"/>
    <cellStyle name="标题 2 2 4 3" xfId="2409"/>
    <cellStyle name="标题 2 2 4 4" xfId="2410"/>
    <cellStyle name="标题 2 2 4 5" xfId="2411"/>
    <cellStyle name="标题 2 2 4 6" xfId="2412"/>
    <cellStyle name="标题 2 2 4 7" xfId="2413"/>
    <cellStyle name="标题 2 2 4 8" xfId="2414"/>
    <cellStyle name="标题 2 2 4 9" xfId="2415"/>
    <cellStyle name="标题 2 2 5" xfId="2416"/>
    <cellStyle name="标题 2 2 5 10" xfId="2417"/>
    <cellStyle name="标题 2 2 5 2" xfId="2418"/>
    <cellStyle name="标题 2 2 5 3" xfId="2419"/>
    <cellStyle name="标题 2 2 5 4" xfId="2420"/>
    <cellStyle name="标题 2 2 5 5" xfId="2421"/>
    <cellStyle name="标题 2 2 5 6" xfId="2422"/>
    <cellStyle name="标题 2 2 5 7" xfId="2423"/>
    <cellStyle name="标题 2 2 5 8" xfId="2424"/>
    <cellStyle name="标题 2 2 5 9" xfId="2425"/>
    <cellStyle name="标题 2 2 6" xfId="2426"/>
    <cellStyle name="标题 2 2 6 10" xfId="2427"/>
    <cellStyle name="标题 2 2 6 2" xfId="2428"/>
    <cellStyle name="标题 2 2 6 3" xfId="2429"/>
    <cellStyle name="标题 2 2 6 4" xfId="2430"/>
    <cellStyle name="标题 2 2 6 5" xfId="2431"/>
    <cellStyle name="标题 2 2 6 6" xfId="2432"/>
    <cellStyle name="标题 2 2 6 7" xfId="2433"/>
    <cellStyle name="标题 2 2 6 8" xfId="2434"/>
    <cellStyle name="标题 2 2 6 9" xfId="2435"/>
    <cellStyle name="标题 2 2 7" xfId="2436"/>
    <cellStyle name="标题 2 2 7 10" xfId="2437"/>
    <cellStyle name="标题 2 2 7 2" xfId="2438"/>
    <cellStyle name="标题 2 2 7 3" xfId="2439"/>
    <cellStyle name="标题 2 2 7 4" xfId="2440"/>
    <cellStyle name="标题 2 2 7 5" xfId="2441"/>
    <cellStyle name="标题 2 2 7 6" xfId="2442"/>
    <cellStyle name="标题 2 2 7 7" xfId="2443"/>
    <cellStyle name="标题 2 2 7 8" xfId="2444"/>
    <cellStyle name="标题 2 2 7 9" xfId="2445"/>
    <cellStyle name="标题 2 2 8" xfId="2446"/>
    <cellStyle name="标题 2 2 8 2" xfId="2447"/>
    <cellStyle name="标题 2 2 8 3" xfId="2448"/>
    <cellStyle name="标题 2 2 8 4" xfId="2449"/>
    <cellStyle name="标题 2 2 8 5" xfId="2450"/>
    <cellStyle name="标题 2 2 9" xfId="2451"/>
    <cellStyle name="标题 2 2 9 2" xfId="2452"/>
    <cellStyle name="标题 2 2 9 3" xfId="2453"/>
    <cellStyle name="标题 2 2 9 4" xfId="2454"/>
    <cellStyle name="标题 2 2 9 5" xfId="2455"/>
    <cellStyle name="标题 2 20" xfId="2456"/>
    <cellStyle name="标题 2 20 2" xfId="2457"/>
    <cellStyle name="标题 2 20 3" xfId="2458"/>
    <cellStyle name="标题 2 21" xfId="2459"/>
    <cellStyle name="标题 2 21 2" xfId="2460"/>
    <cellStyle name="标题 2 21 3" xfId="2461"/>
    <cellStyle name="标题 2 22" xfId="2462"/>
    <cellStyle name="标题 2 22 2" xfId="2463"/>
    <cellStyle name="标题 2 22 3" xfId="2464"/>
    <cellStyle name="标题 2 23" xfId="2465"/>
    <cellStyle name="标题 2 23 2" xfId="2466"/>
    <cellStyle name="标题 2 23 3" xfId="2467"/>
    <cellStyle name="标题 2 24" xfId="2468"/>
    <cellStyle name="标题 2 24 2" xfId="2469"/>
    <cellStyle name="标题 2 25" xfId="2470"/>
    <cellStyle name="标题 2 25 2" xfId="2471"/>
    <cellStyle name="标题 2 3" xfId="2472"/>
    <cellStyle name="标题 2 3 10" xfId="2473"/>
    <cellStyle name="标题 2 3 2" xfId="2474"/>
    <cellStyle name="标题 2 3 3" xfId="2475"/>
    <cellStyle name="标题 2 3 4" xfId="2476"/>
    <cellStyle name="标题 2 3 5" xfId="2477"/>
    <cellStyle name="标题 2 3 6" xfId="2478"/>
    <cellStyle name="标题 2 3 7" xfId="2479"/>
    <cellStyle name="标题 2 3 8" xfId="2480"/>
    <cellStyle name="标题 2 3 9" xfId="2481"/>
    <cellStyle name="标题 2 4" xfId="2482"/>
    <cellStyle name="标题 2 4 10" xfId="2483"/>
    <cellStyle name="标题 2 4 2" xfId="2484"/>
    <cellStyle name="标题 2 4 3" xfId="2485"/>
    <cellStyle name="标题 2 4 4" xfId="2486"/>
    <cellStyle name="标题 2 4 5" xfId="2487"/>
    <cellStyle name="标题 2 4 6" xfId="2488"/>
    <cellStyle name="标题 2 4 7" xfId="2489"/>
    <cellStyle name="标题 2 4 8" xfId="2490"/>
    <cellStyle name="标题 2 4 9" xfId="2491"/>
    <cellStyle name="标题 2 5" xfId="2492"/>
    <cellStyle name="标题 2 5 10" xfId="2493"/>
    <cellStyle name="标题 2 5 2" xfId="2494"/>
    <cellStyle name="标题 2 5 3" xfId="2495"/>
    <cellStyle name="标题 2 5 4" xfId="2496"/>
    <cellStyle name="标题 2 5 5" xfId="2497"/>
    <cellStyle name="标题 2 5 6" xfId="2498"/>
    <cellStyle name="标题 2 5 7" xfId="2499"/>
    <cellStyle name="标题 2 5 8" xfId="2500"/>
    <cellStyle name="标题 2 5 9" xfId="2501"/>
    <cellStyle name="标题 2 6" xfId="2502"/>
    <cellStyle name="标题 2 6 10" xfId="2503"/>
    <cellStyle name="标题 2 6 2" xfId="2504"/>
    <cellStyle name="标题 2 6 3" xfId="2505"/>
    <cellStyle name="标题 2 6 4" xfId="2506"/>
    <cellStyle name="标题 2 6 5" xfId="2507"/>
    <cellStyle name="标题 2 6 6" xfId="2508"/>
    <cellStyle name="标题 2 6 7" xfId="2509"/>
    <cellStyle name="标题 2 6 8" xfId="2510"/>
    <cellStyle name="标题 2 6 9" xfId="2511"/>
    <cellStyle name="标题 2 7" xfId="2512"/>
    <cellStyle name="标题 2 7 10" xfId="2513"/>
    <cellStyle name="标题 2 7 2" xfId="2514"/>
    <cellStyle name="标题 2 7 3" xfId="2515"/>
    <cellStyle name="标题 2 7 4" xfId="2516"/>
    <cellStyle name="标题 2 7 5" xfId="2517"/>
    <cellStyle name="标题 2 7 6" xfId="2518"/>
    <cellStyle name="标题 2 7 7" xfId="2519"/>
    <cellStyle name="标题 2 7 8" xfId="2520"/>
    <cellStyle name="标题 2 7 9" xfId="2521"/>
    <cellStyle name="标题 2 8" xfId="2522"/>
    <cellStyle name="标题 2 8 10" xfId="2523"/>
    <cellStyle name="标题 2 8 2" xfId="2524"/>
    <cellStyle name="标题 2 8 3" xfId="2525"/>
    <cellStyle name="标题 2 8 4" xfId="2526"/>
    <cellStyle name="标题 2 8 5" xfId="2527"/>
    <cellStyle name="标题 2 8 6" xfId="2528"/>
    <cellStyle name="标题 2 8 7" xfId="2529"/>
    <cellStyle name="标题 2 8 8" xfId="2530"/>
    <cellStyle name="标题 2 8 9" xfId="2531"/>
    <cellStyle name="标题 2 9" xfId="2532"/>
    <cellStyle name="标题 2 9 10" xfId="2533"/>
    <cellStyle name="标题 2 9 2" xfId="2534"/>
    <cellStyle name="标题 2 9 3" xfId="2535"/>
    <cellStyle name="标题 2 9 4" xfId="2536"/>
    <cellStyle name="标题 2 9 5" xfId="2537"/>
    <cellStyle name="标题 2 9 6" xfId="2538"/>
    <cellStyle name="标题 2 9 7" xfId="2539"/>
    <cellStyle name="标题 2 9 8" xfId="2540"/>
    <cellStyle name="标题 2 9 9" xfId="2541"/>
    <cellStyle name="标题 20" xfId="2542"/>
    <cellStyle name="标题 20 2" xfId="2543"/>
    <cellStyle name="标题 20 3" xfId="2544"/>
    <cellStyle name="标题 20 4" xfId="2545"/>
    <cellStyle name="标题 20 5" xfId="2546"/>
    <cellStyle name="标题 20 6" xfId="2547"/>
    <cellStyle name="标题 20 7" xfId="2548"/>
    <cellStyle name="标题 20 8" xfId="2549"/>
    <cellStyle name="标题 20 9" xfId="2550"/>
    <cellStyle name="标题 21" xfId="2551"/>
    <cellStyle name="标题 21 2" xfId="2552"/>
    <cellStyle name="标题 21 3" xfId="2553"/>
    <cellStyle name="标题 21 4" xfId="2554"/>
    <cellStyle name="标题 21 5" xfId="2555"/>
    <cellStyle name="标题 22" xfId="2556"/>
    <cellStyle name="标题 22 2" xfId="2557"/>
    <cellStyle name="标题 22 3" xfId="2558"/>
    <cellStyle name="标题 22 4" xfId="2559"/>
    <cellStyle name="标题 22 5" xfId="2560"/>
    <cellStyle name="标题 23" xfId="2561"/>
    <cellStyle name="标题 23 2" xfId="2562"/>
    <cellStyle name="标题 23 3" xfId="2563"/>
    <cellStyle name="标题 24" xfId="2564"/>
    <cellStyle name="标题 24 2" xfId="2565"/>
    <cellStyle name="标题 24 3" xfId="2566"/>
    <cellStyle name="标题 25" xfId="2567"/>
    <cellStyle name="标题 25 2" xfId="2568"/>
    <cellStyle name="标题 25 3" xfId="2569"/>
    <cellStyle name="标题 26" xfId="2570"/>
    <cellStyle name="标题 26 2" xfId="2571"/>
    <cellStyle name="标题 26 3" xfId="2572"/>
    <cellStyle name="标题 27" xfId="2573"/>
    <cellStyle name="标题 27 2" xfId="2574"/>
    <cellStyle name="标题 28" xfId="2575"/>
    <cellStyle name="标题 28 2" xfId="2576"/>
    <cellStyle name="标题 3 10" xfId="2577"/>
    <cellStyle name="标题 3 10 2" xfId="2578"/>
    <cellStyle name="标题 3 10 3" xfId="2579"/>
    <cellStyle name="标题 3 10 4" xfId="2580"/>
    <cellStyle name="标题 3 10 5" xfId="2581"/>
    <cellStyle name="标题 3 11" xfId="2582"/>
    <cellStyle name="标题 3 11 2" xfId="2583"/>
    <cellStyle name="标题 3 11 3" xfId="2584"/>
    <cellStyle name="标题 3 11 4" xfId="2585"/>
    <cellStyle name="标题 3 11 5" xfId="2586"/>
    <cellStyle name="标题 3 12" xfId="2587"/>
    <cellStyle name="标题 3 12 2" xfId="2588"/>
    <cellStyle name="标题 3 12 3" xfId="2589"/>
    <cellStyle name="标题 3 12 4" xfId="2590"/>
    <cellStyle name="标题 3 12 5" xfId="2591"/>
    <cellStyle name="标题 3 13" xfId="2592"/>
    <cellStyle name="标题 3 13 2" xfId="2593"/>
    <cellStyle name="标题 3 13 3" xfId="2594"/>
    <cellStyle name="标题 3 13 4" xfId="2595"/>
    <cellStyle name="标题 3 13 5" xfId="2596"/>
    <cellStyle name="标题 3 14" xfId="2597"/>
    <cellStyle name="标题 3 14 2" xfId="2598"/>
    <cellStyle name="标题 3 14 3" xfId="2599"/>
    <cellStyle name="标题 3 14 4" xfId="2600"/>
    <cellStyle name="标题 3 14 5" xfId="2601"/>
    <cellStyle name="标题 3 14 6" xfId="2602"/>
    <cellStyle name="标题 3 14 7" xfId="2603"/>
    <cellStyle name="标题 3 15" xfId="2604"/>
    <cellStyle name="标题 3 15 2" xfId="2605"/>
    <cellStyle name="标题 3 15 3" xfId="2606"/>
    <cellStyle name="标题 3 15 4" xfId="2607"/>
    <cellStyle name="标题 3 15 5" xfId="2608"/>
    <cellStyle name="标题 3 15 6" xfId="2609"/>
    <cellStyle name="标题 3 15 7" xfId="2610"/>
    <cellStyle name="标题 3 16" xfId="2611"/>
    <cellStyle name="标题 3 16 2" xfId="2612"/>
    <cellStyle name="标题 3 16 3" xfId="2613"/>
    <cellStyle name="标题 3 16 4" xfId="2614"/>
    <cellStyle name="标题 3 16 5" xfId="2615"/>
    <cellStyle name="标题 3 16 6" xfId="2616"/>
    <cellStyle name="标题 3 16 7" xfId="2617"/>
    <cellStyle name="标题 3 17" xfId="2618"/>
    <cellStyle name="标题 3 17 2" xfId="2619"/>
    <cellStyle name="标题 3 17 3" xfId="2620"/>
    <cellStyle name="标题 3 17 4" xfId="2621"/>
    <cellStyle name="标题 3 17 5" xfId="2622"/>
    <cellStyle name="标题 3 17 6" xfId="2623"/>
    <cellStyle name="标题 3 17 7" xfId="2624"/>
    <cellStyle name="标题 3 17 8" xfId="2625"/>
    <cellStyle name="标题 3 17 9" xfId="2626"/>
    <cellStyle name="标题 3 18" xfId="2627"/>
    <cellStyle name="标题 3 18 2" xfId="2628"/>
    <cellStyle name="标题 3 18 3" xfId="2629"/>
    <cellStyle name="标题 3 18 4" xfId="2630"/>
    <cellStyle name="标题 3 18 5" xfId="2631"/>
    <cellStyle name="标题 3 19" xfId="2632"/>
    <cellStyle name="标题 3 19 2" xfId="2633"/>
    <cellStyle name="标题 3 19 3" xfId="2634"/>
    <cellStyle name="标题 3 19 4" xfId="2635"/>
    <cellStyle name="标题 3 19 5" xfId="2636"/>
    <cellStyle name="标题 3 2 10" xfId="2637"/>
    <cellStyle name="标题 3 2 10 2" xfId="2638"/>
    <cellStyle name="标题 3 2 10 3" xfId="2639"/>
    <cellStyle name="标题 3 2 10 4" xfId="2640"/>
    <cellStyle name="标题 3 2 10 5" xfId="2641"/>
    <cellStyle name="标题 3 2 11" xfId="2642"/>
    <cellStyle name="标题 3 2 11 2" xfId="2643"/>
    <cellStyle name="标题 3 2 11 3" xfId="2644"/>
    <cellStyle name="标题 3 2 11 4" xfId="2645"/>
    <cellStyle name="标题 3 2 11 5" xfId="2646"/>
    <cellStyle name="标题 3 2 12" xfId="2647"/>
    <cellStyle name="标题 3 2 12 2" xfId="2648"/>
    <cellStyle name="标题 3 2 12 3" xfId="2649"/>
    <cellStyle name="标题 3 2 12 4" xfId="2650"/>
    <cellStyle name="标题 3 2 12 5" xfId="2651"/>
    <cellStyle name="标题 3 2 13" xfId="2652"/>
    <cellStyle name="标题 3 2 14" xfId="2653"/>
    <cellStyle name="标题 3 2 15" xfId="2654"/>
    <cellStyle name="标题 3 2 16" xfId="2655"/>
    <cellStyle name="标题 3 2 17" xfId="2656"/>
    <cellStyle name="标题 3 2 18" xfId="2657"/>
    <cellStyle name="标题 3 2 19" xfId="2658"/>
    <cellStyle name="标题 3 2 2" xfId="2659"/>
    <cellStyle name="标题 3 2 2 10" xfId="2660"/>
    <cellStyle name="标题 3 2 2 2" xfId="2661"/>
    <cellStyle name="标题 3 2 2 3" xfId="2662"/>
    <cellStyle name="标题 3 2 2 4" xfId="2663"/>
    <cellStyle name="标题 3 2 2 5" xfId="2664"/>
    <cellStyle name="标题 3 2 2 6" xfId="2665"/>
    <cellStyle name="标题 3 2 2 7" xfId="2666"/>
    <cellStyle name="标题 3 2 2 8" xfId="2667"/>
    <cellStyle name="标题 3 2 2 9" xfId="2668"/>
    <cellStyle name="标题 3 2 20" xfId="2669"/>
    <cellStyle name="标题 3 2 21" xfId="2670"/>
    <cellStyle name="标题 3 2 22" xfId="2671"/>
    <cellStyle name="标题 3 2 23" xfId="2672"/>
    <cellStyle name="标题 3 2 24" xfId="2673"/>
    <cellStyle name="标题 3 2 25" xfId="2674"/>
    <cellStyle name="标题 3 2 26" xfId="2675"/>
    <cellStyle name="标题 3 2 3" xfId="2676"/>
    <cellStyle name="标题 3 2 3 10" xfId="2677"/>
    <cellStyle name="标题 3 2 3 2" xfId="2678"/>
    <cellStyle name="标题 3 2 3 3" xfId="2679"/>
    <cellStyle name="标题 3 2 3 4" xfId="2680"/>
    <cellStyle name="标题 3 2 3 5" xfId="2681"/>
    <cellStyle name="标题 3 2 3 6" xfId="2682"/>
    <cellStyle name="标题 3 2 3 7" xfId="2683"/>
    <cellStyle name="标题 3 2 3 8" xfId="2684"/>
    <cellStyle name="标题 3 2 3 9" xfId="2685"/>
    <cellStyle name="标题 3 2 4" xfId="2686"/>
    <cellStyle name="标题 3 2 4 10" xfId="2687"/>
    <cellStyle name="标题 3 2 4 2" xfId="2688"/>
    <cellStyle name="标题 3 2 4 3" xfId="2689"/>
    <cellStyle name="标题 3 2 4 4" xfId="2690"/>
    <cellStyle name="标题 3 2 4 5" xfId="2691"/>
    <cellStyle name="标题 3 2 4 6" xfId="2692"/>
    <cellStyle name="标题 3 2 4 7" xfId="2693"/>
    <cellStyle name="标题 3 2 4 8" xfId="2694"/>
    <cellStyle name="标题 3 2 4 9" xfId="2695"/>
    <cellStyle name="标题 3 2 5" xfId="2696"/>
    <cellStyle name="标题 3 2 5 10" xfId="2697"/>
    <cellStyle name="标题 3 2 5 2" xfId="2698"/>
    <cellStyle name="标题 3 2 5 3" xfId="2699"/>
    <cellStyle name="标题 3 2 5 4" xfId="2700"/>
    <cellStyle name="标题 3 2 5 5" xfId="2701"/>
    <cellStyle name="标题 3 2 5 6" xfId="2702"/>
    <cellStyle name="标题 3 2 5 7" xfId="2703"/>
    <cellStyle name="标题 3 2 5 8" xfId="2704"/>
    <cellStyle name="标题 3 2 5 9" xfId="2705"/>
    <cellStyle name="标题 3 2 6" xfId="2706"/>
    <cellStyle name="标题 3 2 6 10" xfId="2707"/>
    <cellStyle name="标题 3 2 6 2" xfId="2708"/>
    <cellStyle name="标题 3 2 6 3" xfId="2709"/>
    <cellStyle name="标题 3 2 6 4" xfId="2710"/>
    <cellStyle name="标题 3 2 6 5" xfId="2711"/>
    <cellStyle name="标题 3 2 6 6" xfId="2712"/>
    <cellStyle name="标题 3 2 6 7" xfId="2713"/>
    <cellStyle name="标题 3 2 6 8" xfId="2714"/>
    <cellStyle name="标题 3 2 6 9" xfId="2715"/>
    <cellStyle name="标题 3 2 7" xfId="2716"/>
    <cellStyle name="标题 3 2 7 10" xfId="2717"/>
    <cellStyle name="标题 3 2 7 2" xfId="2718"/>
    <cellStyle name="标题 3 2 7 3" xfId="2719"/>
    <cellStyle name="标题 3 2 7 4" xfId="2720"/>
    <cellStyle name="标题 3 2 7 5" xfId="2721"/>
    <cellStyle name="标题 3 2 7 6" xfId="2722"/>
    <cellStyle name="标题 3 2 7 7" xfId="2723"/>
    <cellStyle name="标题 3 2 7 8" xfId="2724"/>
    <cellStyle name="标题 3 2 7 9" xfId="2725"/>
    <cellStyle name="标题 3 2 8" xfId="2726"/>
    <cellStyle name="标题 3 2 8 2" xfId="2727"/>
    <cellStyle name="标题 3 2 8 3" xfId="2728"/>
    <cellStyle name="标题 3 2 8 4" xfId="2729"/>
    <cellStyle name="标题 3 2 8 5" xfId="2730"/>
    <cellStyle name="标题 3 2 9" xfId="2731"/>
    <cellStyle name="标题 3 2 9 2" xfId="2732"/>
    <cellStyle name="标题 3 2 9 3" xfId="2733"/>
    <cellStyle name="标题 3 2 9 4" xfId="2734"/>
    <cellStyle name="标题 3 2 9 5" xfId="2735"/>
    <cellStyle name="标题 3 20" xfId="2736"/>
    <cellStyle name="标题 3 20 2" xfId="2737"/>
    <cellStyle name="标题 3 20 3" xfId="2738"/>
    <cellStyle name="标题 3 21" xfId="2739"/>
    <cellStyle name="标题 3 21 2" xfId="2740"/>
    <cellStyle name="标题 3 21 3" xfId="2741"/>
    <cellStyle name="标题 3 22" xfId="2742"/>
    <cellStyle name="标题 3 22 2" xfId="2743"/>
    <cellStyle name="标题 3 22 3" xfId="2744"/>
    <cellStyle name="标题 3 23" xfId="2745"/>
    <cellStyle name="标题 3 23 2" xfId="2746"/>
    <cellStyle name="标题 3 23 3" xfId="2747"/>
    <cellStyle name="标题 3 24" xfId="2748"/>
    <cellStyle name="标题 3 24 2" xfId="2749"/>
    <cellStyle name="标题 3 25" xfId="2750"/>
    <cellStyle name="标题 3 25 2" xfId="2751"/>
    <cellStyle name="标题 3 3" xfId="2752"/>
    <cellStyle name="标题 3 3 10" xfId="2753"/>
    <cellStyle name="标题 3 3 2" xfId="2754"/>
    <cellStyle name="标题 3 3 3" xfId="2755"/>
    <cellStyle name="标题 3 3 4" xfId="2756"/>
    <cellStyle name="标题 3 3 5" xfId="2757"/>
    <cellStyle name="标题 3 3 6" xfId="2758"/>
    <cellStyle name="标题 3 3 7" xfId="2759"/>
    <cellStyle name="标题 3 3 8" xfId="2760"/>
    <cellStyle name="标题 3 3 9" xfId="2761"/>
    <cellStyle name="标题 3 4" xfId="2762"/>
    <cellStyle name="标题 3 4 10" xfId="2763"/>
    <cellStyle name="标题 3 4 2" xfId="2764"/>
    <cellStyle name="标题 3 4 3" xfId="2765"/>
    <cellStyle name="标题 3 4 4" xfId="2766"/>
    <cellStyle name="标题 3 4 5" xfId="2767"/>
    <cellStyle name="标题 3 4 6" xfId="2768"/>
    <cellStyle name="标题 3 4 7" xfId="2769"/>
    <cellStyle name="标题 3 4 8" xfId="2770"/>
    <cellStyle name="标题 3 4 9" xfId="2771"/>
    <cellStyle name="标题 3 5" xfId="2772"/>
    <cellStyle name="标题 3 5 10" xfId="2773"/>
    <cellStyle name="标题 3 5 2" xfId="2774"/>
    <cellStyle name="标题 3 5 3" xfId="2775"/>
    <cellStyle name="标题 3 5 4" xfId="2776"/>
    <cellStyle name="标题 3 5 5" xfId="2777"/>
    <cellStyle name="标题 3 5 6" xfId="2778"/>
    <cellStyle name="标题 3 5 7" xfId="2779"/>
    <cellStyle name="标题 3 5 8" xfId="2780"/>
    <cellStyle name="标题 3 5 9" xfId="2781"/>
    <cellStyle name="标题 3 6" xfId="2782"/>
    <cellStyle name="标题 3 6 10" xfId="2783"/>
    <cellStyle name="标题 3 6 2" xfId="2784"/>
    <cellStyle name="标题 3 6 3" xfId="2785"/>
    <cellStyle name="标题 3 6 4" xfId="2786"/>
    <cellStyle name="标题 3 6 5" xfId="2787"/>
    <cellStyle name="标题 3 6 6" xfId="2788"/>
    <cellStyle name="标题 3 6 7" xfId="2789"/>
    <cellStyle name="标题 3 6 8" xfId="2790"/>
    <cellStyle name="标题 3 6 9" xfId="2791"/>
    <cellStyle name="标题 3 7" xfId="2792"/>
    <cellStyle name="标题 3 7 10" xfId="2793"/>
    <cellStyle name="标题 3 7 2" xfId="2794"/>
    <cellStyle name="标题 3 7 3" xfId="2795"/>
    <cellStyle name="标题 3 7 4" xfId="2796"/>
    <cellStyle name="标题 3 7 5" xfId="2797"/>
    <cellStyle name="标题 3 7 6" xfId="2798"/>
    <cellStyle name="标题 3 7 7" xfId="2799"/>
    <cellStyle name="标题 3 7 8" xfId="2800"/>
    <cellStyle name="标题 3 7 9" xfId="2801"/>
    <cellStyle name="标题 3 8" xfId="2802"/>
    <cellStyle name="标题 3 8 10" xfId="2803"/>
    <cellStyle name="标题 3 8 2" xfId="2804"/>
    <cellStyle name="标题 3 8 3" xfId="2805"/>
    <cellStyle name="标题 3 8 4" xfId="2806"/>
    <cellStyle name="标题 3 8 5" xfId="2807"/>
    <cellStyle name="标题 3 8 6" xfId="2808"/>
    <cellStyle name="标题 3 8 7" xfId="2809"/>
    <cellStyle name="标题 3 8 8" xfId="2810"/>
    <cellStyle name="标题 3 8 9" xfId="2811"/>
    <cellStyle name="标题 3 9" xfId="2812"/>
    <cellStyle name="标题 3 9 10" xfId="2813"/>
    <cellStyle name="标题 3 9 2" xfId="2814"/>
    <cellStyle name="标题 3 9 3" xfId="2815"/>
    <cellStyle name="标题 3 9 4" xfId="2816"/>
    <cellStyle name="标题 3 9 5" xfId="2817"/>
    <cellStyle name="标题 3 9 6" xfId="2818"/>
    <cellStyle name="标题 3 9 7" xfId="2819"/>
    <cellStyle name="标题 3 9 8" xfId="2820"/>
    <cellStyle name="标题 3 9 9" xfId="2821"/>
    <cellStyle name="标题 4 10" xfId="2822"/>
    <cellStyle name="标题 4 10 2" xfId="2823"/>
    <cellStyle name="标题 4 10 3" xfId="2824"/>
    <cellStyle name="标题 4 10 4" xfId="2825"/>
    <cellStyle name="标题 4 10 5" xfId="2826"/>
    <cellStyle name="标题 4 11" xfId="2827"/>
    <cellStyle name="标题 4 11 2" xfId="2828"/>
    <cellStyle name="标题 4 11 3" xfId="2829"/>
    <cellStyle name="标题 4 11 4" xfId="2830"/>
    <cellStyle name="标题 4 11 5" xfId="2831"/>
    <cellStyle name="标题 4 12" xfId="2832"/>
    <cellStyle name="标题 4 12 2" xfId="2833"/>
    <cellStyle name="标题 4 12 3" xfId="2834"/>
    <cellStyle name="标题 4 12 4" xfId="2835"/>
    <cellStyle name="标题 4 12 5" xfId="2836"/>
    <cellStyle name="标题 4 13" xfId="2837"/>
    <cellStyle name="标题 4 13 2" xfId="2838"/>
    <cellStyle name="标题 4 13 3" xfId="2839"/>
    <cellStyle name="标题 4 13 4" xfId="2840"/>
    <cellStyle name="标题 4 13 5" xfId="2841"/>
    <cellStyle name="标题 4 14" xfId="2842"/>
    <cellStyle name="标题 4 14 2" xfId="2843"/>
    <cellStyle name="标题 4 14 3" xfId="2844"/>
    <cellStyle name="标题 4 14 4" xfId="2845"/>
    <cellStyle name="标题 4 14 5" xfId="2846"/>
    <cellStyle name="标题 4 14 6" xfId="2847"/>
    <cellStyle name="标题 4 14 7" xfId="2848"/>
    <cellStyle name="标题 4 15" xfId="2849"/>
    <cellStyle name="标题 4 15 2" xfId="2850"/>
    <cellStyle name="标题 4 15 3" xfId="2851"/>
    <cellStyle name="标题 4 15 4" xfId="2852"/>
    <cellStyle name="标题 4 15 5" xfId="2853"/>
    <cellStyle name="标题 4 15 6" xfId="2854"/>
    <cellStyle name="标题 4 15 7" xfId="2855"/>
    <cellStyle name="标题 4 16" xfId="2856"/>
    <cellStyle name="标题 4 16 2" xfId="2857"/>
    <cellStyle name="标题 4 16 3" xfId="2858"/>
    <cellStyle name="标题 4 16 4" xfId="2859"/>
    <cellStyle name="标题 4 16 5" xfId="2860"/>
    <cellStyle name="标题 4 16 6" xfId="2861"/>
    <cellStyle name="标题 4 16 7" xfId="2862"/>
    <cellStyle name="标题 4 17" xfId="2863"/>
    <cellStyle name="标题 4 17 2" xfId="2864"/>
    <cellStyle name="标题 4 17 3" xfId="2865"/>
    <cellStyle name="标题 4 17 4" xfId="2866"/>
    <cellStyle name="标题 4 17 5" xfId="2867"/>
    <cellStyle name="标题 4 17 6" xfId="2868"/>
    <cellStyle name="标题 4 17 7" xfId="2869"/>
    <cellStyle name="标题 4 17 8" xfId="2870"/>
    <cellStyle name="标题 4 17 9" xfId="2871"/>
    <cellStyle name="标题 4 18" xfId="2872"/>
    <cellStyle name="标题 4 18 2" xfId="2873"/>
    <cellStyle name="标题 4 18 3" xfId="2874"/>
    <cellStyle name="标题 4 18 4" xfId="2875"/>
    <cellStyle name="标题 4 18 5" xfId="2876"/>
    <cellStyle name="标题 4 19" xfId="2877"/>
    <cellStyle name="标题 4 19 2" xfId="2878"/>
    <cellStyle name="标题 4 19 3" xfId="2879"/>
    <cellStyle name="标题 4 19 4" xfId="2880"/>
    <cellStyle name="标题 4 19 5" xfId="2881"/>
    <cellStyle name="标题 4 2 10" xfId="2882"/>
    <cellStyle name="标题 4 2 10 2" xfId="2883"/>
    <cellStyle name="标题 4 2 10 3" xfId="2884"/>
    <cellStyle name="标题 4 2 10 4" xfId="2885"/>
    <cellStyle name="标题 4 2 10 5" xfId="2886"/>
    <cellStyle name="标题 4 2 11" xfId="2887"/>
    <cellStyle name="标题 4 2 11 2" xfId="2888"/>
    <cellStyle name="标题 4 2 11 3" xfId="2889"/>
    <cellStyle name="标题 4 2 11 4" xfId="2890"/>
    <cellStyle name="标题 4 2 11 5" xfId="2891"/>
    <cellStyle name="标题 4 2 12" xfId="2892"/>
    <cellStyle name="标题 4 2 12 2" xfId="2893"/>
    <cellStyle name="标题 4 2 12 3" xfId="2894"/>
    <cellStyle name="标题 4 2 12 4" xfId="2895"/>
    <cellStyle name="标题 4 2 12 5" xfId="2896"/>
    <cellStyle name="标题 4 2 13" xfId="2897"/>
    <cellStyle name="标题 4 2 14" xfId="2898"/>
    <cellStyle name="标题 4 2 15" xfId="2899"/>
    <cellStyle name="标题 4 2 16" xfId="2900"/>
    <cellStyle name="标题 4 2 17" xfId="2901"/>
    <cellStyle name="标题 4 2 18" xfId="2902"/>
    <cellStyle name="标题 4 2 19" xfId="2903"/>
    <cellStyle name="标题 4 2 2" xfId="2904"/>
    <cellStyle name="标题 4 2 2 10" xfId="2905"/>
    <cellStyle name="标题 4 2 2 2" xfId="2906"/>
    <cellStyle name="标题 4 2 2 3" xfId="2907"/>
    <cellStyle name="标题 4 2 2 4" xfId="2908"/>
    <cellStyle name="标题 4 2 2 5" xfId="2909"/>
    <cellStyle name="标题 4 2 2 6" xfId="2910"/>
    <cellStyle name="标题 4 2 2 7" xfId="2911"/>
    <cellStyle name="标题 4 2 2 8" xfId="2912"/>
    <cellStyle name="标题 4 2 2 9" xfId="2913"/>
    <cellStyle name="标题 4 2 20" xfId="2914"/>
    <cellStyle name="标题 4 2 21" xfId="2915"/>
    <cellStyle name="标题 4 2 22" xfId="2916"/>
    <cellStyle name="标题 4 2 23" xfId="2917"/>
    <cellStyle name="标题 4 2 24" xfId="2918"/>
    <cellStyle name="标题 4 2 25" xfId="2919"/>
    <cellStyle name="标题 4 2 26" xfId="2920"/>
    <cellStyle name="标题 4 2 3" xfId="2921"/>
    <cellStyle name="标题 4 2 3 10" xfId="2922"/>
    <cellStyle name="标题 4 2 3 2" xfId="2923"/>
    <cellStyle name="标题 4 2 3 3" xfId="2924"/>
    <cellStyle name="标题 4 2 3 4" xfId="2925"/>
    <cellStyle name="标题 4 2 3 5" xfId="2926"/>
    <cellStyle name="标题 4 2 3 6" xfId="2927"/>
    <cellStyle name="标题 4 2 3 7" xfId="2928"/>
    <cellStyle name="标题 4 2 3 8" xfId="2929"/>
    <cellStyle name="标题 4 2 3 9" xfId="2930"/>
    <cellStyle name="标题 4 2 4" xfId="2931"/>
    <cellStyle name="标题 4 2 4 10" xfId="2932"/>
    <cellStyle name="标题 4 2 4 2" xfId="2933"/>
    <cellStyle name="标题 4 2 4 3" xfId="2934"/>
    <cellStyle name="标题 4 2 4 4" xfId="2935"/>
    <cellStyle name="标题 4 2 4 5" xfId="2936"/>
    <cellStyle name="标题 4 2 4 6" xfId="2937"/>
    <cellStyle name="标题 4 2 4 7" xfId="2938"/>
    <cellStyle name="标题 4 2 4 8" xfId="2939"/>
    <cellStyle name="标题 4 2 4 9" xfId="2940"/>
    <cellStyle name="标题 4 2 5" xfId="2941"/>
    <cellStyle name="标题 4 2 5 10" xfId="2942"/>
    <cellStyle name="标题 4 2 5 2" xfId="2943"/>
    <cellStyle name="标题 4 2 5 3" xfId="2944"/>
    <cellStyle name="标题 4 2 5 4" xfId="2945"/>
    <cellStyle name="标题 4 2 5 5" xfId="2946"/>
    <cellStyle name="标题 4 2 5 6" xfId="2947"/>
    <cellStyle name="标题 4 2 5 7" xfId="2948"/>
    <cellStyle name="标题 4 2 5 8" xfId="2949"/>
    <cellStyle name="标题 4 2 5 9" xfId="2950"/>
    <cellStyle name="标题 4 2 6" xfId="2951"/>
    <cellStyle name="标题 4 2 6 10" xfId="2952"/>
    <cellStyle name="标题 4 2 6 2" xfId="2953"/>
    <cellStyle name="标题 4 2 6 3" xfId="2954"/>
    <cellStyle name="标题 4 2 6 4" xfId="2955"/>
    <cellStyle name="标题 4 2 6 5" xfId="2956"/>
    <cellStyle name="标题 4 2 6 6" xfId="2957"/>
    <cellStyle name="标题 4 2 6 7" xfId="2958"/>
    <cellStyle name="标题 4 2 6 8" xfId="2959"/>
    <cellStyle name="标题 4 2 6 9" xfId="2960"/>
    <cellStyle name="标题 4 2 7" xfId="2961"/>
    <cellStyle name="标题 4 2 7 10" xfId="2962"/>
    <cellStyle name="标题 4 2 7 2" xfId="2963"/>
    <cellStyle name="标题 4 2 7 3" xfId="2964"/>
    <cellStyle name="标题 4 2 7 4" xfId="2965"/>
    <cellStyle name="标题 4 2 7 5" xfId="2966"/>
    <cellStyle name="标题 4 2 7 6" xfId="2967"/>
    <cellStyle name="标题 4 2 7 7" xfId="2968"/>
    <cellStyle name="标题 4 2 7 8" xfId="2969"/>
    <cellStyle name="标题 4 2 7 9" xfId="2970"/>
    <cellStyle name="标题 4 2 8" xfId="2971"/>
    <cellStyle name="标题 4 2 8 2" xfId="2972"/>
    <cellStyle name="标题 4 2 8 3" xfId="2973"/>
    <cellStyle name="标题 4 2 8 4" xfId="2974"/>
    <cellStyle name="标题 4 2 8 5" xfId="2975"/>
    <cellStyle name="标题 4 2 9" xfId="2976"/>
    <cellStyle name="标题 4 2 9 2" xfId="2977"/>
    <cellStyle name="标题 4 2 9 3" xfId="2978"/>
    <cellStyle name="标题 4 2 9 4" xfId="2979"/>
    <cellStyle name="标题 4 2 9 5" xfId="2980"/>
    <cellStyle name="标题 4 20" xfId="2981"/>
    <cellStyle name="标题 4 20 2" xfId="2982"/>
    <cellStyle name="标题 4 20 3" xfId="2983"/>
    <cellStyle name="标题 4 21" xfId="2984"/>
    <cellStyle name="标题 4 21 2" xfId="2985"/>
    <cellStyle name="标题 4 21 3" xfId="2986"/>
    <cellStyle name="标题 4 22" xfId="2987"/>
    <cellStyle name="标题 4 22 2" xfId="2988"/>
    <cellStyle name="标题 4 22 3" xfId="2989"/>
    <cellStyle name="标题 4 23" xfId="2990"/>
    <cellStyle name="标题 4 23 2" xfId="2991"/>
    <cellStyle name="标题 4 23 3" xfId="2992"/>
    <cellStyle name="标题 4 24" xfId="2993"/>
    <cellStyle name="标题 4 24 2" xfId="2994"/>
    <cellStyle name="标题 4 25" xfId="2995"/>
    <cellStyle name="标题 4 25 2" xfId="2996"/>
    <cellStyle name="标题 4 3" xfId="2997"/>
    <cellStyle name="标题 4 3 10" xfId="2998"/>
    <cellStyle name="标题 4 3 2" xfId="2999"/>
    <cellStyle name="标题 4 3 3" xfId="3000"/>
    <cellStyle name="标题 4 3 4" xfId="3001"/>
    <cellStyle name="标题 4 3 5" xfId="3002"/>
    <cellStyle name="标题 4 3 6" xfId="3003"/>
    <cellStyle name="标题 4 3 7" xfId="3004"/>
    <cellStyle name="标题 4 3 8" xfId="3005"/>
    <cellStyle name="标题 4 3 9" xfId="3006"/>
    <cellStyle name="标题 4 4" xfId="3007"/>
    <cellStyle name="标题 4 4 10" xfId="3008"/>
    <cellStyle name="标题 4 4 2" xfId="3009"/>
    <cellStyle name="标题 4 4 3" xfId="3010"/>
    <cellStyle name="标题 4 4 4" xfId="3011"/>
    <cellStyle name="标题 4 4 5" xfId="3012"/>
    <cellStyle name="标题 4 4 6" xfId="3013"/>
    <cellStyle name="标题 4 4 7" xfId="3014"/>
    <cellStyle name="标题 4 4 8" xfId="3015"/>
    <cellStyle name="标题 4 4 9" xfId="3016"/>
    <cellStyle name="标题 4 5" xfId="3017"/>
    <cellStyle name="标题 4 5 10" xfId="3018"/>
    <cellStyle name="标题 4 5 2" xfId="3019"/>
    <cellStyle name="标题 4 5 3" xfId="3020"/>
    <cellStyle name="标题 4 5 4" xfId="3021"/>
    <cellStyle name="标题 4 5 5" xfId="3022"/>
    <cellStyle name="标题 4 5 6" xfId="3023"/>
    <cellStyle name="标题 4 5 7" xfId="3024"/>
    <cellStyle name="标题 4 5 8" xfId="3025"/>
    <cellStyle name="标题 4 5 9" xfId="3026"/>
    <cellStyle name="标题 4 6" xfId="3027"/>
    <cellStyle name="标题 4 6 10" xfId="3028"/>
    <cellStyle name="标题 4 6 2" xfId="3029"/>
    <cellStyle name="标题 4 6 3" xfId="3030"/>
    <cellStyle name="标题 4 6 4" xfId="3031"/>
    <cellStyle name="标题 4 6 5" xfId="3032"/>
    <cellStyle name="标题 4 6 6" xfId="3033"/>
    <cellStyle name="标题 4 6 7" xfId="3034"/>
    <cellStyle name="标题 4 6 8" xfId="3035"/>
    <cellStyle name="标题 4 6 9" xfId="3036"/>
    <cellStyle name="标题 4 7" xfId="3037"/>
    <cellStyle name="标题 4 7 10" xfId="3038"/>
    <cellStyle name="标题 4 7 2" xfId="3039"/>
    <cellStyle name="标题 4 7 3" xfId="3040"/>
    <cellStyle name="标题 4 7 4" xfId="3041"/>
    <cellStyle name="标题 4 7 5" xfId="3042"/>
    <cellStyle name="标题 4 7 6" xfId="3043"/>
    <cellStyle name="标题 4 7 7" xfId="3044"/>
    <cellStyle name="标题 4 7 8" xfId="3045"/>
    <cellStyle name="标题 4 7 9" xfId="3046"/>
    <cellStyle name="标题 4 8" xfId="3047"/>
    <cellStyle name="标题 4 8 10" xfId="3048"/>
    <cellStyle name="标题 4 8 2" xfId="3049"/>
    <cellStyle name="标题 4 8 3" xfId="3050"/>
    <cellStyle name="标题 4 8 4" xfId="3051"/>
    <cellStyle name="标题 4 8 5" xfId="3052"/>
    <cellStyle name="标题 4 8 6" xfId="3053"/>
    <cellStyle name="标题 4 8 7" xfId="3054"/>
    <cellStyle name="标题 4 8 8" xfId="3055"/>
    <cellStyle name="标题 4 8 9" xfId="3056"/>
    <cellStyle name="标题 4 9" xfId="3057"/>
    <cellStyle name="标题 4 9 10" xfId="3058"/>
    <cellStyle name="标题 4 9 2" xfId="3059"/>
    <cellStyle name="标题 4 9 3" xfId="3060"/>
    <cellStyle name="标题 4 9 4" xfId="3061"/>
    <cellStyle name="标题 4 9 5" xfId="3062"/>
    <cellStyle name="标题 4 9 6" xfId="3063"/>
    <cellStyle name="标题 4 9 7" xfId="3064"/>
    <cellStyle name="标题 4 9 8" xfId="3065"/>
    <cellStyle name="标题 4 9 9" xfId="3066"/>
    <cellStyle name="标题 5 10" xfId="3067"/>
    <cellStyle name="标题 5 10 2" xfId="3068"/>
    <cellStyle name="标题 5 10 3" xfId="3069"/>
    <cellStyle name="标题 5 10 4" xfId="3070"/>
    <cellStyle name="标题 5 10 5" xfId="3071"/>
    <cellStyle name="标题 5 11" xfId="3072"/>
    <cellStyle name="标题 5 11 2" xfId="3073"/>
    <cellStyle name="标题 5 11 3" xfId="3074"/>
    <cellStyle name="标题 5 11 4" xfId="3075"/>
    <cellStyle name="标题 5 11 5" xfId="3076"/>
    <cellStyle name="标题 5 12" xfId="3077"/>
    <cellStyle name="标题 5 12 2" xfId="3078"/>
    <cellStyle name="标题 5 12 3" xfId="3079"/>
    <cellStyle name="标题 5 12 4" xfId="3080"/>
    <cellStyle name="标题 5 12 5" xfId="3081"/>
    <cellStyle name="标题 5 13" xfId="3082"/>
    <cellStyle name="标题 5 14" xfId="3083"/>
    <cellStyle name="标题 5 15" xfId="3084"/>
    <cellStyle name="标题 5 16" xfId="3085"/>
    <cellStyle name="标题 5 17" xfId="3086"/>
    <cellStyle name="标题 5 18" xfId="3087"/>
    <cellStyle name="标题 5 19" xfId="3088"/>
    <cellStyle name="标题 5 2" xfId="3089"/>
    <cellStyle name="标题 5 2 10" xfId="3090"/>
    <cellStyle name="标题 5 2 2" xfId="3091"/>
    <cellStyle name="标题 5 2 3" xfId="3092"/>
    <cellStyle name="标题 5 2 4" xfId="3093"/>
    <cellStyle name="标题 5 2 5" xfId="3094"/>
    <cellStyle name="标题 5 2 6" xfId="3095"/>
    <cellStyle name="标题 5 2 7" xfId="3096"/>
    <cellStyle name="标题 5 2 8" xfId="3097"/>
    <cellStyle name="标题 5 2 9" xfId="3098"/>
    <cellStyle name="标题 5 20" xfId="3099"/>
    <cellStyle name="标题 5 21" xfId="3100"/>
    <cellStyle name="标题 5 22" xfId="3101"/>
    <cellStyle name="标题 5 23" xfId="3102"/>
    <cellStyle name="标题 5 24" xfId="3103"/>
    <cellStyle name="标题 5 25" xfId="3104"/>
    <cellStyle name="标题 5 26" xfId="3105"/>
    <cellStyle name="标题 5 3" xfId="3106"/>
    <cellStyle name="标题 5 3 10" xfId="3107"/>
    <cellStyle name="标题 5 3 2" xfId="3108"/>
    <cellStyle name="标题 5 3 3" xfId="3109"/>
    <cellStyle name="标题 5 3 4" xfId="3110"/>
    <cellStyle name="标题 5 3 5" xfId="3111"/>
    <cellStyle name="标题 5 3 6" xfId="3112"/>
    <cellStyle name="标题 5 3 7" xfId="3113"/>
    <cellStyle name="标题 5 3 8" xfId="3114"/>
    <cellStyle name="标题 5 3 9" xfId="3115"/>
    <cellStyle name="标题 5 4" xfId="3116"/>
    <cellStyle name="标题 5 4 10" xfId="3117"/>
    <cellStyle name="标题 5 4 2" xfId="3118"/>
    <cellStyle name="标题 5 4 3" xfId="3119"/>
    <cellStyle name="标题 5 4 4" xfId="3120"/>
    <cellStyle name="标题 5 4 5" xfId="3121"/>
    <cellStyle name="标题 5 4 6" xfId="3122"/>
    <cellStyle name="标题 5 4 7" xfId="3123"/>
    <cellStyle name="标题 5 4 8" xfId="3124"/>
    <cellStyle name="标题 5 4 9" xfId="3125"/>
    <cellStyle name="标题 5 5" xfId="3126"/>
    <cellStyle name="标题 5 5 10" xfId="3127"/>
    <cellStyle name="标题 5 5 2" xfId="3128"/>
    <cellStyle name="标题 5 5 3" xfId="3129"/>
    <cellStyle name="标题 5 5 4" xfId="3130"/>
    <cellStyle name="标题 5 5 5" xfId="3131"/>
    <cellStyle name="标题 5 5 6" xfId="3132"/>
    <cellStyle name="标题 5 5 7" xfId="3133"/>
    <cellStyle name="标题 5 5 8" xfId="3134"/>
    <cellStyle name="标题 5 5 9" xfId="3135"/>
    <cellStyle name="标题 5 6" xfId="3136"/>
    <cellStyle name="标题 5 6 10" xfId="3137"/>
    <cellStyle name="标题 5 6 2" xfId="3138"/>
    <cellStyle name="标题 5 6 3" xfId="3139"/>
    <cellStyle name="标题 5 6 4" xfId="3140"/>
    <cellStyle name="标题 5 6 5" xfId="3141"/>
    <cellStyle name="标题 5 6 6" xfId="3142"/>
    <cellStyle name="标题 5 6 7" xfId="3143"/>
    <cellStyle name="标题 5 6 8" xfId="3144"/>
    <cellStyle name="标题 5 6 9" xfId="3145"/>
    <cellStyle name="标题 5 7" xfId="3146"/>
    <cellStyle name="标题 5 7 10" xfId="3147"/>
    <cellStyle name="标题 5 7 2" xfId="3148"/>
    <cellStyle name="标题 5 7 3" xfId="3149"/>
    <cellStyle name="标题 5 7 4" xfId="3150"/>
    <cellStyle name="标题 5 7 5" xfId="3151"/>
    <cellStyle name="标题 5 7 6" xfId="3152"/>
    <cellStyle name="标题 5 7 7" xfId="3153"/>
    <cellStyle name="标题 5 7 8" xfId="3154"/>
    <cellStyle name="标题 5 7 9" xfId="3155"/>
    <cellStyle name="标题 5 8" xfId="3156"/>
    <cellStyle name="标题 5 8 2" xfId="3157"/>
    <cellStyle name="标题 5 8 3" xfId="3158"/>
    <cellStyle name="标题 5 8 4" xfId="3159"/>
    <cellStyle name="标题 5 8 5" xfId="3160"/>
    <cellStyle name="标题 5 9" xfId="3161"/>
    <cellStyle name="标题 5 9 2" xfId="3162"/>
    <cellStyle name="标题 5 9 3" xfId="3163"/>
    <cellStyle name="标题 5 9 4" xfId="3164"/>
    <cellStyle name="标题 5 9 5" xfId="3165"/>
    <cellStyle name="标题 6" xfId="3166"/>
    <cellStyle name="标题 6 10" xfId="3167"/>
    <cellStyle name="标题 6 2" xfId="3168"/>
    <cellStyle name="标题 6 3" xfId="3169"/>
    <cellStyle name="标题 6 4" xfId="3170"/>
    <cellStyle name="标题 6 5" xfId="3171"/>
    <cellStyle name="标题 6 6" xfId="3172"/>
    <cellStyle name="标题 6 7" xfId="3173"/>
    <cellStyle name="标题 6 8" xfId="3174"/>
    <cellStyle name="标题 6 9" xfId="3175"/>
    <cellStyle name="标题 7" xfId="3176"/>
    <cellStyle name="标题 7 10" xfId="3177"/>
    <cellStyle name="标题 7 2" xfId="3178"/>
    <cellStyle name="标题 7 3" xfId="3179"/>
    <cellStyle name="标题 7 4" xfId="3180"/>
    <cellStyle name="标题 7 5" xfId="3181"/>
    <cellStyle name="标题 7 6" xfId="3182"/>
    <cellStyle name="标题 7 7" xfId="3183"/>
    <cellStyle name="标题 7 8" xfId="3184"/>
    <cellStyle name="标题 7 9" xfId="3185"/>
    <cellStyle name="标题 8" xfId="3186"/>
    <cellStyle name="标题 8 10" xfId="3187"/>
    <cellStyle name="标题 8 2" xfId="3188"/>
    <cellStyle name="标题 8 3" xfId="3189"/>
    <cellStyle name="标题 8 4" xfId="3190"/>
    <cellStyle name="标题 8 5" xfId="3191"/>
    <cellStyle name="标题 8 6" xfId="3192"/>
    <cellStyle name="标题 8 7" xfId="3193"/>
    <cellStyle name="标题 8 8" xfId="3194"/>
    <cellStyle name="标题 8 9" xfId="3195"/>
    <cellStyle name="标题 9" xfId="3196"/>
    <cellStyle name="标题 9 10" xfId="3197"/>
    <cellStyle name="标题 9 2" xfId="3198"/>
    <cellStyle name="标题 9 3" xfId="3199"/>
    <cellStyle name="标题 9 4" xfId="3200"/>
    <cellStyle name="标题 9 5" xfId="3201"/>
    <cellStyle name="标题 9 6" xfId="3202"/>
    <cellStyle name="标题 9 7" xfId="3203"/>
    <cellStyle name="标题 9 8" xfId="3204"/>
    <cellStyle name="标题 9 9" xfId="3205"/>
    <cellStyle name="差 10" xfId="3206"/>
    <cellStyle name="差 10 2" xfId="3207"/>
    <cellStyle name="差 10 3" xfId="3208"/>
    <cellStyle name="差 10 4" xfId="3209"/>
    <cellStyle name="差 10 5" xfId="3210"/>
    <cellStyle name="差 11" xfId="3211"/>
    <cellStyle name="差 11 2" xfId="3212"/>
    <cellStyle name="差 11 3" xfId="3213"/>
    <cellStyle name="差 11 4" xfId="3214"/>
    <cellStyle name="差 11 5" xfId="3215"/>
    <cellStyle name="差 12" xfId="3216"/>
    <cellStyle name="差 12 2" xfId="3217"/>
    <cellStyle name="差 12 3" xfId="3218"/>
    <cellStyle name="差 12 4" xfId="3219"/>
    <cellStyle name="差 12 5" xfId="3220"/>
    <cellStyle name="差 13" xfId="3221"/>
    <cellStyle name="差 13 2" xfId="3222"/>
    <cellStyle name="差 13 3" xfId="3223"/>
    <cellStyle name="差 13 4" xfId="3224"/>
    <cellStyle name="差 13 5" xfId="3225"/>
    <cellStyle name="差 14" xfId="3226"/>
    <cellStyle name="差 14 2" xfId="3227"/>
    <cellStyle name="差 14 3" xfId="3228"/>
    <cellStyle name="差 14 4" xfId="3229"/>
    <cellStyle name="差 14 5" xfId="3230"/>
    <cellStyle name="差 14 6" xfId="3231"/>
    <cellStyle name="差 14 7" xfId="3232"/>
    <cellStyle name="差 15" xfId="3233"/>
    <cellStyle name="差 15 2" xfId="3234"/>
    <cellStyle name="差 15 3" xfId="3235"/>
    <cellStyle name="差 15 4" xfId="3236"/>
    <cellStyle name="差 15 5" xfId="3237"/>
    <cellStyle name="差 15 6" xfId="3238"/>
    <cellStyle name="差 15 7" xfId="3239"/>
    <cellStyle name="差 16" xfId="3240"/>
    <cellStyle name="差 16 2" xfId="3241"/>
    <cellStyle name="差 16 3" xfId="3242"/>
    <cellStyle name="差 16 4" xfId="3243"/>
    <cellStyle name="差 16 5" xfId="3244"/>
    <cellStyle name="差 16 6" xfId="3245"/>
    <cellStyle name="差 16 7" xfId="3246"/>
    <cellStyle name="差 17" xfId="3247"/>
    <cellStyle name="差 17 2" xfId="3248"/>
    <cellStyle name="差 17 3" xfId="3249"/>
    <cellStyle name="差 17 4" xfId="3250"/>
    <cellStyle name="差 17 5" xfId="3251"/>
    <cellStyle name="差 17 6" xfId="3252"/>
    <cellStyle name="差 17 7" xfId="3253"/>
    <cellStyle name="差 17 8" xfId="3254"/>
    <cellStyle name="差 17 9" xfId="3255"/>
    <cellStyle name="差 18" xfId="3256"/>
    <cellStyle name="差 18 2" xfId="3257"/>
    <cellStyle name="差 18 3" xfId="3258"/>
    <cellStyle name="差 18 4" xfId="3259"/>
    <cellStyle name="差 18 5" xfId="3260"/>
    <cellStyle name="差 19" xfId="3261"/>
    <cellStyle name="差 19 2" xfId="3262"/>
    <cellStyle name="差 19 3" xfId="3263"/>
    <cellStyle name="差 19 4" xfId="3264"/>
    <cellStyle name="差 19 5" xfId="3265"/>
    <cellStyle name="差 2 10" xfId="3266"/>
    <cellStyle name="差 2 10 2" xfId="3267"/>
    <cellStyle name="差 2 10 3" xfId="3268"/>
    <cellStyle name="差 2 10 4" xfId="3269"/>
    <cellStyle name="差 2 10 5" xfId="3270"/>
    <cellStyle name="差 2 11" xfId="3271"/>
    <cellStyle name="差 2 11 2" xfId="3272"/>
    <cellStyle name="差 2 11 3" xfId="3273"/>
    <cellStyle name="差 2 11 4" xfId="3274"/>
    <cellStyle name="差 2 11 5" xfId="3275"/>
    <cellStyle name="差 2 12" xfId="3276"/>
    <cellStyle name="差 2 12 2" xfId="3277"/>
    <cellStyle name="差 2 12 3" xfId="3278"/>
    <cellStyle name="差 2 12 4" xfId="3279"/>
    <cellStyle name="差 2 12 5" xfId="3280"/>
    <cellStyle name="差 2 13" xfId="3281"/>
    <cellStyle name="差 2 14" xfId="3282"/>
    <cellStyle name="差 2 15" xfId="3283"/>
    <cellStyle name="差 2 16" xfId="3284"/>
    <cellStyle name="差 2 17" xfId="3285"/>
    <cellStyle name="差 2 18" xfId="3286"/>
    <cellStyle name="差 2 19" xfId="3287"/>
    <cellStyle name="差 2 2" xfId="3288"/>
    <cellStyle name="差 2 2 10" xfId="3289"/>
    <cellStyle name="差 2 2 2" xfId="3290"/>
    <cellStyle name="差 2 2 3" xfId="3291"/>
    <cellStyle name="差 2 2 4" xfId="3292"/>
    <cellStyle name="差 2 2 5" xfId="3293"/>
    <cellStyle name="差 2 2 6" xfId="3294"/>
    <cellStyle name="差 2 2 7" xfId="3295"/>
    <cellStyle name="差 2 2 8" xfId="3296"/>
    <cellStyle name="差 2 2 9" xfId="3297"/>
    <cellStyle name="差 2 20" xfId="3298"/>
    <cellStyle name="差 2 21" xfId="3299"/>
    <cellStyle name="差 2 22" xfId="3300"/>
    <cellStyle name="差 2 23" xfId="3301"/>
    <cellStyle name="差 2 24" xfId="3302"/>
    <cellStyle name="差 2 25" xfId="3303"/>
    <cellStyle name="差 2 26" xfId="3304"/>
    <cellStyle name="差 2 3" xfId="3305"/>
    <cellStyle name="差 2 3 10" xfId="3306"/>
    <cellStyle name="差 2 3 2" xfId="3307"/>
    <cellStyle name="差 2 3 3" xfId="3308"/>
    <cellStyle name="差 2 3 4" xfId="3309"/>
    <cellStyle name="差 2 3 5" xfId="3310"/>
    <cellStyle name="差 2 3 6" xfId="3311"/>
    <cellStyle name="差 2 3 7" xfId="3312"/>
    <cellStyle name="差 2 3 8" xfId="3313"/>
    <cellStyle name="差 2 3 9" xfId="3314"/>
    <cellStyle name="差 2 4" xfId="3315"/>
    <cellStyle name="差 2 4 10" xfId="3316"/>
    <cellStyle name="差 2 4 2" xfId="3317"/>
    <cellStyle name="差 2 4 3" xfId="3318"/>
    <cellStyle name="差 2 4 4" xfId="3319"/>
    <cellStyle name="差 2 4 5" xfId="3320"/>
    <cellStyle name="差 2 4 6" xfId="3321"/>
    <cellStyle name="差 2 4 7" xfId="3322"/>
    <cellStyle name="差 2 4 8" xfId="3323"/>
    <cellStyle name="差 2 4 9" xfId="3324"/>
    <cellStyle name="差 2 5" xfId="3325"/>
    <cellStyle name="差 2 5 10" xfId="3326"/>
    <cellStyle name="差 2 5 2" xfId="3327"/>
    <cellStyle name="差 2 5 3" xfId="3328"/>
    <cellStyle name="差 2 5 4" xfId="3329"/>
    <cellStyle name="差 2 5 5" xfId="3330"/>
    <cellStyle name="差 2 5 6" xfId="3331"/>
    <cellStyle name="差 2 5 7" xfId="3332"/>
    <cellStyle name="差 2 5 8" xfId="3333"/>
    <cellStyle name="差 2 5 9" xfId="3334"/>
    <cellStyle name="差 2 6" xfId="3335"/>
    <cellStyle name="差 2 6 10" xfId="3336"/>
    <cellStyle name="差 2 6 2" xfId="3337"/>
    <cellStyle name="差 2 6 3" xfId="3338"/>
    <cellStyle name="差 2 6 4" xfId="3339"/>
    <cellStyle name="差 2 6 5" xfId="3340"/>
    <cellStyle name="差 2 6 6" xfId="3341"/>
    <cellStyle name="差 2 6 7" xfId="3342"/>
    <cellStyle name="差 2 6 8" xfId="3343"/>
    <cellStyle name="差 2 6 9" xfId="3344"/>
    <cellStyle name="差 2 7" xfId="3345"/>
    <cellStyle name="差 2 7 10" xfId="3346"/>
    <cellStyle name="差 2 7 2" xfId="3347"/>
    <cellStyle name="差 2 7 3" xfId="3348"/>
    <cellStyle name="差 2 7 4" xfId="3349"/>
    <cellStyle name="差 2 7 5" xfId="3350"/>
    <cellStyle name="差 2 7 6" xfId="3351"/>
    <cellStyle name="差 2 7 7" xfId="3352"/>
    <cellStyle name="差 2 7 8" xfId="3353"/>
    <cellStyle name="差 2 7 9" xfId="3354"/>
    <cellStyle name="差 2 8" xfId="3355"/>
    <cellStyle name="差 2 8 2" xfId="3356"/>
    <cellStyle name="差 2 8 3" xfId="3357"/>
    <cellStyle name="差 2 8 4" xfId="3358"/>
    <cellStyle name="差 2 8 5" xfId="3359"/>
    <cellStyle name="差 2 9" xfId="3360"/>
    <cellStyle name="差 2 9 2" xfId="3361"/>
    <cellStyle name="差 2 9 3" xfId="3362"/>
    <cellStyle name="差 2 9 4" xfId="3363"/>
    <cellStyle name="差 2 9 5" xfId="3364"/>
    <cellStyle name="差 20" xfId="3365"/>
    <cellStyle name="差 20 2" xfId="3366"/>
    <cellStyle name="差 20 3" xfId="3367"/>
    <cellStyle name="差 21" xfId="3368"/>
    <cellStyle name="差 21 2" xfId="3369"/>
    <cellStyle name="差 21 3" xfId="3370"/>
    <cellStyle name="差 22" xfId="3371"/>
    <cellStyle name="差 22 2" xfId="3372"/>
    <cellStyle name="差 22 3" xfId="3373"/>
    <cellStyle name="差 23" xfId="3374"/>
    <cellStyle name="差 23 2" xfId="3375"/>
    <cellStyle name="差 23 3" xfId="3376"/>
    <cellStyle name="差 24" xfId="3377"/>
    <cellStyle name="差 24 2" xfId="3378"/>
    <cellStyle name="差 25" xfId="3379"/>
    <cellStyle name="差 25 2" xfId="3380"/>
    <cellStyle name="差 3" xfId="3381"/>
    <cellStyle name="差 3 10" xfId="3382"/>
    <cellStyle name="差 3 2" xfId="3383"/>
    <cellStyle name="差 3 3" xfId="3384"/>
    <cellStyle name="差 3 4" xfId="3385"/>
    <cellStyle name="差 3 5" xfId="3386"/>
    <cellStyle name="差 3 6" xfId="3387"/>
    <cellStyle name="差 3 7" xfId="3388"/>
    <cellStyle name="差 3 8" xfId="3389"/>
    <cellStyle name="差 3 9" xfId="3390"/>
    <cellStyle name="差 4" xfId="3391"/>
    <cellStyle name="差 4 10" xfId="3392"/>
    <cellStyle name="差 4 2" xfId="3393"/>
    <cellStyle name="差 4 3" xfId="3394"/>
    <cellStyle name="差 4 4" xfId="3395"/>
    <cellStyle name="差 4 5" xfId="3396"/>
    <cellStyle name="差 4 6" xfId="3397"/>
    <cellStyle name="差 4 7" xfId="3398"/>
    <cellStyle name="差 4 8" xfId="3399"/>
    <cellStyle name="差 4 9" xfId="3400"/>
    <cellStyle name="差 5" xfId="3401"/>
    <cellStyle name="差 5 10" xfId="3402"/>
    <cellStyle name="差 5 2" xfId="3403"/>
    <cellStyle name="差 5 3" xfId="3404"/>
    <cellStyle name="差 5 4" xfId="3405"/>
    <cellStyle name="差 5 5" xfId="3406"/>
    <cellStyle name="差 5 6" xfId="3407"/>
    <cellStyle name="差 5 7" xfId="3408"/>
    <cellStyle name="差 5 8" xfId="3409"/>
    <cellStyle name="差 5 9" xfId="3410"/>
    <cellStyle name="差 6" xfId="3411"/>
    <cellStyle name="差 6 10" xfId="3412"/>
    <cellStyle name="差 6 2" xfId="3413"/>
    <cellStyle name="差 6 3" xfId="3414"/>
    <cellStyle name="差 6 4" xfId="3415"/>
    <cellStyle name="差 6 5" xfId="3416"/>
    <cellStyle name="差 6 6" xfId="3417"/>
    <cellStyle name="差 6 7" xfId="3418"/>
    <cellStyle name="差 6 8" xfId="3419"/>
    <cellStyle name="差 6 9" xfId="3420"/>
    <cellStyle name="差 7" xfId="3421"/>
    <cellStyle name="差 7 10" xfId="3422"/>
    <cellStyle name="差 7 2" xfId="3423"/>
    <cellStyle name="差 7 3" xfId="3424"/>
    <cellStyle name="差 7 4" xfId="3425"/>
    <cellStyle name="差 7 5" xfId="3426"/>
    <cellStyle name="差 7 6" xfId="3427"/>
    <cellStyle name="差 7 7" xfId="3428"/>
    <cellStyle name="差 7 8" xfId="3429"/>
    <cellStyle name="差 7 9" xfId="3430"/>
    <cellStyle name="差 8" xfId="3431"/>
    <cellStyle name="差 8 10" xfId="3432"/>
    <cellStyle name="差 8 2" xfId="3433"/>
    <cellStyle name="差 8 3" xfId="3434"/>
    <cellStyle name="差 8 4" xfId="3435"/>
    <cellStyle name="差 8 5" xfId="3436"/>
    <cellStyle name="差 8 6" xfId="3437"/>
    <cellStyle name="差 8 7" xfId="3438"/>
    <cellStyle name="差 8 8" xfId="3439"/>
    <cellStyle name="差 8 9" xfId="3440"/>
    <cellStyle name="差 9" xfId="3441"/>
    <cellStyle name="差 9 10" xfId="3442"/>
    <cellStyle name="差 9 2" xfId="3443"/>
    <cellStyle name="差 9 3" xfId="3444"/>
    <cellStyle name="差 9 4" xfId="3445"/>
    <cellStyle name="差 9 5" xfId="3446"/>
    <cellStyle name="差 9 6" xfId="3447"/>
    <cellStyle name="差 9 7" xfId="3448"/>
    <cellStyle name="差 9 8" xfId="3449"/>
    <cellStyle name="差 9 9" xfId="3450"/>
    <cellStyle name="常规" xfId="0" builtinId="0"/>
    <cellStyle name="常规 10" xfId="3451"/>
    <cellStyle name="常规 10 2" xfId="3452"/>
    <cellStyle name="常规 10 3" xfId="3453"/>
    <cellStyle name="常规 10 4" xfId="3454"/>
    <cellStyle name="常规 10 5" xfId="3455"/>
    <cellStyle name="常规 11" xfId="18"/>
    <cellStyle name="常规 11 2" xfId="3456"/>
    <cellStyle name="常规 11 3" xfId="3457"/>
    <cellStyle name="常规 11 4" xfId="3458"/>
    <cellStyle name="常规 11 5" xfId="3459"/>
    <cellStyle name="常规 12" xfId="3460"/>
    <cellStyle name="常规 12 2" xfId="3461"/>
    <cellStyle name="常规 12 3" xfId="3462"/>
    <cellStyle name="常规 12 4" xfId="3463"/>
    <cellStyle name="常规 12 5" xfId="3464"/>
    <cellStyle name="常规 13" xfId="3465"/>
    <cellStyle name="常规 13 2" xfId="3466"/>
    <cellStyle name="常规 13 3" xfId="3467"/>
    <cellStyle name="常规 13 4" xfId="3468"/>
    <cellStyle name="常规 13 5" xfId="3469"/>
    <cellStyle name="常规 14" xfId="3470"/>
    <cellStyle name="常规 15" xfId="3471"/>
    <cellStyle name="常规 15 2" xfId="3472"/>
    <cellStyle name="常规 15 3" xfId="3473"/>
    <cellStyle name="常规 15 4" xfId="3474"/>
    <cellStyle name="常规 15 5" xfId="3475"/>
    <cellStyle name="常规 15 6" xfId="3476"/>
    <cellStyle name="常规 15 7" xfId="3477"/>
    <cellStyle name="常规 16" xfId="10"/>
    <cellStyle name="常规 16 2" xfId="3478"/>
    <cellStyle name="常规 16 3" xfId="3479"/>
    <cellStyle name="常规 16 4" xfId="3480"/>
    <cellStyle name="常规 16 5" xfId="3481"/>
    <cellStyle name="常规 16 6" xfId="3482"/>
    <cellStyle name="常规 16 7" xfId="3483"/>
    <cellStyle name="常规 17" xfId="3484"/>
    <cellStyle name="常规 17 2" xfId="3485"/>
    <cellStyle name="常规 17 3" xfId="3486"/>
    <cellStyle name="常规 17 4" xfId="3487"/>
    <cellStyle name="常规 17 5" xfId="3488"/>
    <cellStyle name="常规 18" xfId="3489"/>
    <cellStyle name="常规 18 2" xfId="3490"/>
    <cellStyle name="常规 18 3" xfId="3491"/>
    <cellStyle name="常规 18 4" xfId="3492"/>
    <cellStyle name="常规 18 5" xfId="3493"/>
    <cellStyle name="常规 2" xfId="1"/>
    <cellStyle name="常规 2 10" xfId="3494"/>
    <cellStyle name="常规 2 11" xfId="3495"/>
    <cellStyle name="常规 2 12" xfId="3496"/>
    <cellStyle name="常规 2 2" xfId="8"/>
    <cellStyle name="常规 2 2 10" xfId="3497"/>
    <cellStyle name="常规 2 2 2" xfId="3498"/>
    <cellStyle name="常规 2 2 2 2 3" xfId="15"/>
    <cellStyle name="常规 2 2 3" xfId="3499"/>
    <cellStyle name="常规 2 2 4" xfId="3500"/>
    <cellStyle name="常规 2 2 5" xfId="3501"/>
    <cellStyle name="常规 2 2 6" xfId="3502"/>
    <cellStyle name="常规 2 2 7" xfId="3503"/>
    <cellStyle name="常规 2 2 8" xfId="3504"/>
    <cellStyle name="常规 2 2 9" xfId="3505"/>
    <cellStyle name="常规 2 3" xfId="3506"/>
    <cellStyle name="常规 2 4" xfId="3507"/>
    <cellStyle name="常规 2 5" xfId="3508"/>
    <cellStyle name="常规 2 6" xfId="3509"/>
    <cellStyle name="常规 2 7" xfId="3510"/>
    <cellStyle name="常规 2 8" xfId="3511"/>
    <cellStyle name="常规 2 9" xfId="3512"/>
    <cellStyle name="常规 20" xfId="3513"/>
    <cellStyle name="常规 20 2" xfId="3514"/>
    <cellStyle name="常规 20 3" xfId="3515"/>
    <cellStyle name="常规 21 2" xfId="3516"/>
    <cellStyle name="常规 22 2" xfId="3517"/>
    <cellStyle name="常规 3" xfId="2"/>
    <cellStyle name="常规 3 10" xfId="3518"/>
    <cellStyle name="常规 3 11" xfId="3519"/>
    <cellStyle name="常规 3 12" xfId="3520"/>
    <cellStyle name="常规 3 13" xfId="3521"/>
    <cellStyle name="常规 3 14" xfId="3522"/>
    <cellStyle name="常规 3 15" xfId="3523"/>
    <cellStyle name="常规 3 16" xfId="3524"/>
    <cellStyle name="常规 3 17" xfId="3525"/>
    <cellStyle name="常规 3 18" xfId="3526"/>
    <cellStyle name="常规 3 19" xfId="3527"/>
    <cellStyle name="常规 3 2" xfId="3"/>
    <cellStyle name="常规 3 2 10" xfId="3528"/>
    <cellStyle name="常规 3 2 2" xfId="3529"/>
    <cellStyle name="常规 3 2 3" xfId="3530"/>
    <cellStyle name="常规 3 2 4" xfId="3531"/>
    <cellStyle name="常规 3 2 5" xfId="3532"/>
    <cellStyle name="常规 3 2 6" xfId="3533"/>
    <cellStyle name="常规 3 2 7" xfId="3534"/>
    <cellStyle name="常规 3 2 8" xfId="3535"/>
    <cellStyle name="常规 3 2 9" xfId="3536"/>
    <cellStyle name="常规 3 20" xfId="3537"/>
    <cellStyle name="常规 3 21" xfId="3538"/>
    <cellStyle name="常规 3 22" xfId="3539"/>
    <cellStyle name="常规 3 23" xfId="3540"/>
    <cellStyle name="常规 3 24" xfId="3541"/>
    <cellStyle name="常规 3 25" xfId="3542"/>
    <cellStyle name="常规 3 26" xfId="3543"/>
    <cellStyle name="常规 3 27" xfId="3544"/>
    <cellStyle name="常规 3 28" xfId="3545"/>
    <cellStyle name="常规 3 29" xfId="3546"/>
    <cellStyle name="常规 3 3" xfId="3547"/>
    <cellStyle name="常规 3 30" xfId="3548"/>
    <cellStyle name="常规 3 31" xfId="3549"/>
    <cellStyle name="常规 3 32" xfId="3550"/>
    <cellStyle name="常规 3 33" xfId="3551"/>
    <cellStyle name="常规 3 34" xfId="3552"/>
    <cellStyle name="常规 3 35" xfId="3553"/>
    <cellStyle name="常规 3 36" xfId="3554"/>
    <cellStyle name="常规 3 37" xfId="3555"/>
    <cellStyle name="常规 3 4" xfId="3556"/>
    <cellStyle name="常规 3 5" xfId="3557"/>
    <cellStyle name="常规 3 6" xfId="3558"/>
    <cellStyle name="常规 3 7" xfId="3559"/>
    <cellStyle name="常规 3 8" xfId="3560"/>
    <cellStyle name="常规 3 9" xfId="3561"/>
    <cellStyle name="常规 4" xfId="4"/>
    <cellStyle name="常规 4 10" xfId="3562"/>
    <cellStyle name="常规 4 11" xfId="3563"/>
    <cellStyle name="常规 4 2" xfId="3564"/>
    <cellStyle name="常规 4 2 10" xfId="3565"/>
    <cellStyle name="常规 4 2 2" xfId="3566"/>
    <cellStyle name="常规 4 2 3" xfId="3567"/>
    <cellStyle name="常规 4 2 4" xfId="3568"/>
    <cellStyle name="常规 4 2 5" xfId="3569"/>
    <cellStyle name="常规 4 2 6" xfId="3570"/>
    <cellStyle name="常规 4 2 7" xfId="3571"/>
    <cellStyle name="常规 4 2 8" xfId="3572"/>
    <cellStyle name="常规 4 2 9" xfId="3573"/>
    <cellStyle name="常规 4 3" xfId="3574"/>
    <cellStyle name="常规 4 4" xfId="3575"/>
    <cellStyle name="常规 4 5" xfId="3576"/>
    <cellStyle name="常规 4 6" xfId="3577"/>
    <cellStyle name="常规 4 7" xfId="3578"/>
    <cellStyle name="常规 4 8" xfId="3579"/>
    <cellStyle name="常规 4 9" xfId="3580"/>
    <cellStyle name="常规 5" xfId="5"/>
    <cellStyle name="常规 5 10" xfId="3581"/>
    <cellStyle name="常规 5 11" xfId="3582"/>
    <cellStyle name="常规 5 12" xfId="3583"/>
    <cellStyle name="常规 5 13" xfId="3584"/>
    <cellStyle name="常规 5 14" xfId="3585"/>
    <cellStyle name="常规 5 15" xfId="3586"/>
    <cellStyle name="常规 5 16" xfId="3587"/>
    <cellStyle name="常规 5 17" xfId="3588"/>
    <cellStyle name="常规 5 18" xfId="3589"/>
    <cellStyle name="常规 5 19" xfId="3590"/>
    <cellStyle name="常规 5 2" xfId="3591"/>
    <cellStyle name="常规 5 2 10" xfId="3592"/>
    <cellStyle name="常规 5 2 11" xfId="3593"/>
    <cellStyle name="常规 5 2 2" xfId="3594"/>
    <cellStyle name="常规 5 2 2 2" xfId="3595"/>
    <cellStyle name="常规 5 2 2 3" xfId="3596"/>
    <cellStyle name="常规 5 2 2 4" xfId="3597"/>
    <cellStyle name="常规 5 2 2 5" xfId="3598"/>
    <cellStyle name="常规 5 2 3" xfId="3599"/>
    <cellStyle name="常规 5 2 4" xfId="3600"/>
    <cellStyle name="常规 5 2 5" xfId="3601"/>
    <cellStyle name="常规 5 2 6" xfId="3602"/>
    <cellStyle name="常规 5 2 7" xfId="3603"/>
    <cellStyle name="常规 5 2 8" xfId="3604"/>
    <cellStyle name="常规 5 2 9" xfId="3605"/>
    <cellStyle name="常规 5 20" xfId="3606"/>
    <cellStyle name="常规 5 3" xfId="3607"/>
    <cellStyle name="常规 5 3 2" xfId="3608"/>
    <cellStyle name="常规 5 3 3" xfId="3609"/>
    <cellStyle name="常规 5 3 4" xfId="3610"/>
    <cellStyle name="常规 5 3 5" xfId="3611"/>
    <cellStyle name="常规 5 4" xfId="3612"/>
    <cellStyle name="常规 5 4 2" xfId="3613"/>
    <cellStyle name="常规 5 4 3" xfId="3614"/>
    <cellStyle name="常规 5 4 4" xfId="3615"/>
    <cellStyle name="常规 5 4 5" xfId="3616"/>
    <cellStyle name="常规 5 5" xfId="3617"/>
    <cellStyle name="常规 5 5 2" xfId="3618"/>
    <cellStyle name="常规 5 5 3" xfId="3619"/>
    <cellStyle name="常规 5 5 4" xfId="3620"/>
    <cellStyle name="常规 5 5 5" xfId="3621"/>
    <cellStyle name="常规 5 6" xfId="3622"/>
    <cellStyle name="常规 5 6 2" xfId="3623"/>
    <cellStyle name="常规 5 6 3" xfId="3624"/>
    <cellStyle name="常规 5 6 4" xfId="3625"/>
    <cellStyle name="常规 5 6 5" xfId="3626"/>
    <cellStyle name="常规 5 7" xfId="3627"/>
    <cellStyle name="常规 5 8" xfId="3628"/>
    <cellStyle name="常规 5 9" xfId="3629"/>
    <cellStyle name="常规 6" xfId="6"/>
    <cellStyle name="常规 6 2" xfId="9"/>
    <cellStyle name="常规 6 2 10" xfId="3630"/>
    <cellStyle name="常规 6 2 2" xfId="16"/>
    <cellStyle name="常规 6 2 3" xfId="13"/>
    <cellStyle name="常规 6 2 4" xfId="3631"/>
    <cellStyle name="常规 6 2 5" xfId="3632"/>
    <cellStyle name="常规 6 2 6" xfId="3633"/>
    <cellStyle name="常规 6 2 7" xfId="3634"/>
    <cellStyle name="常规 6 2 8" xfId="3635"/>
    <cellStyle name="常规 6 2 9" xfId="3636"/>
    <cellStyle name="常规 7" xfId="7"/>
    <cellStyle name="常规 7 2" xfId="3637"/>
    <cellStyle name="常规 7 2 10" xfId="3638"/>
    <cellStyle name="常规 7 2 2" xfId="3639"/>
    <cellStyle name="常规 7 2 3" xfId="3640"/>
    <cellStyle name="常规 7 2 4" xfId="3641"/>
    <cellStyle name="常规 7 2 5" xfId="3642"/>
    <cellStyle name="常规 7 2 6" xfId="3643"/>
    <cellStyle name="常规 7 2 7" xfId="3644"/>
    <cellStyle name="常规 7 2 8" xfId="3645"/>
    <cellStyle name="常规 7 2 9" xfId="3646"/>
    <cellStyle name="常规 8" xfId="11"/>
    <cellStyle name="常规 8 10" xfId="3647"/>
    <cellStyle name="常规 8 11" xfId="3648"/>
    <cellStyle name="常规 8 2" xfId="3649"/>
    <cellStyle name="常规 8 2 10" xfId="3650"/>
    <cellStyle name="常规 8 2 11" xfId="3651"/>
    <cellStyle name="常规 8 2 2" xfId="3652"/>
    <cellStyle name="常规 8 2 2 2" xfId="3653"/>
    <cellStyle name="常规 8 2 2 3" xfId="3654"/>
    <cellStyle name="常规 8 2 2 4" xfId="3655"/>
    <cellStyle name="常规 8 2 2 5" xfId="3656"/>
    <cellStyle name="常规 8 2 3" xfId="3657"/>
    <cellStyle name="常规 8 2 4" xfId="3658"/>
    <cellStyle name="常规 8 2 5" xfId="3659"/>
    <cellStyle name="常规 8 2 6" xfId="3660"/>
    <cellStyle name="常规 8 2 7" xfId="3661"/>
    <cellStyle name="常规 8 2 8" xfId="3662"/>
    <cellStyle name="常规 8 2 9" xfId="3663"/>
    <cellStyle name="常规 8 3" xfId="3664"/>
    <cellStyle name="常规 8 3 2" xfId="3665"/>
    <cellStyle name="常规 8 3 3" xfId="3666"/>
    <cellStyle name="常规 8 3 4" xfId="3667"/>
    <cellStyle name="常规 8 3 5" xfId="3668"/>
    <cellStyle name="常规 8 4" xfId="3669"/>
    <cellStyle name="常规 8 4 2" xfId="3670"/>
    <cellStyle name="常规 8 4 3" xfId="3671"/>
    <cellStyle name="常规 8 4 4" xfId="3672"/>
    <cellStyle name="常规 8 4 5" xfId="3673"/>
    <cellStyle name="常规 8 5" xfId="3674"/>
    <cellStyle name="常规 8 5 2" xfId="3675"/>
    <cellStyle name="常规 8 5 3" xfId="3676"/>
    <cellStyle name="常规 8 5 4" xfId="3677"/>
    <cellStyle name="常规 8 5 5" xfId="3678"/>
    <cellStyle name="常规 8 6" xfId="3679"/>
    <cellStyle name="常规 8 7" xfId="3680"/>
    <cellStyle name="常规 8 8" xfId="3681"/>
    <cellStyle name="常规 8 9" xfId="3682"/>
    <cellStyle name="常规 9" xfId="12"/>
    <cellStyle name="常规 9 10" xfId="3683"/>
    <cellStyle name="常规 9 2" xfId="3684"/>
    <cellStyle name="常规 9 3" xfId="3685"/>
    <cellStyle name="常规 9 4" xfId="3686"/>
    <cellStyle name="常规 9 5" xfId="3687"/>
    <cellStyle name="常规 9 6" xfId="3688"/>
    <cellStyle name="常规 9 7" xfId="3689"/>
    <cellStyle name="常规 9 8" xfId="3690"/>
    <cellStyle name="常规 9 9" xfId="3691"/>
    <cellStyle name="好 10" xfId="3692"/>
    <cellStyle name="好 10 2" xfId="3693"/>
    <cellStyle name="好 10 3" xfId="3694"/>
    <cellStyle name="好 10 4" xfId="3695"/>
    <cellStyle name="好 10 5" xfId="3696"/>
    <cellStyle name="好 11" xfId="3697"/>
    <cellStyle name="好 11 2" xfId="3698"/>
    <cellStyle name="好 11 3" xfId="3699"/>
    <cellStyle name="好 11 4" xfId="3700"/>
    <cellStyle name="好 11 5" xfId="3701"/>
    <cellStyle name="好 12" xfId="3702"/>
    <cellStyle name="好 12 2" xfId="3703"/>
    <cellStyle name="好 12 3" xfId="3704"/>
    <cellStyle name="好 12 4" xfId="3705"/>
    <cellStyle name="好 12 5" xfId="3706"/>
    <cellStyle name="好 13" xfId="3707"/>
    <cellStyle name="好 13 2" xfId="3708"/>
    <cellStyle name="好 13 3" xfId="3709"/>
    <cellStyle name="好 13 4" xfId="3710"/>
    <cellStyle name="好 13 5" xfId="3711"/>
    <cellStyle name="好 14" xfId="3712"/>
    <cellStyle name="好 14 2" xfId="3713"/>
    <cellStyle name="好 14 3" xfId="3714"/>
    <cellStyle name="好 14 4" xfId="3715"/>
    <cellStyle name="好 14 5" xfId="3716"/>
    <cellStyle name="好 14 6" xfId="3717"/>
    <cellStyle name="好 14 7" xfId="3718"/>
    <cellStyle name="好 15" xfId="3719"/>
    <cellStyle name="好 15 2" xfId="3720"/>
    <cellStyle name="好 15 3" xfId="3721"/>
    <cellStyle name="好 15 4" xfId="3722"/>
    <cellStyle name="好 15 5" xfId="3723"/>
    <cellStyle name="好 15 6" xfId="3724"/>
    <cellStyle name="好 15 7" xfId="3725"/>
    <cellStyle name="好 16" xfId="3726"/>
    <cellStyle name="好 16 2" xfId="3727"/>
    <cellStyle name="好 16 3" xfId="3728"/>
    <cellStyle name="好 16 4" xfId="3729"/>
    <cellStyle name="好 16 5" xfId="3730"/>
    <cellStyle name="好 16 6" xfId="3731"/>
    <cellStyle name="好 16 7" xfId="3732"/>
    <cellStyle name="好 17" xfId="3733"/>
    <cellStyle name="好 17 2" xfId="3734"/>
    <cellStyle name="好 17 3" xfId="3735"/>
    <cellStyle name="好 17 4" xfId="3736"/>
    <cellStyle name="好 17 5" xfId="3737"/>
    <cellStyle name="好 17 6" xfId="3738"/>
    <cellStyle name="好 17 7" xfId="3739"/>
    <cellStyle name="好 17 8" xfId="3740"/>
    <cellStyle name="好 17 9" xfId="3741"/>
    <cellStyle name="好 18" xfId="3742"/>
    <cellStyle name="好 18 2" xfId="3743"/>
    <cellStyle name="好 18 3" xfId="3744"/>
    <cellStyle name="好 18 4" xfId="3745"/>
    <cellStyle name="好 18 5" xfId="3746"/>
    <cellStyle name="好 19" xfId="3747"/>
    <cellStyle name="好 19 2" xfId="3748"/>
    <cellStyle name="好 19 3" xfId="3749"/>
    <cellStyle name="好 19 4" xfId="3750"/>
    <cellStyle name="好 19 5" xfId="3751"/>
    <cellStyle name="好 2 10" xfId="3752"/>
    <cellStyle name="好 2 10 2" xfId="3753"/>
    <cellStyle name="好 2 10 3" xfId="3754"/>
    <cellStyle name="好 2 10 4" xfId="3755"/>
    <cellStyle name="好 2 10 5" xfId="3756"/>
    <cellStyle name="好 2 11" xfId="3757"/>
    <cellStyle name="好 2 11 2" xfId="3758"/>
    <cellStyle name="好 2 11 3" xfId="3759"/>
    <cellStyle name="好 2 11 4" xfId="3760"/>
    <cellStyle name="好 2 11 5" xfId="3761"/>
    <cellStyle name="好 2 12" xfId="3762"/>
    <cellStyle name="好 2 12 2" xfId="3763"/>
    <cellStyle name="好 2 12 3" xfId="3764"/>
    <cellStyle name="好 2 12 4" xfId="3765"/>
    <cellStyle name="好 2 12 5" xfId="3766"/>
    <cellStyle name="好 2 13" xfId="3767"/>
    <cellStyle name="好 2 14" xfId="3768"/>
    <cellStyle name="好 2 15" xfId="3769"/>
    <cellStyle name="好 2 16" xfId="3770"/>
    <cellStyle name="好 2 17" xfId="3771"/>
    <cellStyle name="好 2 18" xfId="3772"/>
    <cellStyle name="好 2 19" xfId="3773"/>
    <cellStyle name="好 2 2" xfId="3774"/>
    <cellStyle name="好 2 2 10" xfId="3775"/>
    <cellStyle name="好 2 2 2" xfId="3776"/>
    <cellStyle name="好 2 2 3" xfId="3777"/>
    <cellStyle name="好 2 2 4" xfId="3778"/>
    <cellStyle name="好 2 2 5" xfId="3779"/>
    <cellStyle name="好 2 2 6" xfId="3780"/>
    <cellStyle name="好 2 2 7" xfId="3781"/>
    <cellStyle name="好 2 2 8" xfId="3782"/>
    <cellStyle name="好 2 2 9" xfId="3783"/>
    <cellStyle name="好 2 20" xfId="3784"/>
    <cellStyle name="好 2 21" xfId="3785"/>
    <cellStyle name="好 2 22" xfId="3786"/>
    <cellStyle name="好 2 23" xfId="3787"/>
    <cellStyle name="好 2 24" xfId="3788"/>
    <cellStyle name="好 2 25" xfId="3789"/>
    <cellStyle name="好 2 26" xfId="3790"/>
    <cellStyle name="好 2 3" xfId="3791"/>
    <cellStyle name="好 2 3 10" xfId="3792"/>
    <cellStyle name="好 2 3 2" xfId="3793"/>
    <cellStyle name="好 2 3 3" xfId="3794"/>
    <cellStyle name="好 2 3 4" xfId="3795"/>
    <cellStyle name="好 2 3 5" xfId="3796"/>
    <cellStyle name="好 2 3 6" xfId="3797"/>
    <cellStyle name="好 2 3 7" xfId="3798"/>
    <cellStyle name="好 2 3 8" xfId="3799"/>
    <cellStyle name="好 2 3 9" xfId="3800"/>
    <cellStyle name="好 2 4" xfId="3801"/>
    <cellStyle name="好 2 4 10" xfId="3802"/>
    <cellStyle name="好 2 4 2" xfId="3803"/>
    <cellStyle name="好 2 4 3" xfId="3804"/>
    <cellStyle name="好 2 4 4" xfId="3805"/>
    <cellStyle name="好 2 4 5" xfId="3806"/>
    <cellStyle name="好 2 4 6" xfId="3807"/>
    <cellStyle name="好 2 4 7" xfId="3808"/>
    <cellStyle name="好 2 4 8" xfId="3809"/>
    <cellStyle name="好 2 4 9" xfId="3810"/>
    <cellStyle name="好 2 5" xfId="3811"/>
    <cellStyle name="好 2 5 10" xfId="3812"/>
    <cellStyle name="好 2 5 2" xfId="3813"/>
    <cellStyle name="好 2 5 3" xfId="3814"/>
    <cellStyle name="好 2 5 4" xfId="3815"/>
    <cellStyle name="好 2 5 5" xfId="3816"/>
    <cellStyle name="好 2 5 6" xfId="3817"/>
    <cellStyle name="好 2 5 7" xfId="3818"/>
    <cellStyle name="好 2 5 8" xfId="3819"/>
    <cellStyle name="好 2 5 9" xfId="3820"/>
    <cellStyle name="好 2 6" xfId="3821"/>
    <cellStyle name="好 2 6 10" xfId="3822"/>
    <cellStyle name="好 2 6 2" xfId="3823"/>
    <cellStyle name="好 2 6 3" xfId="3824"/>
    <cellStyle name="好 2 6 4" xfId="3825"/>
    <cellStyle name="好 2 6 5" xfId="3826"/>
    <cellStyle name="好 2 6 6" xfId="3827"/>
    <cellStyle name="好 2 6 7" xfId="3828"/>
    <cellStyle name="好 2 6 8" xfId="3829"/>
    <cellStyle name="好 2 6 9" xfId="3830"/>
    <cellStyle name="好 2 7" xfId="3831"/>
    <cellStyle name="好 2 7 10" xfId="3832"/>
    <cellStyle name="好 2 7 2" xfId="3833"/>
    <cellStyle name="好 2 7 3" xfId="3834"/>
    <cellStyle name="好 2 7 4" xfId="3835"/>
    <cellStyle name="好 2 7 5" xfId="3836"/>
    <cellStyle name="好 2 7 6" xfId="3837"/>
    <cellStyle name="好 2 7 7" xfId="3838"/>
    <cellStyle name="好 2 7 8" xfId="3839"/>
    <cellStyle name="好 2 7 9" xfId="3840"/>
    <cellStyle name="好 2 8" xfId="3841"/>
    <cellStyle name="好 2 8 2" xfId="3842"/>
    <cellStyle name="好 2 8 3" xfId="3843"/>
    <cellStyle name="好 2 8 4" xfId="3844"/>
    <cellStyle name="好 2 8 5" xfId="3845"/>
    <cellStyle name="好 2 9" xfId="3846"/>
    <cellStyle name="好 2 9 2" xfId="3847"/>
    <cellStyle name="好 2 9 3" xfId="3848"/>
    <cellStyle name="好 2 9 4" xfId="3849"/>
    <cellStyle name="好 2 9 5" xfId="3850"/>
    <cellStyle name="好 20" xfId="3851"/>
    <cellStyle name="好 20 2" xfId="3852"/>
    <cellStyle name="好 20 3" xfId="3853"/>
    <cellStyle name="好 21" xfId="3854"/>
    <cellStyle name="好 21 2" xfId="3855"/>
    <cellStyle name="好 21 3" xfId="3856"/>
    <cellStyle name="好 22" xfId="3857"/>
    <cellStyle name="好 22 2" xfId="3858"/>
    <cellStyle name="好 22 3" xfId="3859"/>
    <cellStyle name="好 23" xfId="3860"/>
    <cellStyle name="好 23 2" xfId="3861"/>
    <cellStyle name="好 23 3" xfId="3862"/>
    <cellStyle name="好 24" xfId="3863"/>
    <cellStyle name="好 24 2" xfId="3864"/>
    <cellStyle name="好 25" xfId="3865"/>
    <cellStyle name="好 25 2" xfId="3866"/>
    <cellStyle name="好 3" xfId="3867"/>
    <cellStyle name="好 3 10" xfId="3868"/>
    <cellStyle name="好 3 2" xfId="3869"/>
    <cellStyle name="好 3 3" xfId="3870"/>
    <cellStyle name="好 3 4" xfId="3871"/>
    <cellStyle name="好 3 5" xfId="3872"/>
    <cellStyle name="好 3 6" xfId="3873"/>
    <cellStyle name="好 3 7" xfId="3874"/>
    <cellStyle name="好 3 8" xfId="3875"/>
    <cellStyle name="好 3 9" xfId="3876"/>
    <cellStyle name="好 4" xfId="3877"/>
    <cellStyle name="好 4 10" xfId="3878"/>
    <cellStyle name="好 4 2" xfId="3879"/>
    <cellStyle name="好 4 3" xfId="3880"/>
    <cellStyle name="好 4 4" xfId="3881"/>
    <cellStyle name="好 4 5" xfId="3882"/>
    <cellStyle name="好 4 6" xfId="3883"/>
    <cellStyle name="好 4 7" xfId="3884"/>
    <cellStyle name="好 4 8" xfId="3885"/>
    <cellStyle name="好 4 9" xfId="3886"/>
    <cellStyle name="好 5" xfId="3887"/>
    <cellStyle name="好 5 10" xfId="3888"/>
    <cellStyle name="好 5 2" xfId="3889"/>
    <cellStyle name="好 5 3" xfId="3890"/>
    <cellStyle name="好 5 4" xfId="3891"/>
    <cellStyle name="好 5 5" xfId="3892"/>
    <cellStyle name="好 5 6" xfId="3893"/>
    <cellStyle name="好 5 7" xfId="3894"/>
    <cellStyle name="好 5 8" xfId="3895"/>
    <cellStyle name="好 5 9" xfId="3896"/>
    <cellStyle name="好 6" xfId="3897"/>
    <cellStyle name="好 6 10" xfId="3898"/>
    <cellStyle name="好 6 2" xfId="3899"/>
    <cellStyle name="好 6 3" xfId="3900"/>
    <cellStyle name="好 6 4" xfId="3901"/>
    <cellStyle name="好 6 5" xfId="3902"/>
    <cellStyle name="好 6 6" xfId="3903"/>
    <cellStyle name="好 6 7" xfId="3904"/>
    <cellStyle name="好 6 8" xfId="3905"/>
    <cellStyle name="好 6 9" xfId="3906"/>
    <cellStyle name="好 7" xfId="3907"/>
    <cellStyle name="好 7 10" xfId="3908"/>
    <cellStyle name="好 7 2" xfId="3909"/>
    <cellStyle name="好 7 3" xfId="3910"/>
    <cellStyle name="好 7 4" xfId="3911"/>
    <cellStyle name="好 7 5" xfId="3912"/>
    <cellStyle name="好 7 6" xfId="3913"/>
    <cellStyle name="好 7 7" xfId="3914"/>
    <cellStyle name="好 7 8" xfId="3915"/>
    <cellStyle name="好 7 9" xfId="3916"/>
    <cellStyle name="好 8" xfId="3917"/>
    <cellStyle name="好 8 10" xfId="3918"/>
    <cellStyle name="好 8 2" xfId="3919"/>
    <cellStyle name="好 8 3" xfId="3920"/>
    <cellStyle name="好 8 4" xfId="3921"/>
    <cellStyle name="好 8 5" xfId="3922"/>
    <cellStyle name="好 8 6" xfId="3923"/>
    <cellStyle name="好 8 7" xfId="3924"/>
    <cellStyle name="好 8 8" xfId="3925"/>
    <cellStyle name="好 8 9" xfId="3926"/>
    <cellStyle name="好 9" xfId="3927"/>
    <cellStyle name="好 9 10" xfId="3928"/>
    <cellStyle name="好 9 2" xfId="3929"/>
    <cellStyle name="好 9 3" xfId="3930"/>
    <cellStyle name="好 9 4" xfId="3931"/>
    <cellStyle name="好 9 5" xfId="3932"/>
    <cellStyle name="好 9 6" xfId="3933"/>
    <cellStyle name="好 9 7" xfId="3934"/>
    <cellStyle name="好 9 8" xfId="3935"/>
    <cellStyle name="好 9 9" xfId="3936"/>
    <cellStyle name="汇总 10" xfId="3937"/>
    <cellStyle name="汇总 10 2" xfId="3938"/>
    <cellStyle name="汇总 10 3" xfId="3939"/>
    <cellStyle name="汇总 10 4" xfId="3940"/>
    <cellStyle name="汇总 10 5" xfId="3941"/>
    <cellStyle name="汇总 11" xfId="3942"/>
    <cellStyle name="汇总 11 2" xfId="3943"/>
    <cellStyle name="汇总 11 3" xfId="3944"/>
    <cellStyle name="汇总 11 4" xfId="3945"/>
    <cellStyle name="汇总 11 5" xfId="3946"/>
    <cellStyle name="汇总 12" xfId="3947"/>
    <cellStyle name="汇总 12 2" xfId="3948"/>
    <cellStyle name="汇总 12 3" xfId="3949"/>
    <cellStyle name="汇总 12 4" xfId="3950"/>
    <cellStyle name="汇总 12 5" xfId="3951"/>
    <cellStyle name="汇总 13" xfId="3952"/>
    <cellStyle name="汇总 13 2" xfId="3953"/>
    <cellStyle name="汇总 13 3" xfId="3954"/>
    <cellStyle name="汇总 13 4" xfId="3955"/>
    <cellStyle name="汇总 13 5" xfId="3956"/>
    <cellStyle name="汇总 14" xfId="3957"/>
    <cellStyle name="汇总 14 2" xfId="3958"/>
    <cellStyle name="汇总 14 3" xfId="3959"/>
    <cellStyle name="汇总 14 4" xfId="3960"/>
    <cellStyle name="汇总 14 5" xfId="3961"/>
    <cellStyle name="汇总 14 6" xfId="3962"/>
    <cellStyle name="汇总 14 7" xfId="3963"/>
    <cellStyle name="汇总 15" xfId="3964"/>
    <cellStyle name="汇总 15 2" xfId="3965"/>
    <cellStyle name="汇总 15 3" xfId="3966"/>
    <cellStyle name="汇总 15 4" xfId="3967"/>
    <cellStyle name="汇总 15 5" xfId="3968"/>
    <cellStyle name="汇总 15 6" xfId="3969"/>
    <cellStyle name="汇总 15 7" xfId="3970"/>
    <cellStyle name="汇总 16" xfId="3971"/>
    <cellStyle name="汇总 16 2" xfId="3972"/>
    <cellStyle name="汇总 16 3" xfId="3973"/>
    <cellStyle name="汇总 16 4" xfId="3974"/>
    <cellStyle name="汇总 16 5" xfId="3975"/>
    <cellStyle name="汇总 16 6" xfId="3976"/>
    <cellStyle name="汇总 16 7" xfId="3977"/>
    <cellStyle name="汇总 17" xfId="3978"/>
    <cellStyle name="汇总 17 2" xfId="3979"/>
    <cellStyle name="汇总 17 3" xfId="3980"/>
    <cellStyle name="汇总 17 4" xfId="3981"/>
    <cellStyle name="汇总 17 5" xfId="3982"/>
    <cellStyle name="汇总 17 6" xfId="3983"/>
    <cellStyle name="汇总 17 7" xfId="3984"/>
    <cellStyle name="汇总 17 8" xfId="3985"/>
    <cellStyle name="汇总 17 9" xfId="3986"/>
    <cellStyle name="汇总 18" xfId="3987"/>
    <cellStyle name="汇总 18 2" xfId="3988"/>
    <cellStyle name="汇总 18 3" xfId="3989"/>
    <cellStyle name="汇总 18 4" xfId="3990"/>
    <cellStyle name="汇总 18 5" xfId="3991"/>
    <cellStyle name="汇总 19" xfId="3992"/>
    <cellStyle name="汇总 19 2" xfId="3993"/>
    <cellStyle name="汇总 19 3" xfId="3994"/>
    <cellStyle name="汇总 19 4" xfId="3995"/>
    <cellStyle name="汇总 19 5" xfId="3996"/>
    <cellStyle name="汇总 2 10" xfId="3997"/>
    <cellStyle name="汇总 2 10 2" xfId="3998"/>
    <cellStyle name="汇总 2 10 3" xfId="3999"/>
    <cellStyle name="汇总 2 10 4" xfId="4000"/>
    <cellStyle name="汇总 2 10 5" xfId="4001"/>
    <cellStyle name="汇总 2 11" xfId="4002"/>
    <cellStyle name="汇总 2 11 2" xfId="4003"/>
    <cellStyle name="汇总 2 11 3" xfId="4004"/>
    <cellStyle name="汇总 2 11 4" xfId="4005"/>
    <cellStyle name="汇总 2 11 5" xfId="4006"/>
    <cellStyle name="汇总 2 12" xfId="4007"/>
    <cellStyle name="汇总 2 12 2" xfId="4008"/>
    <cellStyle name="汇总 2 12 3" xfId="4009"/>
    <cellStyle name="汇总 2 12 4" xfId="4010"/>
    <cellStyle name="汇总 2 12 5" xfId="4011"/>
    <cellStyle name="汇总 2 13" xfId="4012"/>
    <cellStyle name="汇总 2 14" xfId="4013"/>
    <cellStyle name="汇总 2 15" xfId="4014"/>
    <cellStyle name="汇总 2 16" xfId="4015"/>
    <cellStyle name="汇总 2 17" xfId="4016"/>
    <cellStyle name="汇总 2 18" xfId="4017"/>
    <cellStyle name="汇总 2 19" xfId="4018"/>
    <cellStyle name="汇总 2 2" xfId="4019"/>
    <cellStyle name="汇总 2 2 10" xfId="4020"/>
    <cellStyle name="汇总 2 2 2" xfId="4021"/>
    <cellStyle name="汇总 2 2 3" xfId="4022"/>
    <cellStyle name="汇总 2 2 4" xfId="4023"/>
    <cellStyle name="汇总 2 2 5" xfId="4024"/>
    <cellStyle name="汇总 2 2 6" xfId="4025"/>
    <cellStyle name="汇总 2 2 7" xfId="4026"/>
    <cellStyle name="汇总 2 2 8" xfId="4027"/>
    <cellStyle name="汇总 2 2 9" xfId="4028"/>
    <cellStyle name="汇总 2 20" xfId="4029"/>
    <cellStyle name="汇总 2 21" xfId="4030"/>
    <cellStyle name="汇总 2 22" xfId="4031"/>
    <cellStyle name="汇总 2 23" xfId="4032"/>
    <cellStyle name="汇总 2 24" xfId="4033"/>
    <cellStyle name="汇总 2 25" xfId="4034"/>
    <cellStyle name="汇总 2 26" xfId="4035"/>
    <cellStyle name="汇总 2 3" xfId="4036"/>
    <cellStyle name="汇总 2 3 10" xfId="4037"/>
    <cellStyle name="汇总 2 3 2" xfId="4038"/>
    <cellStyle name="汇总 2 3 3" xfId="4039"/>
    <cellStyle name="汇总 2 3 4" xfId="4040"/>
    <cellStyle name="汇总 2 3 5" xfId="4041"/>
    <cellStyle name="汇总 2 3 6" xfId="4042"/>
    <cellStyle name="汇总 2 3 7" xfId="4043"/>
    <cellStyle name="汇总 2 3 8" xfId="4044"/>
    <cellStyle name="汇总 2 3 9" xfId="4045"/>
    <cellStyle name="汇总 2 4" xfId="4046"/>
    <cellStyle name="汇总 2 4 10" xfId="4047"/>
    <cellStyle name="汇总 2 4 2" xfId="4048"/>
    <cellStyle name="汇总 2 4 3" xfId="4049"/>
    <cellStyle name="汇总 2 4 4" xfId="4050"/>
    <cellStyle name="汇总 2 4 5" xfId="4051"/>
    <cellStyle name="汇总 2 4 6" xfId="4052"/>
    <cellStyle name="汇总 2 4 7" xfId="4053"/>
    <cellStyle name="汇总 2 4 8" xfId="4054"/>
    <cellStyle name="汇总 2 4 9" xfId="4055"/>
    <cellStyle name="汇总 2 5" xfId="4056"/>
    <cellStyle name="汇总 2 5 10" xfId="4057"/>
    <cellStyle name="汇总 2 5 2" xfId="4058"/>
    <cellStyle name="汇总 2 5 3" xfId="4059"/>
    <cellStyle name="汇总 2 5 4" xfId="4060"/>
    <cellStyle name="汇总 2 5 5" xfId="4061"/>
    <cellStyle name="汇总 2 5 6" xfId="4062"/>
    <cellStyle name="汇总 2 5 7" xfId="4063"/>
    <cellStyle name="汇总 2 5 8" xfId="4064"/>
    <cellStyle name="汇总 2 5 9" xfId="4065"/>
    <cellStyle name="汇总 2 6" xfId="4066"/>
    <cellStyle name="汇总 2 6 10" xfId="4067"/>
    <cellStyle name="汇总 2 6 2" xfId="4068"/>
    <cellStyle name="汇总 2 6 3" xfId="4069"/>
    <cellStyle name="汇总 2 6 4" xfId="4070"/>
    <cellStyle name="汇总 2 6 5" xfId="4071"/>
    <cellStyle name="汇总 2 6 6" xfId="4072"/>
    <cellStyle name="汇总 2 6 7" xfId="4073"/>
    <cellStyle name="汇总 2 6 8" xfId="4074"/>
    <cellStyle name="汇总 2 6 9" xfId="4075"/>
    <cellStyle name="汇总 2 7" xfId="4076"/>
    <cellStyle name="汇总 2 7 10" xfId="4077"/>
    <cellStyle name="汇总 2 7 2" xfId="4078"/>
    <cellStyle name="汇总 2 7 3" xfId="4079"/>
    <cellStyle name="汇总 2 7 4" xfId="4080"/>
    <cellStyle name="汇总 2 7 5" xfId="4081"/>
    <cellStyle name="汇总 2 7 6" xfId="4082"/>
    <cellStyle name="汇总 2 7 7" xfId="4083"/>
    <cellStyle name="汇总 2 7 8" xfId="4084"/>
    <cellStyle name="汇总 2 7 9" xfId="4085"/>
    <cellStyle name="汇总 2 8" xfId="4086"/>
    <cellStyle name="汇总 2 8 2" xfId="4087"/>
    <cellStyle name="汇总 2 8 3" xfId="4088"/>
    <cellStyle name="汇总 2 8 4" xfId="4089"/>
    <cellStyle name="汇总 2 8 5" xfId="4090"/>
    <cellStyle name="汇总 2 9" xfId="4091"/>
    <cellStyle name="汇总 2 9 2" xfId="4092"/>
    <cellStyle name="汇总 2 9 3" xfId="4093"/>
    <cellStyle name="汇总 2 9 4" xfId="4094"/>
    <cellStyle name="汇总 2 9 5" xfId="4095"/>
    <cellStyle name="汇总 20" xfId="4096"/>
    <cellStyle name="汇总 20 2" xfId="4097"/>
    <cellStyle name="汇总 20 3" xfId="4098"/>
    <cellStyle name="汇总 21" xfId="4099"/>
    <cellStyle name="汇总 21 2" xfId="4100"/>
    <cellStyle name="汇总 21 3" xfId="4101"/>
    <cellStyle name="汇总 22" xfId="4102"/>
    <cellStyle name="汇总 22 2" xfId="4103"/>
    <cellStyle name="汇总 22 3" xfId="4104"/>
    <cellStyle name="汇总 23" xfId="4105"/>
    <cellStyle name="汇总 23 2" xfId="4106"/>
    <cellStyle name="汇总 23 3" xfId="4107"/>
    <cellStyle name="汇总 24" xfId="4108"/>
    <cellStyle name="汇总 24 2" xfId="4109"/>
    <cellStyle name="汇总 25" xfId="4110"/>
    <cellStyle name="汇总 25 2" xfId="4111"/>
    <cellStyle name="汇总 3" xfId="4112"/>
    <cellStyle name="汇总 3 10" xfId="4113"/>
    <cellStyle name="汇总 3 2" xfId="4114"/>
    <cellStyle name="汇总 3 3" xfId="4115"/>
    <cellStyle name="汇总 3 4" xfId="4116"/>
    <cellStyle name="汇总 3 5" xfId="4117"/>
    <cellStyle name="汇总 3 6" xfId="4118"/>
    <cellStyle name="汇总 3 7" xfId="4119"/>
    <cellStyle name="汇总 3 8" xfId="4120"/>
    <cellStyle name="汇总 3 9" xfId="4121"/>
    <cellStyle name="汇总 4" xfId="4122"/>
    <cellStyle name="汇总 4 10" xfId="4123"/>
    <cellStyle name="汇总 4 2" xfId="4124"/>
    <cellStyle name="汇总 4 3" xfId="4125"/>
    <cellStyle name="汇总 4 4" xfId="4126"/>
    <cellStyle name="汇总 4 5" xfId="4127"/>
    <cellStyle name="汇总 4 6" xfId="4128"/>
    <cellStyle name="汇总 4 7" xfId="4129"/>
    <cellStyle name="汇总 4 8" xfId="4130"/>
    <cellStyle name="汇总 4 9" xfId="4131"/>
    <cellStyle name="汇总 5" xfId="4132"/>
    <cellStyle name="汇总 5 10" xfId="4133"/>
    <cellStyle name="汇总 5 2" xfId="4134"/>
    <cellStyle name="汇总 5 3" xfId="4135"/>
    <cellStyle name="汇总 5 4" xfId="4136"/>
    <cellStyle name="汇总 5 5" xfId="4137"/>
    <cellStyle name="汇总 5 6" xfId="4138"/>
    <cellStyle name="汇总 5 7" xfId="4139"/>
    <cellStyle name="汇总 5 8" xfId="4140"/>
    <cellStyle name="汇总 5 9" xfId="4141"/>
    <cellStyle name="汇总 6" xfId="4142"/>
    <cellStyle name="汇总 6 10" xfId="4143"/>
    <cellStyle name="汇总 6 2" xfId="4144"/>
    <cellStyle name="汇总 6 3" xfId="4145"/>
    <cellStyle name="汇总 6 4" xfId="4146"/>
    <cellStyle name="汇总 6 5" xfId="4147"/>
    <cellStyle name="汇总 6 6" xfId="4148"/>
    <cellStyle name="汇总 6 7" xfId="4149"/>
    <cellStyle name="汇总 6 8" xfId="4150"/>
    <cellStyle name="汇总 6 9" xfId="4151"/>
    <cellStyle name="汇总 7" xfId="4152"/>
    <cellStyle name="汇总 7 10" xfId="4153"/>
    <cellStyle name="汇总 7 2" xfId="4154"/>
    <cellStyle name="汇总 7 3" xfId="4155"/>
    <cellStyle name="汇总 7 4" xfId="4156"/>
    <cellStyle name="汇总 7 5" xfId="4157"/>
    <cellStyle name="汇总 7 6" xfId="4158"/>
    <cellStyle name="汇总 7 7" xfId="4159"/>
    <cellStyle name="汇总 7 8" xfId="4160"/>
    <cellStyle name="汇总 7 9" xfId="4161"/>
    <cellStyle name="汇总 8" xfId="4162"/>
    <cellStyle name="汇总 8 10" xfId="4163"/>
    <cellStyle name="汇总 8 2" xfId="4164"/>
    <cellStyle name="汇总 8 3" xfId="4165"/>
    <cellStyle name="汇总 8 4" xfId="4166"/>
    <cellStyle name="汇总 8 5" xfId="4167"/>
    <cellStyle name="汇总 8 6" xfId="4168"/>
    <cellStyle name="汇总 8 7" xfId="4169"/>
    <cellStyle name="汇总 8 8" xfId="4170"/>
    <cellStyle name="汇总 8 9" xfId="4171"/>
    <cellStyle name="汇总 9" xfId="4172"/>
    <cellStyle name="汇总 9 10" xfId="4173"/>
    <cellStyle name="汇总 9 2" xfId="4174"/>
    <cellStyle name="汇总 9 3" xfId="4175"/>
    <cellStyle name="汇总 9 4" xfId="4176"/>
    <cellStyle name="汇总 9 5" xfId="4177"/>
    <cellStyle name="汇总 9 6" xfId="4178"/>
    <cellStyle name="汇总 9 7" xfId="4179"/>
    <cellStyle name="汇总 9 8" xfId="4180"/>
    <cellStyle name="汇总 9 9" xfId="4181"/>
    <cellStyle name="计算 10" xfId="4182"/>
    <cellStyle name="计算 10 2" xfId="4183"/>
    <cellStyle name="计算 10 3" xfId="4184"/>
    <cellStyle name="计算 10 4" xfId="4185"/>
    <cellStyle name="计算 10 5" xfId="4186"/>
    <cellStyle name="计算 11" xfId="4187"/>
    <cellStyle name="计算 11 2" xfId="4188"/>
    <cellStyle name="计算 11 3" xfId="4189"/>
    <cellStyle name="计算 11 4" xfId="4190"/>
    <cellStyle name="计算 11 5" xfId="4191"/>
    <cellStyle name="计算 12" xfId="4192"/>
    <cellStyle name="计算 12 2" xfId="4193"/>
    <cellStyle name="计算 12 3" xfId="4194"/>
    <cellStyle name="计算 12 4" xfId="4195"/>
    <cellStyle name="计算 12 5" xfId="4196"/>
    <cellStyle name="计算 13" xfId="4197"/>
    <cellStyle name="计算 13 2" xfId="4198"/>
    <cellStyle name="计算 13 3" xfId="4199"/>
    <cellStyle name="计算 13 4" xfId="4200"/>
    <cellStyle name="计算 13 5" xfId="4201"/>
    <cellStyle name="计算 14" xfId="4202"/>
    <cellStyle name="计算 14 2" xfId="4203"/>
    <cellStyle name="计算 14 3" xfId="4204"/>
    <cellStyle name="计算 14 4" xfId="4205"/>
    <cellStyle name="计算 14 5" xfId="4206"/>
    <cellStyle name="计算 14 6" xfId="4207"/>
    <cellStyle name="计算 14 7" xfId="4208"/>
    <cellStyle name="计算 15" xfId="4209"/>
    <cellStyle name="计算 15 2" xfId="4210"/>
    <cellStyle name="计算 15 3" xfId="4211"/>
    <cellStyle name="计算 15 4" xfId="4212"/>
    <cellStyle name="计算 15 5" xfId="4213"/>
    <cellStyle name="计算 15 6" xfId="4214"/>
    <cellStyle name="计算 15 7" xfId="4215"/>
    <cellStyle name="计算 16" xfId="4216"/>
    <cellStyle name="计算 16 2" xfId="4217"/>
    <cellStyle name="计算 16 3" xfId="4218"/>
    <cellStyle name="计算 16 4" xfId="4219"/>
    <cellStyle name="计算 16 5" xfId="4220"/>
    <cellStyle name="计算 16 6" xfId="4221"/>
    <cellStyle name="计算 16 7" xfId="4222"/>
    <cellStyle name="计算 17" xfId="4223"/>
    <cellStyle name="计算 17 2" xfId="4224"/>
    <cellStyle name="计算 17 3" xfId="4225"/>
    <cellStyle name="计算 17 4" xfId="4226"/>
    <cellStyle name="计算 17 5" xfId="4227"/>
    <cellStyle name="计算 17 6" xfId="4228"/>
    <cellStyle name="计算 17 7" xfId="4229"/>
    <cellStyle name="计算 17 8" xfId="4230"/>
    <cellStyle name="计算 17 9" xfId="4231"/>
    <cellStyle name="计算 18" xfId="4232"/>
    <cellStyle name="计算 18 2" xfId="4233"/>
    <cellStyle name="计算 18 3" xfId="4234"/>
    <cellStyle name="计算 18 4" xfId="4235"/>
    <cellStyle name="计算 18 5" xfId="4236"/>
    <cellStyle name="计算 19" xfId="4237"/>
    <cellStyle name="计算 19 2" xfId="4238"/>
    <cellStyle name="计算 19 3" xfId="4239"/>
    <cellStyle name="计算 19 4" xfId="4240"/>
    <cellStyle name="计算 19 5" xfId="4241"/>
    <cellStyle name="计算 2 10" xfId="4242"/>
    <cellStyle name="计算 2 10 2" xfId="4243"/>
    <cellStyle name="计算 2 10 3" xfId="4244"/>
    <cellStyle name="计算 2 10 4" xfId="4245"/>
    <cellStyle name="计算 2 10 5" xfId="4246"/>
    <cellStyle name="计算 2 11" xfId="4247"/>
    <cellStyle name="计算 2 11 2" xfId="4248"/>
    <cellStyle name="计算 2 11 3" xfId="4249"/>
    <cellStyle name="计算 2 11 4" xfId="4250"/>
    <cellStyle name="计算 2 11 5" xfId="4251"/>
    <cellStyle name="计算 2 12" xfId="4252"/>
    <cellStyle name="计算 2 12 2" xfId="4253"/>
    <cellStyle name="计算 2 12 3" xfId="4254"/>
    <cellStyle name="计算 2 12 4" xfId="4255"/>
    <cellStyle name="计算 2 12 5" xfId="4256"/>
    <cellStyle name="计算 2 13" xfId="4257"/>
    <cellStyle name="计算 2 14" xfId="4258"/>
    <cellStyle name="计算 2 15" xfId="4259"/>
    <cellStyle name="计算 2 16" xfId="4260"/>
    <cellStyle name="计算 2 17" xfId="4261"/>
    <cellStyle name="计算 2 18" xfId="4262"/>
    <cellStyle name="计算 2 19" xfId="4263"/>
    <cellStyle name="计算 2 2" xfId="4264"/>
    <cellStyle name="计算 2 2 10" xfId="4265"/>
    <cellStyle name="计算 2 2 2" xfId="4266"/>
    <cellStyle name="计算 2 2 3" xfId="4267"/>
    <cellStyle name="计算 2 2 4" xfId="4268"/>
    <cellStyle name="计算 2 2 5" xfId="4269"/>
    <cellStyle name="计算 2 2 6" xfId="4270"/>
    <cellStyle name="计算 2 2 7" xfId="4271"/>
    <cellStyle name="计算 2 2 8" xfId="4272"/>
    <cellStyle name="计算 2 2 9" xfId="4273"/>
    <cellStyle name="计算 2 20" xfId="4274"/>
    <cellStyle name="计算 2 21" xfId="4275"/>
    <cellStyle name="计算 2 22" xfId="4276"/>
    <cellStyle name="计算 2 23" xfId="4277"/>
    <cellStyle name="计算 2 24" xfId="4278"/>
    <cellStyle name="计算 2 25" xfId="4279"/>
    <cellStyle name="计算 2 26" xfId="4280"/>
    <cellStyle name="计算 2 3" xfId="4281"/>
    <cellStyle name="计算 2 3 10" xfId="4282"/>
    <cellStyle name="计算 2 3 2" xfId="4283"/>
    <cellStyle name="计算 2 3 3" xfId="4284"/>
    <cellStyle name="计算 2 3 4" xfId="4285"/>
    <cellStyle name="计算 2 3 5" xfId="4286"/>
    <cellStyle name="计算 2 3 6" xfId="4287"/>
    <cellStyle name="计算 2 3 7" xfId="4288"/>
    <cellStyle name="计算 2 3 8" xfId="4289"/>
    <cellStyle name="计算 2 3 9" xfId="4290"/>
    <cellStyle name="计算 2 4" xfId="4291"/>
    <cellStyle name="计算 2 4 10" xfId="4292"/>
    <cellStyle name="计算 2 4 2" xfId="4293"/>
    <cellStyle name="计算 2 4 3" xfId="4294"/>
    <cellStyle name="计算 2 4 4" xfId="4295"/>
    <cellStyle name="计算 2 4 5" xfId="4296"/>
    <cellStyle name="计算 2 4 6" xfId="4297"/>
    <cellStyle name="计算 2 4 7" xfId="4298"/>
    <cellStyle name="计算 2 4 8" xfId="4299"/>
    <cellStyle name="计算 2 4 9" xfId="4300"/>
    <cellStyle name="计算 2 5" xfId="4301"/>
    <cellStyle name="计算 2 5 10" xfId="4302"/>
    <cellStyle name="计算 2 5 2" xfId="4303"/>
    <cellStyle name="计算 2 5 3" xfId="4304"/>
    <cellStyle name="计算 2 5 4" xfId="4305"/>
    <cellStyle name="计算 2 5 5" xfId="4306"/>
    <cellStyle name="计算 2 5 6" xfId="4307"/>
    <cellStyle name="计算 2 5 7" xfId="4308"/>
    <cellStyle name="计算 2 5 8" xfId="4309"/>
    <cellStyle name="计算 2 5 9" xfId="4310"/>
    <cellStyle name="计算 2 6" xfId="4311"/>
    <cellStyle name="计算 2 6 10" xfId="4312"/>
    <cellStyle name="计算 2 6 2" xfId="4313"/>
    <cellStyle name="计算 2 6 3" xfId="4314"/>
    <cellStyle name="计算 2 6 4" xfId="4315"/>
    <cellStyle name="计算 2 6 5" xfId="4316"/>
    <cellStyle name="计算 2 6 6" xfId="4317"/>
    <cellStyle name="计算 2 6 7" xfId="4318"/>
    <cellStyle name="计算 2 6 8" xfId="4319"/>
    <cellStyle name="计算 2 6 9" xfId="4320"/>
    <cellStyle name="计算 2 7" xfId="4321"/>
    <cellStyle name="计算 2 7 10" xfId="4322"/>
    <cellStyle name="计算 2 7 2" xfId="4323"/>
    <cellStyle name="计算 2 7 3" xfId="4324"/>
    <cellStyle name="计算 2 7 4" xfId="4325"/>
    <cellStyle name="计算 2 7 5" xfId="4326"/>
    <cellStyle name="计算 2 7 6" xfId="4327"/>
    <cellStyle name="计算 2 7 7" xfId="4328"/>
    <cellStyle name="计算 2 7 8" xfId="4329"/>
    <cellStyle name="计算 2 7 9" xfId="4330"/>
    <cellStyle name="计算 2 8" xfId="4331"/>
    <cellStyle name="计算 2 8 2" xfId="4332"/>
    <cellStyle name="计算 2 8 3" xfId="4333"/>
    <cellStyle name="计算 2 8 4" xfId="4334"/>
    <cellStyle name="计算 2 8 5" xfId="4335"/>
    <cellStyle name="计算 2 9" xfId="4336"/>
    <cellStyle name="计算 2 9 2" xfId="4337"/>
    <cellStyle name="计算 2 9 3" xfId="4338"/>
    <cellStyle name="计算 2 9 4" xfId="4339"/>
    <cellStyle name="计算 2 9 5" xfId="4340"/>
    <cellStyle name="计算 20" xfId="4341"/>
    <cellStyle name="计算 20 2" xfId="4342"/>
    <cellStyle name="计算 20 3" xfId="4343"/>
    <cellStyle name="计算 21" xfId="4344"/>
    <cellStyle name="计算 21 2" xfId="4345"/>
    <cellStyle name="计算 21 3" xfId="4346"/>
    <cellStyle name="计算 22" xfId="4347"/>
    <cellStyle name="计算 22 2" xfId="4348"/>
    <cellStyle name="计算 22 3" xfId="4349"/>
    <cellStyle name="计算 23" xfId="4350"/>
    <cellStyle name="计算 23 2" xfId="4351"/>
    <cellStyle name="计算 23 3" xfId="4352"/>
    <cellStyle name="计算 24" xfId="4353"/>
    <cellStyle name="计算 24 2" xfId="4354"/>
    <cellStyle name="计算 25" xfId="4355"/>
    <cellStyle name="计算 25 2" xfId="4356"/>
    <cellStyle name="计算 3" xfId="4357"/>
    <cellStyle name="计算 3 10" xfId="4358"/>
    <cellStyle name="计算 3 2" xfId="4359"/>
    <cellStyle name="计算 3 3" xfId="4360"/>
    <cellStyle name="计算 3 4" xfId="4361"/>
    <cellStyle name="计算 3 5" xfId="4362"/>
    <cellStyle name="计算 3 6" xfId="4363"/>
    <cellStyle name="计算 3 7" xfId="4364"/>
    <cellStyle name="计算 3 8" xfId="4365"/>
    <cellStyle name="计算 3 9" xfId="4366"/>
    <cellStyle name="计算 4" xfId="4367"/>
    <cellStyle name="计算 4 10" xfId="4368"/>
    <cellStyle name="计算 4 2" xfId="4369"/>
    <cellStyle name="计算 4 3" xfId="4370"/>
    <cellStyle name="计算 4 4" xfId="4371"/>
    <cellStyle name="计算 4 5" xfId="4372"/>
    <cellStyle name="计算 4 6" xfId="4373"/>
    <cellStyle name="计算 4 7" xfId="4374"/>
    <cellStyle name="计算 4 8" xfId="4375"/>
    <cellStyle name="计算 4 9" xfId="4376"/>
    <cellStyle name="计算 5" xfId="4377"/>
    <cellStyle name="计算 5 10" xfId="4378"/>
    <cellStyle name="计算 5 2" xfId="4379"/>
    <cellStyle name="计算 5 3" xfId="4380"/>
    <cellStyle name="计算 5 4" xfId="4381"/>
    <cellStyle name="计算 5 5" xfId="4382"/>
    <cellStyle name="计算 5 6" xfId="4383"/>
    <cellStyle name="计算 5 7" xfId="4384"/>
    <cellStyle name="计算 5 8" xfId="4385"/>
    <cellStyle name="计算 5 9" xfId="4386"/>
    <cellStyle name="计算 6" xfId="4387"/>
    <cellStyle name="计算 6 10" xfId="4388"/>
    <cellStyle name="计算 6 2" xfId="4389"/>
    <cellStyle name="计算 6 3" xfId="4390"/>
    <cellStyle name="计算 6 4" xfId="4391"/>
    <cellStyle name="计算 6 5" xfId="4392"/>
    <cellStyle name="计算 6 6" xfId="4393"/>
    <cellStyle name="计算 6 7" xfId="4394"/>
    <cellStyle name="计算 6 8" xfId="4395"/>
    <cellStyle name="计算 6 9" xfId="4396"/>
    <cellStyle name="计算 7" xfId="4397"/>
    <cellStyle name="计算 7 10" xfId="4398"/>
    <cellStyle name="计算 7 2" xfId="4399"/>
    <cellStyle name="计算 7 3" xfId="4400"/>
    <cellStyle name="计算 7 4" xfId="4401"/>
    <cellStyle name="计算 7 5" xfId="4402"/>
    <cellStyle name="计算 7 6" xfId="4403"/>
    <cellStyle name="计算 7 7" xfId="4404"/>
    <cellStyle name="计算 7 8" xfId="4405"/>
    <cellStyle name="计算 7 9" xfId="4406"/>
    <cellStyle name="计算 8" xfId="4407"/>
    <cellStyle name="计算 8 10" xfId="4408"/>
    <cellStyle name="计算 8 2" xfId="4409"/>
    <cellStyle name="计算 8 3" xfId="4410"/>
    <cellStyle name="计算 8 4" xfId="4411"/>
    <cellStyle name="计算 8 5" xfId="4412"/>
    <cellStyle name="计算 8 6" xfId="4413"/>
    <cellStyle name="计算 8 7" xfId="4414"/>
    <cellStyle name="计算 8 8" xfId="4415"/>
    <cellStyle name="计算 8 9" xfId="4416"/>
    <cellStyle name="计算 9" xfId="4417"/>
    <cellStyle name="计算 9 10" xfId="4418"/>
    <cellStyle name="计算 9 2" xfId="4419"/>
    <cellStyle name="计算 9 3" xfId="4420"/>
    <cellStyle name="计算 9 4" xfId="4421"/>
    <cellStyle name="计算 9 5" xfId="4422"/>
    <cellStyle name="计算 9 6" xfId="4423"/>
    <cellStyle name="计算 9 7" xfId="4424"/>
    <cellStyle name="计算 9 8" xfId="4425"/>
    <cellStyle name="计算 9 9" xfId="4426"/>
    <cellStyle name="检查单元格 10" xfId="4427"/>
    <cellStyle name="检查单元格 10 2" xfId="4428"/>
    <cellStyle name="检查单元格 10 3" xfId="4429"/>
    <cellStyle name="检查单元格 10 4" xfId="4430"/>
    <cellStyle name="检查单元格 10 5" xfId="4431"/>
    <cellStyle name="检查单元格 11" xfId="4432"/>
    <cellStyle name="检查单元格 11 2" xfId="4433"/>
    <cellStyle name="检查单元格 11 3" xfId="4434"/>
    <cellStyle name="检查单元格 11 4" xfId="4435"/>
    <cellStyle name="检查单元格 11 5" xfId="4436"/>
    <cellStyle name="检查单元格 12" xfId="4437"/>
    <cellStyle name="检查单元格 12 2" xfId="4438"/>
    <cellStyle name="检查单元格 12 3" xfId="4439"/>
    <cellStyle name="检查单元格 12 4" xfId="4440"/>
    <cellStyle name="检查单元格 12 5" xfId="4441"/>
    <cellStyle name="检查单元格 13" xfId="4442"/>
    <cellStyle name="检查单元格 13 2" xfId="4443"/>
    <cellStyle name="检查单元格 13 3" xfId="4444"/>
    <cellStyle name="检查单元格 13 4" xfId="4445"/>
    <cellStyle name="检查单元格 13 5" xfId="4446"/>
    <cellStyle name="检查单元格 14" xfId="4447"/>
    <cellStyle name="检查单元格 14 2" xfId="4448"/>
    <cellStyle name="检查单元格 14 3" xfId="4449"/>
    <cellStyle name="检查单元格 14 4" xfId="4450"/>
    <cellStyle name="检查单元格 14 5" xfId="4451"/>
    <cellStyle name="检查单元格 14 6" xfId="4452"/>
    <cellStyle name="检查单元格 14 7" xfId="4453"/>
    <cellStyle name="检查单元格 15" xfId="4454"/>
    <cellStyle name="检查单元格 15 2" xfId="4455"/>
    <cellStyle name="检查单元格 15 3" xfId="4456"/>
    <cellStyle name="检查单元格 15 4" xfId="4457"/>
    <cellStyle name="检查单元格 15 5" xfId="4458"/>
    <cellStyle name="检查单元格 15 6" xfId="4459"/>
    <cellStyle name="检查单元格 15 7" xfId="4460"/>
    <cellStyle name="检查单元格 16" xfId="4461"/>
    <cellStyle name="检查单元格 16 2" xfId="4462"/>
    <cellStyle name="检查单元格 16 3" xfId="4463"/>
    <cellStyle name="检查单元格 16 4" xfId="4464"/>
    <cellStyle name="检查单元格 16 5" xfId="4465"/>
    <cellStyle name="检查单元格 16 6" xfId="4466"/>
    <cellStyle name="检查单元格 16 7" xfId="4467"/>
    <cellStyle name="检查单元格 17" xfId="4468"/>
    <cellStyle name="检查单元格 17 2" xfId="4469"/>
    <cellStyle name="检查单元格 17 3" xfId="4470"/>
    <cellStyle name="检查单元格 17 4" xfId="4471"/>
    <cellStyle name="检查单元格 17 5" xfId="4472"/>
    <cellStyle name="检查单元格 17 6" xfId="4473"/>
    <cellStyle name="检查单元格 17 7" xfId="4474"/>
    <cellStyle name="检查单元格 17 8" xfId="4475"/>
    <cellStyle name="检查单元格 17 9" xfId="4476"/>
    <cellStyle name="检查单元格 18" xfId="4477"/>
    <cellStyle name="检查单元格 18 2" xfId="4478"/>
    <cellStyle name="检查单元格 18 3" xfId="4479"/>
    <cellStyle name="检查单元格 18 4" xfId="4480"/>
    <cellStyle name="检查单元格 18 5" xfId="4481"/>
    <cellStyle name="检查单元格 19" xfId="4482"/>
    <cellStyle name="检查单元格 19 2" xfId="4483"/>
    <cellStyle name="检查单元格 19 3" xfId="4484"/>
    <cellStyle name="检查单元格 19 4" xfId="4485"/>
    <cellStyle name="检查单元格 19 5" xfId="4486"/>
    <cellStyle name="检查单元格 2 10" xfId="4487"/>
    <cellStyle name="检查单元格 2 10 2" xfId="4488"/>
    <cellStyle name="检查单元格 2 10 3" xfId="4489"/>
    <cellStyle name="检查单元格 2 10 4" xfId="4490"/>
    <cellStyle name="检查单元格 2 10 5" xfId="4491"/>
    <cellStyle name="检查单元格 2 11" xfId="4492"/>
    <cellStyle name="检查单元格 2 11 2" xfId="4493"/>
    <cellStyle name="检查单元格 2 11 3" xfId="4494"/>
    <cellStyle name="检查单元格 2 11 4" xfId="4495"/>
    <cellStyle name="检查单元格 2 11 5" xfId="4496"/>
    <cellStyle name="检查单元格 2 12" xfId="4497"/>
    <cellStyle name="检查单元格 2 12 2" xfId="4498"/>
    <cellStyle name="检查单元格 2 12 3" xfId="4499"/>
    <cellStyle name="检查单元格 2 12 4" xfId="4500"/>
    <cellStyle name="检查单元格 2 12 5" xfId="4501"/>
    <cellStyle name="检查单元格 2 13" xfId="4502"/>
    <cellStyle name="检查单元格 2 14" xfId="4503"/>
    <cellStyle name="检查单元格 2 15" xfId="4504"/>
    <cellStyle name="检查单元格 2 16" xfId="4505"/>
    <cellStyle name="检查单元格 2 17" xfId="4506"/>
    <cellStyle name="检查单元格 2 18" xfId="4507"/>
    <cellStyle name="检查单元格 2 19" xfId="4508"/>
    <cellStyle name="检查单元格 2 2" xfId="4509"/>
    <cellStyle name="检查单元格 2 2 10" xfId="4510"/>
    <cellStyle name="检查单元格 2 2 2" xfId="4511"/>
    <cellStyle name="检查单元格 2 2 3" xfId="4512"/>
    <cellStyle name="检查单元格 2 2 4" xfId="4513"/>
    <cellStyle name="检查单元格 2 2 5" xfId="4514"/>
    <cellStyle name="检查单元格 2 2 6" xfId="4515"/>
    <cellStyle name="检查单元格 2 2 7" xfId="4516"/>
    <cellStyle name="检查单元格 2 2 8" xfId="4517"/>
    <cellStyle name="检查单元格 2 2 9" xfId="4518"/>
    <cellStyle name="检查单元格 2 20" xfId="4519"/>
    <cellStyle name="检查单元格 2 21" xfId="4520"/>
    <cellStyle name="检查单元格 2 22" xfId="4521"/>
    <cellStyle name="检查单元格 2 23" xfId="4522"/>
    <cellStyle name="检查单元格 2 24" xfId="4523"/>
    <cellStyle name="检查单元格 2 25" xfId="4524"/>
    <cellStyle name="检查单元格 2 26" xfId="4525"/>
    <cellStyle name="检查单元格 2 3" xfId="4526"/>
    <cellStyle name="检查单元格 2 3 10" xfId="4527"/>
    <cellStyle name="检查单元格 2 3 2" xfId="4528"/>
    <cellStyle name="检查单元格 2 3 3" xfId="4529"/>
    <cellStyle name="检查单元格 2 3 4" xfId="4530"/>
    <cellStyle name="检查单元格 2 3 5" xfId="4531"/>
    <cellStyle name="检查单元格 2 3 6" xfId="4532"/>
    <cellStyle name="检查单元格 2 3 7" xfId="4533"/>
    <cellStyle name="检查单元格 2 3 8" xfId="4534"/>
    <cellStyle name="检查单元格 2 3 9" xfId="4535"/>
    <cellStyle name="检查单元格 2 4" xfId="4536"/>
    <cellStyle name="检查单元格 2 4 10" xfId="4537"/>
    <cellStyle name="检查单元格 2 4 2" xfId="4538"/>
    <cellStyle name="检查单元格 2 4 3" xfId="4539"/>
    <cellStyle name="检查单元格 2 4 4" xfId="4540"/>
    <cellStyle name="检查单元格 2 4 5" xfId="4541"/>
    <cellStyle name="检查单元格 2 4 6" xfId="4542"/>
    <cellStyle name="检查单元格 2 4 7" xfId="4543"/>
    <cellStyle name="检查单元格 2 4 8" xfId="4544"/>
    <cellStyle name="检查单元格 2 4 9" xfId="4545"/>
    <cellStyle name="检查单元格 2 5" xfId="4546"/>
    <cellStyle name="检查单元格 2 5 10" xfId="4547"/>
    <cellStyle name="检查单元格 2 5 2" xfId="4548"/>
    <cellStyle name="检查单元格 2 5 3" xfId="4549"/>
    <cellStyle name="检查单元格 2 5 4" xfId="4550"/>
    <cellStyle name="检查单元格 2 5 5" xfId="4551"/>
    <cellStyle name="检查单元格 2 5 6" xfId="4552"/>
    <cellStyle name="检查单元格 2 5 7" xfId="4553"/>
    <cellStyle name="检查单元格 2 5 8" xfId="4554"/>
    <cellStyle name="检查单元格 2 5 9" xfId="4555"/>
    <cellStyle name="检查单元格 2 6" xfId="4556"/>
    <cellStyle name="检查单元格 2 6 10" xfId="4557"/>
    <cellStyle name="检查单元格 2 6 2" xfId="4558"/>
    <cellStyle name="检查单元格 2 6 3" xfId="4559"/>
    <cellStyle name="检查单元格 2 6 4" xfId="4560"/>
    <cellStyle name="检查单元格 2 6 5" xfId="4561"/>
    <cellStyle name="检查单元格 2 6 6" xfId="4562"/>
    <cellStyle name="检查单元格 2 6 7" xfId="4563"/>
    <cellStyle name="检查单元格 2 6 8" xfId="4564"/>
    <cellStyle name="检查单元格 2 6 9" xfId="4565"/>
    <cellStyle name="检查单元格 2 7" xfId="4566"/>
    <cellStyle name="检查单元格 2 7 10" xfId="4567"/>
    <cellStyle name="检查单元格 2 7 2" xfId="4568"/>
    <cellStyle name="检查单元格 2 7 3" xfId="4569"/>
    <cellStyle name="检查单元格 2 7 4" xfId="4570"/>
    <cellStyle name="检查单元格 2 7 5" xfId="4571"/>
    <cellStyle name="检查单元格 2 7 6" xfId="4572"/>
    <cellStyle name="检查单元格 2 7 7" xfId="4573"/>
    <cellStyle name="检查单元格 2 7 8" xfId="4574"/>
    <cellStyle name="检查单元格 2 7 9" xfId="4575"/>
    <cellStyle name="检查单元格 2 8" xfId="4576"/>
    <cellStyle name="检查单元格 2 8 2" xfId="4577"/>
    <cellStyle name="检查单元格 2 8 3" xfId="4578"/>
    <cellStyle name="检查单元格 2 8 4" xfId="4579"/>
    <cellStyle name="检查单元格 2 8 5" xfId="4580"/>
    <cellStyle name="检查单元格 2 9" xfId="4581"/>
    <cellStyle name="检查单元格 2 9 2" xfId="4582"/>
    <cellStyle name="检查单元格 2 9 3" xfId="4583"/>
    <cellStyle name="检查单元格 2 9 4" xfId="4584"/>
    <cellStyle name="检查单元格 2 9 5" xfId="4585"/>
    <cellStyle name="检查单元格 20" xfId="4586"/>
    <cellStyle name="检查单元格 20 2" xfId="4587"/>
    <cellStyle name="检查单元格 20 3" xfId="4588"/>
    <cellStyle name="检查单元格 21" xfId="4589"/>
    <cellStyle name="检查单元格 21 2" xfId="4590"/>
    <cellStyle name="检查单元格 21 3" xfId="4591"/>
    <cellStyle name="检查单元格 22" xfId="4592"/>
    <cellStyle name="检查单元格 22 2" xfId="4593"/>
    <cellStyle name="检查单元格 22 3" xfId="4594"/>
    <cellStyle name="检查单元格 23" xfId="4595"/>
    <cellStyle name="检查单元格 23 2" xfId="4596"/>
    <cellStyle name="检查单元格 23 3" xfId="4597"/>
    <cellStyle name="检查单元格 24" xfId="4598"/>
    <cellStyle name="检查单元格 24 2" xfId="4599"/>
    <cellStyle name="检查单元格 25" xfId="4600"/>
    <cellStyle name="检查单元格 25 2" xfId="4601"/>
    <cellStyle name="检查单元格 3" xfId="4602"/>
    <cellStyle name="检查单元格 3 10" xfId="4603"/>
    <cellStyle name="检查单元格 3 2" xfId="4604"/>
    <cellStyle name="检查单元格 3 3" xfId="4605"/>
    <cellStyle name="检查单元格 3 4" xfId="4606"/>
    <cellStyle name="检查单元格 3 5" xfId="4607"/>
    <cellStyle name="检查单元格 3 6" xfId="4608"/>
    <cellStyle name="检查单元格 3 7" xfId="4609"/>
    <cellStyle name="检查单元格 3 8" xfId="4610"/>
    <cellStyle name="检查单元格 3 9" xfId="4611"/>
    <cellStyle name="检查单元格 4" xfId="4612"/>
    <cellStyle name="检查单元格 4 10" xfId="4613"/>
    <cellStyle name="检查单元格 4 2" xfId="4614"/>
    <cellStyle name="检查单元格 4 3" xfId="4615"/>
    <cellStyle name="检查单元格 4 4" xfId="4616"/>
    <cellStyle name="检查单元格 4 5" xfId="4617"/>
    <cellStyle name="检查单元格 4 6" xfId="4618"/>
    <cellStyle name="检查单元格 4 7" xfId="4619"/>
    <cellStyle name="检查单元格 4 8" xfId="4620"/>
    <cellStyle name="检查单元格 4 9" xfId="4621"/>
    <cellStyle name="检查单元格 5" xfId="4622"/>
    <cellStyle name="检查单元格 5 10" xfId="4623"/>
    <cellStyle name="检查单元格 5 2" xfId="4624"/>
    <cellStyle name="检查单元格 5 3" xfId="4625"/>
    <cellStyle name="检查单元格 5 4" xfId="4626"/>
    <cellStyle name="检查单元格 5 5" xfId="4627"/>
    <cellStyle name="检查单元格 5 6" xfId="4628"/>
    <cellStyle name="检查单元格 5 7" xfId="4629"/>
    <cellStyle name="检查单元格 5 8" xfId="4630"/>
    <cellStyle name="检查单元格 5 9" xfId="4631"/>
    <cellStyle name="检查单元格 6" xfId="4632"/>
    <cellStyle name="检查单元格 6 10" xfId="4633"/>
    <cellStyle name="检查单元格 6 2" xfId="4634"/>
    <cellStyle name="检查单元格 6 3" xfId="4635"/>
    <cellStyle name="检查单元格 6 4" xfId="4636"/>
    <cellStyle name="检查单元格 6 5" xfId="4637"/>
    <cellStyle name="检查单元格 6 6" xfId="4638"/>
    <cellStyle name="检查单元格 6 7" xfId="4639"/>
    <cellStyle name="检查单元格 6 8" xfId="4640"/>
    <cellStyle name="检查单元格 6 9" xfId="4641"/>
    <cellStyle name="检查单元格 7" xfId="4642"/>
    <cellStyle name="检查单元格 7 10" xfId="4643"/>
    <cellStyle name="检查单元格 7 2" xfId="4644"/>
    <cellStyle name="检查单元格 7 3" xfId="4645"/>
    <cellStyle name="检查单元格 7 4" xfId="4646"/>
    <cellStyle name="检查单元格 7 5" xfId="4647"/>
    <cellStyle name="检查单元格 7 6" xfId="4648"/>
    <cellStyle name="检查单元格 7 7" xfId="4649"/>
    <cellStyle name="检查单元格 7 8" xfId="4650"/>
    <cellStyle name="检查单元格 7 9" xfId="4651"/>
    <cellStyle name="检查单元格 8" xfId="4652"/>
    <cellStyle name="检查单元格 8 10" xfId="4653"/>
    <cellStyle name="检查单元格 8 2" xfId="4654"/>
    <cellStyle name="检查单元格 8 3" xfId="4655"/>
    <cellStyle name="检查单元格 8 4" xfId="4656"/>
    <cellStyle name="检查单元格 8 5" xfId="4657"/>
    <cellStyle name="检查单元格 8 6" xfId="4658"/>
    <cellStyle name="检查单元格 8 7" xfId="4659"/>
    <cellStyle name="检查单元格 8 8" xfId="4660"/>
    <cellStyle name="检查单元格 8 9" xfId="4661"/>
    <cellStyle name="检查单元格 9" xfId="4662"/>
    <cellStyle name="检查单元格 9 10" xfId="4663"/>
    <cellStyle name="检查单元格 9 2" xfId="4664"/>
    <cellStyle name="检查单元格 9 3" xfId="4665"/>
    <cellStyle name="检查单元格 9 4" xfId="4666"/>
    <cellStyle name="检查单元格 9 5" xfId="4667"/>
    <cellStyle name="检查单元格 9 6" xfId="4668"/>
    <cellStyle name="检查单元格 9 7" xfId="4669"/>
    <cellStyle name="检查单元格 9 8" xfId="4670"/>
    <cellStyle name="检查单元格 9 9" xfId="4671"/>
    <cellStyle name="解释性文本 10" xfId="4672"/>
    <cellStyle name="解释性文本 10 2" xfId="4673"/>
    <cellStyle name="解释性文本 10 3" xfId="4674"/>
    <cellStyle name="解释性文本 10 4" xfId="4675"/>
    <cellStyle name="解释性文本 10 5" xfId="4676"/>
    <cellStyle name="解释性文本 11" xfId="4677"/>
    <cellStyle name="解释性文本 11 2" xfId="4678"/>
    <cellStyle name="解释性文本 11 3" xfId="4679"/>
    <cellStyle name="解释性文本 11 4" xfId="4680"/>
    <cellStyle name="解释性文本 11 5" xfId="4681"/>
    <cellStyle name="解释性文本 12" xfId="4682"/>
    <cellStyle name="解释性文本 12 2" xfId="4683"/>
    <cellStyle name="解释性文本 12 3" xfId="4684"/>
    <cellStyle name="解释性文本 12 4" xfId="4685"/>
    <cellStyle name="解释性文本 12 5" xfId="4686"/>
    <cellStyle name="解释性文本 13" xfId="4687"/>
    <cellStyle name="解释性文本 13 2" xfId="4688"/>
    <cellStyle name="解释性文本 13 3" xfId="4689"/>
    <cellStyle name="解释性文本 13 4" xfId="4690"/>
    <cellStyle name="解释性文本 13 5" xfId="4691"/>
    <cellStyle name="解释性文本 14" xfId="4692"/>
    <cellStyle name="解释性文本 14 2" xfId="4693"/>
    <cellStyle name="解释性文本 14 3" xfId="4694"/>
    <cellStyle name="解释性文本 14 4" xfId="4695"/>
    <cellStyle name="解释性文本 14 5" xfId="4696"/>
    <cellStyle name="解释性文本 14 6" xfId="4697"/>
    <cellStyle name="解释性文本 14 7" xfId="4698"/>
    <cellStyle name="解释性文本 15" xfId="4699"/>
    <cellStyle name="解释性文本 15 2" xfId="4700"/>
    <cellStyle name="解释性文本 15 3" xfId="4701"/>
    <cellStyle name="解释性文本 15 4" xfId="4702"/>
    <cellStyle name="解释性文本 15 5" xfId="4703"/>
    <cellStyle name="解释性文本 15 6" xfId="4704"/>
    <cellStyle name="解释性文本 15 7" xfId="4705"/>
    <cellStyle name="解释性文本 16" xfId="4706"/>
    <cellStyle name="解释性文本 16 2" xfId="4707"/>
    <cellStyle name="解释性文本 16 3" xfId="4708"/>
    <cellStyle name="解释性文本 16 4" xfId="4709"/>
    <cellStyle name="解释性文本 16 5" xfId="4710"/>
    <cellStyle name="解释性文本 16 6" xfId="4711"/>
    <cellStyle name="解释性文本 16 7" xfId="4712"/>
    <cellStyle name="解释性文本 17" xfId="4713"/>
    <cellStyle name="解释性文本 17 2" xfId="4714"/>
    <cellStyle name="解释性文本 17 3" xfId="4715"/>
    <cellStyle name="解释性文本 17 4" xfId="4716"/>
    <cellStyle name="解释性文本 17 5" xfId="4717"/>
    <cellStyle name="解释性文本 17 6" xfId="4718"/>
    <cellStyle name="解释性文本 17 7" xfId="4719"/>
    <cellStyle name="解释性文本 17 8" xfId="4720"/>
    <cellStyle name="解释性文本 17 9" xfId="4721"/>
    <cellStyle name="解释性文本 18" xfId="4722"/>
    <cellStyle name="解释性文本 18 2" xfId="4723"/>
    <cellStyle name="解释性文本 18 3" xfId="4724"/>
    <cellStyle name="解释性文本 18 4" xfId="4725"/>
    <cellStyle name="解释性文本 18 5" xfId="4726"/>
    <cellStyle name="解释性文本 19" xfId="4727"/>
    <cellStyle name="解释性文本 19 2" xfId="4728"/>
    <cellStyle name="解释性文本 19 3" xfId="4729"/>
    <cellStyle name="解释性文本 19 4" xfId="4730"/>
    <cellStyle name="解释性文本 19 5" xfId="4731"/>
    <cellStyle name="解释性文本 2 10" xfId="4732"/>
    <cellStyle name="解释性文本 2 10 2" xfId="4733"/>
    <cellStyle name="解释性文本 2 10 3" xfId="4734"/>
    <cellStyle name="解释性文本 2 10 4" xfId="4735"/>
    <cellStyle name="解释性文本 2 10 5" xfId="4736"/>
    <cellStyle name="解释性文本 2 11" xfId="4737"/>
    <cellStyle name="解释性文本 2 11 2" xfId="4738"/>
    <cellStyle name="解释性文本 2 11 3" xfId="4739"/>
    <cellStyle name="解释性文本 2 11 4" xfId="4740"/>
    <cellStyle name="解释性文本 2 11 5" xfId="4741"/>
    <cellStyle name="解释性文本 2 12" xfId="4742"/>
    <cellStyle name="解释性文本 2 12 2" xfId="4743"/>
    <cellStyle name="解释性文本 2 12 3" xfId="4744"/>
    <cellStyle name="解释性文本 2 12 4" xfId="4745"/>
    <cellStyle name="解释性文本 2 12 5" xfId="4746"/>
    <cellStyle name="解释性文本 2 13" xfId="4747"/>
    <cellStyle name="解释性文本 2 14" xfId="4748"/>
    <cellStyle name="解释性文本 2 15" xfId="4749"/>
    <cellStyle name="解释性文本 2 16" xfId="4750"/>
    <cellStyle name="解释性文本 2 17" xfId="4751"/>
    <cellStyle name="解释性文本 2 18" xfId="4752"/>
    <cellStyle name="解释性文本 2 19" xfId="4753"/>
    <cellStyle name="解释性文本 2 2" xfId="4754"/>
    <cellStyle name="解释性文本 2 2 10" xfId="4755"/>
    <cellStyle name="解释性文本 2 2 2" xfId="4756"/>
    <cellStyle name="解释性文本 2 2 3" xfId="4757"/>
    <cellStyle name="解释性文本 2 2 4" xfId="4758"/>
    <cellStyle name="解释性文本 2 2 5" xfId="4759"/>
    <cellStyle name="解释性文本 2 2 6" xfId="4760"/>
    <cellStyle name="解释性文本 2 2 7" xfId="4761"/>
    <cellStyle name="解释性文本 2 2 8" xfId="4762"/>
    <cellStyle name="解释性文本 2 2 9" xfId="4763"/>
    <cellStyle name="解释性文本 2 20" xfId="4764"/>
    <cellStyle name="解释性文本 2 21" xfId="4765"/>
    <cellStyle name="解释性文本 2 22" xfId="4766"/>
    <cellStyle name="解释性文本 2 23" xfId="4767"/>
    <cellStyle name="解释性文本 2 24" xfId="4768"/>
    <cellStyle name="解释性文本 2 25" xfId="4769"/>
    <cellStyle name="解释性文本 2 26" xfId="4770"/>
    <cellStyle name="解释性文本 2 3" xfId="4771"/>
    <cellStyle name="解释性文本 2 3 10" xfId="4772"/>
    <cellStyle name="解释性文本 2 3 2" xfId="4773"/>
    <cellStyle name="解释性文本 2 3 3" xfId="4774"/>
    <cellStyle name="解释性文本 2 3 4" xfId="4775"/>
    <cellStyle name="解释性文本 2 3 5" xfId="4776"/>
    <cellStyle name="解释性文本 2 3 6" xfId="4777"/>
    <cellStyle name="解释性文本 2 3 7" xfId="4778"/>
    <cellStyle name="解释性文本 2 3 8" xfId="4779"/>
    <cellStyle name="解释性文本 2 3 9" xfId="4780"/>
    <cellStyle name="解释性文本 2 4" xfId="4781"/>
    <cellStyle name="解释性文本 2 4 10" xfId="4782"/>
    <cellStyle name="解释性文本 2 4 2" xfId="4783"/>
    <cellStyle name="解释性文本 2 4 3" xfId="4784"/>
    <cellStyle name="解释性文本 2 4 4" xfId="4785"/>
    <cellStyle name="解释性文本 2 4 5" xfId="4786"/>
    <cellStyle name="解释性文本 2 4 6" xfId="4787"/>
    <cellStyle name="解释性文本 2 4 7" xfId="4788"/>
    <cellStyle name="解释性文本 2 4 8" xfId="4789"/>
    <cellStyle name="解释性文本 2 4 9" xfId="4790"/>
    <cellStyle name="解释性文本 2 5" xfId="4791"/>
    <cellStyle name="解释性文本 2 5 10" xfId="4792"/>
    <cellStyle name="解释性文本 2 5 2" xfId="4793"/>
    <cellStyle name="解释性文本 2 5 3" xfId="4794"/>
    <cellStyle name="解释性文本 2 5 4" xfId="4795"/>
    <cellStyle name="解释性文本 2 5 5" xfId="4796"/>
    <cellStyle name="解释性文本 2 5 6" xfId="4797"/>
    <cellStyle name="解释性文本 2 5 7" xfId="4798"/>
    <cellStyle name="解释性文本 2 5 8" xfId="4799"/>
    <cellStyle name="解释性文本 2 5 9" xfId="4800"/>
    <cellStyle name="解释性文本 2 6" xfId="4801"/>
    <cellStyle name="解释性文本 2 6 10" xfId="4802"/>
    <cellStyle name="解释性文本 2 6 2" xfId="4803"/>
    <cellStyle name="解释性文本 2 6 3" xfId="4804"/>
    <cellStyle name="解释性文本 2 6 4" xfId="4805"/>
    <cellStyle name="解释性文本 2 6 5" xfId="4806"/>
    <cellStyle name="解释性文本 2 6 6" xfId="4807"/>
    <cellStyle name="解释性文本 2 6 7" xfId="4808"/>
    <cellStyle name="解释性文本 2 6 8" xfId="4809"/>
    <cellStyle name="解释性文本 2 6 9" xfId="4810"/>
    <cellStyle name="解释性文本 2 7" xfId="4811"/>
    <cellStyle name="解释性文本 2 7 10" xfId="4812"/>
    <cellStyle name="解释性文本 2 7 2" xfId="4813"/>
    <cellStyle name="解释性文本 2 7 3" xfId="4814"/>
    <cellStyle name="解释性文本 2 7 4" xfId="4815"/>
    <cellStyle name="解释性文本 2 7 5" xfId="4816"/>
    <cellStyle name="解释性文本 2 7 6" xfId="4817"/>
    <cellStyle name="解释性文本 2 7 7" xfId="4818"/>
    <cellStyle name="解释性文本 2 7 8" xfId="4819"/>
    <cellStyle name="解释性文本 2 7 9" xfId="4820"/>
    <cellStyle name="解释性文本 2 8" xfId="4821"/>
    <cellStyle name="解释性文本 2 8 2" xfId="4822"/>
    <cellStyle name="解释性文本 2 8 3" xfId="4823"/>
    <cellStyle name="解释性文本 2 8 4" xfId="4824"/>
    <cellStyle name="解释性文本 2 8 5" xfId="4825"/>
    <cellStyle name="解释性文本 2 9" xfId="4826"/>
    <cellStyle name="解释性文本 2 9 2" xfId="4827"/>
    <cellStyle name="解释性文本 2 9 3" xfId="4828"/>
    <cellStyle name="解释性文本 2 9 4" xfId="4829"/>
    <cellStyle name="解释性文本 2 9 5" xfId="4830"/>
    <cellStyle name="解释性文本 20" xfId="4831"/>
    <cellStyle name="解释性文本 20 2" xfId="4832"/>
    <cellStyle name="解释性文本 20 3" xfId="4833"/>
    <cellStyle name="解释性文本 21" xfId="4834"/>
    <cellStyle name="解释性文本 21 2" xfId="4835"/>
    <cellStyle name="解释性文本 21 3" xfId="4836"/>
    <cellStyle name="解释性文本 22" xfId="4837"/>
    <cellStyle name="解释性文本 22 2" xfId="4838"/>
    <cellStyle name="解释性文本 22 3" xfId="4839"/>
    <cellStyle name="解释性文本 23" xfId="4840"/>
    <cellStyle name="解释性文本 23 2" xfId="4841"/>
    <cellStyle name="解释性文本 23 3" xfId="4842"/>
    <cellStyle name="解释性文本 24" xfId="4843"/>
    <cellStyle name="解释性文本 24 2" xfId="4844"/>
    <cellStyle name="解释性文本 25" xfId="4845"/>
    <cellStyle name="解释性文本 25 2" xfId="4846"/>
    <cellStyle name="解释性文本 3" xfId="4847"/>
    <cellStyle name="解释性文本 3 10" xfId="4848"/>
    <cellStyle name="解释性文本 3 2" xfId="4849"/>
    <cellStyle name="解释性文本 3 3" xfId="4850"/>
    <cellStyle name="解释性文本 3 4" xfId="4851"/>
    <cellStyle name="解释性文本 3 5" xfId="4852"/>
    <cellStyle name="解释性文本 3 6" xfId="4853"/>
    <cellStyle name="解释性文本 3 7" xfId="4854"/>
    <cellStyle name="解释性文本 3 8" xfId="4855"/>
    <cellStyle name="解释性文本 3 9" xfId="4856"/>
    <cellStyle name="解释性文本 4" xfId="4857"/>
    <cellStyle name="解释性文本 4 10" xfId="4858"/>
    <cellStyle name="解释性文本 4 2" xfId="4859"/>
    <cellStyle name="解释性文本 4 3" xfId="4860"/>
    <cellStyle name="解释性文本 4 4" xfId="4861"/>
    <cellStyle name="解释性文本 4 5" xfId="4862"/>
    <cellStyle name="解释性文本 4 6" xfId="4863"/>
    <cellStyle name="解释性文本 4 7" xfId="4864"/>
    <cellStyle name="解释性文本 4 8" xfId="4865"/>
    <cellStyle name="解释性文本 4 9" xfId="4866"/>
    <cellStyle name="解释性文本 5" xfId="4867"/>
    <cellStyle name="解释性文本 5 10" xfId="4868"/>
    <cellStyle name="解释性文本 5 2" xfId="4869"/>
    <cellStyle name="解释性文本 5 3" xfId="4870"/>
    <cellStyle name="解释性文本 5 4" xfId="4871"/>
    <cellStyle name="解释性文本 5 5" xfId="4872"/>
    <cellStyle name="解释性文本 5 6" xfId="4873"/>
    <cellStyle name="解释性文本 5 7" xfId="4874"/>
    <cellStyle name="解释性文本 5 8" xfId="4875"/>
    <cellStyle name="解释性文本 5 9" xfId="4876"/>
    <cellStyle name="解释性文本 6" xfId="4877"/>
    <cellStyle name="解释性文本 6 10" xfId="4878"/>
    <cellStyle name="解释性文本 6 2" xfId="4879"/>
    <cellStyle name="解释性文本 6 3" xfId="4880"/>
    <cellStyle name="解释性文本 6 4" xfId="4881"/>
    <cellStyle name="解释性文本 6 5" xfId="4882"/>
    <cellStyle name="解释性文本 6 6" xfId="4883"/>
    <cellStyle name="解释性文本 6 7" xfId="4884"/>
    <cellStyle name="解释性文本 6 8" xfId="4885"/>
    <cellStyle name="解释性文本 6 9" xfId="4886"/>
    <cellStyle name="解释性文本 7" xfId="4887"/>
    <cellStyle name="解释性文本 7 10" xfId="4888"/>
    <cellStyle name="解释性文本 7 2" xfId="4889"/>
    <cellStyle name="解释性文本 7 3" xfId="4890"/>
    <cellStyle name="解释性文本 7 4" xfId="4891"/>
    <cellStyle name="解释性文本 7 5" xfId="4892"/>
    <cellStyle name="解释性文本 7 6" xfId="4893"/>
    <cellStyle name="解释性文本 7 7" xfId="4894"/>
    <cellStyle name="解释性文本 7 8" xfId="4895"/>
    <cellStyle name="解释性文本 7 9" xfId="4896"/>
    <cellStyle name="解释性文本 8" xfId="4897"/>
    <cellStyle name="解释性文本 8 10" xfId="4898"/>
    <cellStyle name="解释性文本 8 2" xfId="4899"/>
    <cellStyle name="解释性文本 8 3" xfId="4900"/>
    <cellStyle name="解释性文本 8 4" xfId="4901"/>
    <cellStyle name="解释性文本 8 5" xfId="4902"/>
    <cellStyle name="解释性文本 8 6" xfId="4903"/>
    <cellStyle name="解释性文本 8 7" xfId="4904"/>
    <cellStyle name="解释性文本 8 8" xfId="4905"/>
    <cellStyle name="解释性文本 8 9" xfId="4906"/>
    <cellStyle name="解释性文本 9" xfId="4907"/>
    <cellStyle name="解释性文本 9 10" xfId="4908"/>
    <cellStyle name="解释性文本 9 2" xfId="4909"/>
    <cellStyle name="解释性文本 9 3" xfId="4910"/>
    <cellStyle name="解释性文本 9 4" xfId="4911"/>
    <cellStyle name="解释性文本 9 5" xfId="4912"/>
    <cellStyle name="解释性文本 9 6" xfId="4913"/>
    <cellStyle name="解释性文本 9 7" xfId="4914"/>
    <cellStyle name="解释性文本 9 8" xfId="4915"/>
    <cellStyle name="解释性文本 9 9" xfId="4916"/>
    <cellStyle name="警告文本 10" xfId="4917"/>
    <cellStyle name="警告文本 10 2" xfId="4918"/>
    <cellStyle name="警告文本 10 3" xfId="4919"/>
    <cellStyle name="警告文本 10 4" xfId="4920"/>
    <cellStyle name="警告文本 10 5" xfId="4921"/>
    <cellStyle name="警告文本 11" xfId="4922"/>
    <cellStyle name="警告文本 11 2" xfId="4923"/>
    <cellStyle name="警告文本 11 3" xfId="4924"/>
    <cellStyle name="警告文本 11 4" xfId="4925"/>
    <cellStyle name="警告文本 11 5" xfId="4926"/>
    <cellStyle name="警告文本 12" xfId="4927"/>
    <cellStyle name="警告文本 12 2" xfId="4928"/>
    <cellStyle name="警告文本 12 3" xfId="4929"/>
    <cellStyle name="警告文本 12 4" xfId="4930"/>
    <cellStyle name="警告文本 12 5" xfId="4931"/>
    <cellStyle name="警告文本 13" xfId="4932"/>
    <cellStyle name="警告文本 13 2" xfId="4933"/>
    <cellStyle name="警告文本 13 3" xfId="4934"/>
    <cellStyle name="警告文本 13 4" xfId="4935"/>
    <cellStyle name="警告文本 13 5" xfId="4936"/>
    <cellStyle name="警告文本 14" xfId="4937"/>
    <cellStyle name="警告文本 14 2" xfId="4938"/>
    <cellStyle name="警告文本 14 3" xfId="4939"/>
    <cellStyle name="警告文本 14 4" xfId="4940"/>
    <cellStyle name="警告文本 14 5" xfId="4941"/>
    <cellStyle name="警告文本 14 6" xfId="4942"/>
    <cellStyle name="警告文本 14 7" xfId="4943"/>
    <cellStyle name="警告文本 15" xfId="4944"/>
    <cellStyle name="警告文本 15 2" xfId="4945"/>
    <cellStyle name="警告文本 15 3" xfId="4946"/>
    <cellStyle name="警告文本 15 4" xfId="4947"/>
    <cellStyle name="警告文本 15 5" xfId="4948"/>
    <cellStyle name="警告文本 15 6" xfId="4949"/>
    <cellStyle name="警告文本 15 7" xfId="4950"/>
    <cellStyle name="警告文本 16" xfId="4951"/>
    <cellStyle name="警告文本 16 2" xfId="4952"/>
    <cellStyle name="警告文本 16 3" xfId="4953"/>
    <cellStyle name="警告文本 16 4" xfId="4954"/>
    <cellStyle name="警告文本 16 5" xfId="4955"/>
    <cellStyle name="警告文本 16 6" xfId="4956"/>
    <cellStyle name="警告文本 16 7" xfId="4957"/>
    <cellStyle name="警告文本 17" xfId="4958"/>
    <cellStyle name="警告文本 17 2" xfId="4959"/>
    <cellStyle name="警告文本 17 3" xfId="4960"/>
    <cellStyle name="警告文本 17 4" xfId="4961"/>
    <cellStyle name="警告文本 17 5" xfId="4962"/>
    <cellStyle name="警告文本 17 6" xfId="4963"/>
    <cellStyle name="警告文本 17 7" xfId="4964"/>
    <cellStyle name="警告文本 17 8" xfId="4965"/>
    <cellStyle name="警告文本 17 9" xfId="4966"/>
    <cellStyle name="警告文本 18" xfId="4967"/>
    <cellStyle name="警告文本 18 2" xfId="4968"/>
    <cellStyle name="警告文本 18 3" xfId="4969"/>
    <cellStyle name="警告文本 18 4" xfId="4970"/>
    <cellStyle name="警告文本 18 5" xfId="4971"/>
    <cellStyle name="警告文本 19" xfId="4972"/>
    <cellStyle name="警告文本 19 2" xfId="4973"/>
    <cellStyle name="警告文本 19 3" xfId="4974"/>
    <cellStyle name="警告文本 19 4" xfId="4975"/>
    <cellStyle name="警告文本 19 5" xfId="4976"/>
    <cellStyle name="警告文本 2 10" xfId="4977"/>
    <cellStyle name="警告文本 2 10 2" xfId="4978"/>
    <cellStyle name="警告文本 2 10 3" xfId="4979"/>
    <cellStyle name="警告文本 2 10 4" xfId="4980"/>
    <cellStyle name="警告文本 2 10 5" xfId="4981"/>
    <cellStyle name="警告文本 2 11" xfId="4982"/>
    <cellStyle name="警告文本 2 11 2" xfId="4983"/>
    <cellStyle name="警告文本 2 11 3" xfId="4984"/>
    <cellStyle name="警告文本 2 11 4" xfId="4985"/>
    <cellStyle name="警告文本 2 11 5" xfId="4986"/>
    <cellStyle name="警告文本 2 12" xfId="4987"/>
    <cellStyle name="警告文本 2 12 2" xfId="4988"/>
    <cellStyle name="警告文本 2 12 3" xfId="4989"/>
    <cellStyle name="警告文本 2 12 4" xfId="4990"/>
    <cellStyle name="警告文本 2 12 5" xfId="4991"/>
    <cellStyle name="警告文本 2 13" xfId="4992"/>
    <cellStyle name="警告文本 2 14" xfId="4993"/>
    <cellStyle name="警告文本 2 15" xfId="4994"/>
    <cellStyle name="警告文本 2 16" xfId="4995"/>
    <cellStyle name="警告文本 2 17" xfId="4996"/>
    <cellStyle name="警告文本 2 18" xfId="4997"/>
    <cellStyle name="警告文本 2 19" xfId="4998"/>
    <cellStyle name="警告文本 2 2" xfId="4999"/>
    <cellStyle name="警告文本 2 2 10" xfId="5000"/>
    <cellStyle name="警告文本 2 2 2" xfId="5001"/>
    <cellStyle name="警告文本 2 2 3" xfId="5002"/>
    <cellStyle name="警告文本 2 2 4" xfId="5003"/>
    <cellStyle name="警告文本 2 2 5" xfId="5004"/>
    <cellStyle name="警告文本 2 2 6" xfId="5005"/>
    <cellStyle name="警告文本 2 2 7" xfId="5006"/>
    <cellStyle name="警告文本 2 2 8" xfId="5007"/>
    <cellStyle name="警告文本 2 2 9" xfId="5008"/>
    <cellStyle name="警告文本 2 20" xfId="5009"/>
    <cellStyle name="警告文本 2 21" xfId="5010"/>
    <cellStyle name="警告文本 2 22" xfId="5011"/>
    <cellStyle name="警告文本 2 23" xfId="5012"/>
    <cellStyle name="警告文本 2 24" xfId="5013"/>
    <cellStyle name="警告文本 2 25" xfId="5014"/>
    <cellStyle name="警告文本 2 26" xfId="5015"/>
    <cellStyle name="警告文本 2 3" xfId="5016"/>
    <cellStyle name="警告文本 2 3 10" xfId="5017"/>
    <cellStyle name="警告文本 2 3 2" xfId="5018"/>
    <cellStyle name="警告文本 2 3 3" xfId="5019"/>
    <cellStyle name="警告文本 2 3 4" xfId="5020"/>
    <cellStyle name="警告文本 2 3 5" xfId="5021"/>
    <cellStyle name="警告文本 2 3 6" xfId="5022"/>
    <cellStyle name="警告文本 2 3 7" xfId="5023"/>
    <cellStyle name="警告文本 2 3 8" xfId="5024"/>
    <cellStyle name="警告文本 2 3 9" xfId="5025"/>
    <cellStyle name="警告文本 2 4" xfId="5026"/>
    <cellStyle name="警告文本 2 4 10" xfId="5027"/>
    <cellStyle name="警告文本 2 4 2" xfId="5028"/>
    <cellStyle name="警告文本 2 4 3" xfId="5029"/>
    <cellStyle name="警告文本 2 4 4" xfId="5030"/>
    <cellStyle name="警告文本 2 4 5" xfId="5031"/>
    <cellStyle name="警告文本 2 4 6" xfId="5032"/>
    <cellStyle name="警告文本 2 4 7" xfId="5033"/>
    <cellStyle name="警告文本 2 4 8" xfId="5034"/>
    <cellStyle name="警告文本 2 4 9" xfId="5035"/>
    <cellStyle name="警告文本 2 5" xfId="5036"/>
    <cellStyle name="警告文本 2 5 10" xfId="5037"/>
    <cellStyle name="警告文本 2 5 2" xfId="5038"/>
    <cellStyle name="警告文本 2 5 3" xfId="5039"/>
    <cellStyle name="警告文本 2 5 4" xfId="5040"/>
    <cellStyle name="警告文本 2 5 5" xfId="5041"/>
    <cellStyle name="警告文本 2 5 6" xfId="5042"/>
    <cellStyle name="警告文本 2 5 7" xfId="5043"/>
    <cellStyle name="警告文本 2 5 8" xfId="5044"/>
    <cellStyle name="警告文本 2 5 9" xfId="5045"/>
    <cellStyle name="警告文本 2 6" xfId="5046"/>
    <cellStyle name="警告文本 2 6 10" xfId="5047"/>
    <cellStyle name="警告文本 2 6 2" xfId="5048"/>
    <cellStyle name="警告文本 2 6 3" xfId="5049"/>
    <cellStyle name="警告文本 2 6 4" xfId="5050"/>
    <cellStyle name="警告文本 2 6 5" xfId="5051"/>
    <cellStyle name="警告文本 2 6 6" xfId="5052"/>
    <cellStyle name="警告文本 2 6 7" xfId="5053"/>
    <cellStyle name="警告文本 2 6 8" xfId="5054"/>
    <cellStyle name="警告文本 2 6 9" xfId="5055"/>
    <cellStyle name="警告文本 2 7" xfId="5056"/>
    <cellStyle name="警告文本 2 7 10" xfId="5057"/>
    <cellStyle name="警告文本 2 7 2" xfId="5058"/>
    <cellStyle name="警告文本 2 7 3" xfId="5059"/>
    <cellStyle name="警告文本 2 7 4" xfId="5060"/>
    <cellStyle name="警告文本 2 7 5" xfId="5061"/>
    <cellStyle name="警告文本 2 7 6" xfId="5062"/>
    <cellStyle name="警告文本 2 7 7" xfId="5063"/>
    <cellStyle name="警告文本 2 7 8" xfId="5064"/>
    <cellStyle name="警告文本 2 7 9" xfId="5065"/>
    <cellStyle name="警告文本 2 8" xfId="5066"/>
    <cellStyle name="警告文本 2 8 2" xfId="5067"/>
    <cellStyle name="警告文本 2 8 3" xfId="5068"/>
    <cellStyle name="警告文本 2 8 4" xfId="5069"/>
    <cellStyle name="警告文本 2 8 5" xfId="5070"/>
    <cellStyle name="警告文本 2 9" xfId="5071"/>
    <cellStyle name="警告文本 2 9 2" xfId="5072"/>
    <cellStyle name="警告文本 2 9 3" xfId="5073"/>
    <cellStyle name="警告文本 2 9 4" xfId="5074"/>
    <cellStyle name="警告文本 2 9 5" xfId="5075"/>
    <cellStyle name="警告文本 20" xfId="5076"/>
    <cellStyle name="警告文本 20 2" xfId="5077"/>
    <cellStyle name="警告文本 20 3" xfId="5078"/>
    <cellStyle name="警告文本 21" xfId="5079"/>
    <cellStyle name="警告文本 21 2" xfId="5080"/>
    <cellStyle name="警告文本 21 3" xfId="5081"/>
    <cellStyle name="警告文本 22" xfId="5082"/>
    <cellStyle name="警告文本 22 2" xfId="5083"/>
    <cellStyle name="警告文本 22 3" xfId="5084"/>
    <cellStyle name="警告文本 23" xfId="5085"/>
    <cellStyle name="警告文本 23 2" xfId="5086"/>
    <cellStyle name="警告文本 23 3" xfId="5087"/>
    <cellStyle name="警告文本 24" xfId="5088"/>
    <cellStyle name="警告文本 24 2" xfId="5089"/>
    <cellStyle name="警告文本 25" xfId="5090"/>
    <cellStyle name="警告文本 25 2" xfId="5091"/>
    <cellStyle name="警告文本 3" xfId="5092"/>
    <cellStyle name="警告文本 3 10" xfId="5093"/>
    <cellStyle name="警告文本 3 2" xfId="5094"/>
    <cellStyle name="警告文本 3 3" xfId="5095"/>
    <cellStyle name="警告文本 3 4" xfId="5096"/>
    <cellStyle name="警告文本 3 5" xfId="5097"/>
    <cellStyle name="警告文本 3 6" xfId="5098"/>
    <cellStyle name="警告文本 3 7" xfId="5099"/>
    <cellStyle name="警告文本 3 8" xfId="5100"/>
    <cellStyle name="警告文本 3 9" xfId="5101"/>
    <cellStyle name="警告文本 4" xfId="5102"/>
    <cellStyle name="警告文本 4 10" xfId="5103"/>
    <cellStyle name="警告文本 4 2" xfId="5104"/>
    <cellStyle name="警告文本 4 3" xfId="5105"/>
    <cellStyle name="警告文本 4 4" xfId="5106"/>
    <cellStyle name="警告文本 4 5" xfId="5107"/>
    <cellStyle name="警告文本 4 6" xfId="5108"/>
    <cellStyle name="警告文本 4 7" xfId="5109"/>
    <cellStyle name="警告文本 4 8" xfId="5110"/>
    <cellStyle name="警告文本 4 9" xfId="5111"/>
    <cellStyle name="警告文本 5" xfId="5112"/>
    <cellStyle name="警告文本 5 10" xfId="5113"/>
    <cellStyle name="警告文本 5 2" xfId="5114"/>
    <cellStyle name="警告文本 5 3" xfId="5115"/>
    <cellStyle name="警告文本 5 4" xfId="5116"/>
    <cellStyle name="警告文本 5 5" xfId="5117"/>
    <cellStyle name="警告文本 5 6" xfId="5118"/>
    <cellStyle name="警告文本 5 7" xfId="5119"/>
    <cellStyle name="警告文本 5 8" xfId="5120"/>
    <cellStyle name="警告文本 5 9" xfId="5121"/>
    <cellStyle name="警告文本 6" xfId="5122"/>
    <cellStyle name="警告文本 6 10" xfId="5123"/>
    <cellStyle name="警告文本 6 2" xfId="5124"/>
    <cellStyle name="警告文本 6 3" xfId="5125"/>
    <cellStyle name="警告文本 6 4" xfId="5126"/>
    <cellStyle name="警告文本 6 5" xfId="5127"/>
    <cellStyle name="警告文本 6 6" xfId="5128"/>
    <cellStyle name="警告文本 6 7" xfId="5129"/>
    <cellStyle name="警告文本 6 8" xfId="5130"/>
    <cellStyle name="警告文本 6 9" xfId="5131"/>
    <cellStyle name="警告文本 7" xfId="5132"/>
    <cellStyle name="警告文本 7 10" xfId="5133"/>
    <cellStyle name="警告文本 7 2" xfId="5134"/>
    <cellStyle name="警告文本 7 3" xfId="5135"/>
    <cellStyle name="警告文本 7 4" xfId="5136"/>
    <cellStyle name="警告文本 7 5" xfId="5137"/>
    <cellStyle name="警告文本 7 6" xfId="5138"/>
    <cellStyle name="警告文本 7 7" xfId="5139"/>
    <cellStyle name="警告文本 7 8" xfId="5140"/>
    <cellStyle name="警告文本 7 9" xfId="5141"/>
    <cellStyle name="警告文本 8" xfId="5142"/>
    <cellStyle name="警告文本 8 10" xfId="5143"/>
    <cellStyle name="警告文本 8 2" xfId="5144"/>
    <cellStyle name="警告文本 8 3" xfId="5145"/>
    <cellStyle name="警告文本 8 4" xfId="5146"/>
    <cellStyle name="警告文本 8 5" xfId="5147"/>
    <cellStyle name="警告文本 8 6" xfId="5148"/>
    <cellStyle name="警告文本 8 7" xfId="5149"/>
    <cellStyle name="警告文本 8 8" xfId="5150"/>
    <cellStyle name="警告文本 8 9" xfId="5151"/>
    <cellStyle name="警告文本 9" xfId="5152"/>
    <cellStyle name="警告文本 9 10" xfId="5153"/>
    <cellStyle name="警告文本 9 2" xfId="5154"/>
    <cellStyle name="警告文本 9 3" xfId="5155"/>
    <cellStyle name="警告文本 9 4" xfId="5156"/>
    <cellStyle name="警告文本 9 5" xfId="5157"/>
    <cellStyle name="警告文本 9 6" xfId="5158"/>
    <cellStyle name="警告文本 9 7" xfId="5159"/>
    <cellStyle name="警告文本 9 8" xfId="5160"/>
    <cellStyle name="警告文本 9 9" xfId="5161"/>
    <cellStyle name="链接单元格 10" xfId="5162"/>
    <cellStyle name="链接单元格 10 2" xfId="5163"/>
    <cellStyle name="链接单元格 10 3" xfId="5164"/>
    <cellStyle name="链接单元格 10 4" xfId="5165"/>
    <cellStyle name="链接单元格 10 5" xfId="5166"/>
    <cellStyle name="链接单元格 11" xfId="5167"/>
    <cellStyle name="链接单元格 11 2" xfId="5168"/>
    <cellStyle name="链接单元格 11 3" xfId="5169"/>
    <cellStyle name="链接单元格 11 4" xfId="5170"/>
    <cellStyle name="链接单元格 11 5" xfId="5171"/>
    <cellStyle name="链接单元格 12" xfId="5172"/>
    <cellStyle name="链接单元格 12 2" xfId="5173"/>
    <cellStyle name="链接单元格 12 3" xfId="5174"/>
    <cellStyle name="链接单元格 12 4" xfId="5175"/>
    <cellStyle name="链接单元格 12 5" xfId="5176"/>
    <cellStyle name="链接单元格 13" xfId="5177"/>
    <cellStyle name="链接单元格 13 2" xfId="5178"/>
    <cellStyle name="链接单元格 13 3" xfId="5179"/>
    <cellStyle name="链接单元格 13 4" xfId="5180"/>
    <cellStyle name="链接单元格 13 5" xfId="5181"/>
    <cellStyle name="链接单元格 14" xfId="5182"/>
    <cellStyle name="链接单元格 14 2" xfId="5183"/>
    <cellStyle name="链接单元格 14 3" xfId="5184"/>
    <cellStyle name="链接单元格 14 4" xfId="5185"/>
    <cellStyle name="链接单元格 14 5" xfId="5186"/>
    <cellStyle name="链接单元格 14 6" xfId="5187"/>
    <cellStyle name="链接单元格 14 7" xfId="5188"/>
    <cellStyle name="链接单元格 15" xfId="5189"/>
    <cellStyle name="链接单元格 15 2" xfId="5190"/>
    <cellStyle name="链接单元格 15 3" xfId="5191"/>
    <cellStyle name="链接单元格 15 4" xfId="5192"/>
    <cellStyle name="链接单元格 15 5" xfId="5193"/>
    <cellStyle name="链接单元格 15 6" xfId="5194"/>
    <cellStyle name="链接单元格 15 7" xfId="5195"/>
    <cellStyle name="链接单元格 16" xfId="5196"/>
    <cellStyle name="链接单元格 16 2" xfId="5197"/>
    <cellStyle name="链接单元格 16 3" xfId="5198"/>
    <cellStyle name="链接单元格 16 4" xfId="5199"/>
    <cellStyle name="链接单元格 16 5" xfId="5200"/>
    <cellStyle name="链接单元格 16 6" xfId="5201"/>
    <cellStyle name="链接单元格 16 7" xfId="5202"/>
    <cellStyle name="链接单元格 17" xfId="5203"/>
    <cellStyle name="链接单元格 17 2" xfId="5204"/>
    <cellStyle name="链接单元格 17 3" xfId="5205"/>
    <cellStyle name="链接单元格 17 4" xfId="5206"/>
    <cellStyle name="链接单元格 17 5" xfId="5207"/>
    <cellStyle name="链接单元格 17 6" xfId="5208"/>
    <cellStyle name="链接单元格 17 7" xfId="5209"/>
    <cellStyle name="链接单元格 17 8" xfId="5210"/>
    <cellStyle name="链接单元格 17 9" xfId="5211"/>
    <cellStyle name="链接单元格 18" xfId="5212"/>
    <cellStyle name="链接单元格 18 2" xfId="5213"/>
    <cellStyle name="链接单元格 18 3" xfId="5214"/>
    <cellStyle name="链接单元格 18 4" xfId="5215"/>
    <cellStyle name="链接单元格 18 5" xfId="5216"/>
    <cellStyle name="链接单元格 19" xfId="5217"/>
    <cellStyle name="链接单元格 19 2" xfId="5218"/>
    <cellStyle name="链接单元格 19 3" xfId="5219"/>
    <cellStyle name="链接单元格 19 4" xfId="5220"/>
    <cellStyle name="链接单元格 19 5" xfId="5221"/>
    <cellStyle name="链接单元格 2 10" xfId="5222"/>
    <cellStyle name="链接单元格 2 10 2" xfId="5223"/>
    <cellStyle name="链接单元格 2 10 3" xfId="5224"/>
    <cellStyle name="链接单元格 2 10 4" xfId="5225"/>
    <cellStyle name="链接单元格 2 10 5" xfId="5226"/>
    <cellStyle name="链接单元格 2 11" xfId="5227"/>
    <cellStyle name="链接单元格 2 11 2" xfId="5228"/>
    <cellStyle name="链接单元格 2 11 3" xfId="5229"/>
    <cellStyle name="链接单元格 2 11 4" xfId="5230"/>
    <cellStyle name="链接单元格 2 11 5" xfId="5231"/>
    <cellStyle name="链接单元格 2 12" xfId="5232"/>
    <cellStyle name="链接单元格 2 12 2" xfId="5233"/>
    <cellStyle name="链接单元格 2 12 3" xfId="5234"/>
    <cellStyle name="链接单元格 2 12 4" xfId="5235"/>
    <cellStyle name="链接单元格 2 12 5" xfId="5236"/>
    <cellStyle name="链接单元格 2 13" xfId="5237"/>
    <cellStyle name="链接单元格 2 14" xfId="5238"/>
    <cellStyle name="链接单元格 2 15" xfId="5239"/>
    <cellStyle name="链接单元格 2 16" xfId="5240"/>
    <cellStyle name="链接单元格 2 17" xfId="5241"/>
    <cellStyle name="链接单元格 2 18" xfId="5242"/>
    <cellStyle name="链接单元格 2 19" xfId="5243"/>
    <cellStyle name="链接单元格 2 2" xfId="5244"/>
    <cellStyle name="链接单元格 2 2 10" xfId="5245"/>
    <cellStyle name="链接单元格 2 2 2" xfId="5246"/>
    <cellStyle name="链接单元格 2 2 3" xfId="5247"/>
    <cellStyle name="链接单元格 2 2 4" xfId="5248"/>
    <cellStyle name="链接单元格 2 2 5" xfId="5249"/>
    <cellStyle name="链接单元格 2 2 6" xfId="5250"/>
    <cellStyle name="链接单元格 2 2 7" xfId="5251"/>
    <cellStyle name="链接单元格 2 2 8" xfId="5252"/>
    <cellStyle name="链接单元格 2 2 9" xfId="5253"/>
    <cellStyle name="链接单元格 2 20" xfId="5254"/>
    <cellStyle name="链接单元格 2 21" xfId="5255"/>
    <cellStyle name="链接单元格 2 22" xfId="5256"/>
    <cellStyle name="链接单元格 2 23" xfId="5257"/>
    <cellStyle name="链接单元格 2 24" xfId="5258"/>
    <cellStyle name="链接单元格 2 25" xfId="5259"/>
    <cellStyle name="链接单元格 2 26" xfId="5260"/>
    <cellStyle name="链接单元格 2 3" xfId="5261"/>
    <cellStyle name="链接单元格 2 3 10" xfId="5262"/>
    <cellStyle name="链接单元格 2 3 2" xfId="5263"/>
    <cellStyle name="链接单元格 2 3 3" xfId="5264"/>
    <cellStyle name="链接单元格 2 3 4" xfId="5265"/>
    <cellStyle name="链接单元格 2 3 5" xfId="5266"/>
    <cellStyle name="链接单元格 2 3 6" xfId="5267"/>
    <cellStyle name="链接单元格 2 3 7" xfId="5268"/>
    <cellStyle name="链接单元格 2 3 8" xfId="5269"/>
    <cellStyle name="链接单元格 2 3 9" xfId="5270"/>
    <cellStyle name="链接单元格 2 4" xfId="5271"/>
    <cellStyle name="链接单元格 2 4 10" xfId="5272"/>
    <cellStyle name="链接单元格 2 4 2" xfId="5273"/>
    <cellStyle name="链接单元格 2 4 3" xfId="5274"/>
    <cellStyle name="链接单元格 2 4 4" xfId="5275"/>
    <cellStyle name="链接单元格 2 4 5" xfId="5276"/>
    <cellStyle name="链接单元格 2 4 6" xfId="5277"/>
    <cellStyle name="链接单元格 2 4 7" xfId="5278"/>
    <cellStyle name="链接单元格 2 4 8" xfId="5279"/>
    <cellStyle name="链接单元格 2 4 9" xfId="5280"/>
    <cellStyle name="链接单元格 2 5" xfId="5281"/>
    <cellStyle name="链接单元格 2 5 10" xfId="5282"/>
    <cellStyle name="链接单元格 2 5 2" xfId="5283"/>
    <cellStyle name="链接单元格 2 5 3" xfId="5284"/>
    <cellStyle name="链接单元格 2 5 4" xfId="5285"/>
    <cellStyle name="链接单元格 2 5 5" xfId="5286"/>
    <cellStyle name="链接单元格 2 5 6" xfId="5287"/>
    <cellStyle name="链接单元格 2 5 7" xfId="5288"/>
    <cellStyle name="链接单元格 2 5 8" xfId="5289"/>
    <cellStyle name="链接单元格 2 5 9" xfId="5290"/>
    <cellStyle name="链接单元格 2 6" xfId="5291"/>
    <cellStyle name="链接单元格 2 6 10" xfId="5292"/>
    <cellStyle name="链接单元格 2 6 2" xfId="5293"/>
    <cellStyle name="链接单元格 2 6 3" xfId="5294"/>
    <cellStyle name="链接单元格 2 6 4" xfId="5295"/>
    <cellStyle name="链接单元格 2 6 5" xfId="5296"/>
    <cellStyle name="链接单元格 2 6 6" xfId="5297"/>
    <cellStyle name="链接单元格 2 6 7" xfId="5298"/>
    <cellStyle name="链接单元格 2 6 8" xfId="5299"/>
    <cellStyle name="链接单元格 2 6 9" xfId="5300"/>
    <cellStyle name="链接单元格 2 7" xfId="5301"/>
    <cellStyle name="链接单元格 2 7 10" xfId="5302"/>
    <cellStyle name="链接单元格 2 7 2" xfId="5303"/>
    <cellStyle name="链接单元格 2 7 3" xfId="5304"/>
    <cellStyle name="链接单元格 2 7 4" xfId="5305"/>
    <cellStyle name="链接单元格 2 7 5" xfId="5306"/>
    <cellStyle name="链接单元格 2 7 6" xfId="5307"/>
    <cellStyle name="链接单元格 2 7 7" xfId="5308"/>
    <cellStyle name="链接单元格 2 7 8" xfId="5309"/>
    <cellStyle name="链接单元格 2 7 9" xfId="5310"/>
    <cellStyle name="链接单元格 2 8" xfId="5311"/>
    <cellStyle name="链接单元格 2 8 2" xfId="5312"/>
    <cellStyle name="链接单元格 2 8 3" xfId="5313"/>
    <cellStyle name="链接单元格 2 8 4" xfId="5314"/>
    <cellStyle name="链接单元格 2 8 5" xfId="5315"/>
    <cellStyle name="链接单元格 2 9" xfId="5316"/>
    <cellStyle name="链接单元格 2 9 2" xfId="5317"/>
    <cellStyle name="链接单元格 2 9 3" xfId="5318"/>
    <cellStyle name="链接单元格 2 9 4" xfId="5319"/>
    <cellStyle name="链接单元格 2 9 5" xfId="5320"/>
    <cellStyle name="链接单元格 20" xfId="5321"/>
    <cellStyle name="链接单元格 20 2" xfId="5322"/>
    <cellStyle name="链接单元格 20 3" xfId="5323"/>
    <cellStyle name="链接单元格 21" xfId="5324"/>
    <cellStyle name="链接单元格 21 2" xfId="5325"/>
    <cellStyle name="链接单元格 21 3" xfId="5326"/>
    <cellStyle name="链接单元格 22" xfId="5327"/>
    <cellStyle name="链接单元格 22 2" xfId="5328"/>
    <cellStyle name="链接单元格 22 3" xfId="5329"/>
    <cellStyle name="链接单元格 23" xfId="5330"/>
    <cellStyle name="链接单元格 23 2" xfId="5331"/>
    <cellStyle name="链接单元格 23 3" xfId="5332"/>
    <cellStyle name="链接单元格 24" xfId="5333"/>
    <cellStyle name="链接单元格 24 2" xfId="5334"/>
    <cellStyle name="链接单元格 25" xfId="5335"/>
    <cellStyle name="链接单元格 25 2" xfId="5336"/>
    <cellStyle name="链接单元格 3" xfId="5337"/>
    <cellStyle name="链接单元格 3 10" xfId="5338"/>
    <cellStyle name="链接单元格 3 2" xfId="5339"/>
    <cellStyle name="链接单元格 3 3" xfId="5340"/>
    <cellStyle name="链接单元格 3 4" xfId="5341"/>
    <cellStyle name="链接单元格 3 5" xfId="5342"/>
    <cellStyle name="链接单元格 3 6" xfId="5343"/>
    <cellStyle name="链接单元格 3 7" xfId="5344"/>
    <cellStyle name="链接单元格 3 8" xfId="5345"/>
    <cellStyle name="链接单元格 3 9" xfId="5346"/>
    <cellStyle name="链接单元格 4" xfId="5347"/>
    <cellStyle name="链接单元格 4 10" xfId="5348"/>
    <cellStyle name="链接单元格 4 2" xfId="5349"/>
    <cellStyle name="链接单元格 4 3" xfId="5350"/>
    <cellStyle name="链接单元格 4 4" xfId="5351"/>
    <cellStyle name="链接单元格 4 5" xfId="5352"/>
    <cellStyle name="链接单元格 4 6" xfId="5353"/>
    <cellStyle name="链接单元格 4 7" xfId="5354"/>
    <cellStyle name="链接单元格 4 8" xfId="5355"/>
    <cellStyle name="链接单元格 4 9" xfId="5356"/>
    <cellStyle name="链接单元格 5" xfId="5357"/>
    <cellStyle name="链接单元格 5 10" xfId="5358"/>
    <cellStyle name="链接单元格 5 2" xfId="5359"/>
    <cellStyle name="链接单元格 5 3" xfId="5360"/>
    <cellStyle name="链接单元格 5 4" xfId="5361"/>
    <cellStyle name="链接单元格 5 5" xfId="5362"/>
    <cellStyle name="链接单元格 5 6" xfId="5363"/>
    <cellStyle name="链接单元格 5 7" xfId="5364"/>
    <cellStyle name="链接单元格 5 8" xfId="5365"/>
    <cellStyle name="链接单元格 5 9" xfId="5366"/>
    <cellStyle name="链接单元格 6" xfId="5367"/>
    <cellStyle name="链接单元格 6 10" xfId="5368"/>
    <cellStyle name="链接单元格 6 2" xfId="5369"/>
    <cellStyle name="链接单元格 6 3" xfId="5370"/>
    <cellStyle name="链接单元格 6 4" xfId="5371"/>
    <cellStyle name="链接单元格 6 5" xfId="5372"/>
    <cellStyle name="链接单元格 6 6" xfId="5373"/>
    <cellStyle name="链接单元格 6 7" xfId="5374"/>
    <cellStyle name="链接单元格 6 8" xfId="5375"/>
    <cellStyle name="链接单元格 6 9" xfId="5376"/>
    <cellStyle name="链接单元格 7" xfId="5377"/>
    <cellStyle name="链接单元格 7 10" xfId="5378"/>
    <cellStyle name="链接单元格 7 2" xfId="5379"/>
    <cellStyle name="链接单元格 7 3" xfId="5380"/>
    <cellStyle name="链接单元格 7 4" xfId="5381"/>
    <cellStyle name="链接单元格 7 5" xfId="5382"/>
    <cellStyle name="链接单元格 7 6" xfId="5383"/>
    <cellStyle name="链接单元格 7 7" xfId="5384"/>
    <cellStyle name="链接单元格 7 8" xfId="5385"/>
    <cellStyle name="链接单元格 7 9" xfId="5386"/>
    <cellStyle name="链接单元格 8" xfId="5387"/>
    <cellStyle name="链接单元格 8 10" xfId="5388"/>
    <cellStyle name="链接单元格 8 2" xfId="5389"/>
    <cellStyle name="链接单元格 8 3" xfId="5390"/>
    <cellStyle name="链接单元格 8 4" xfId="5391"/>
    <cellStyle name="链接单元格 8 5" xfId="5392"/>
    <cellStyle name="链接单元格 8 6" xfId="5393"/>
    <cellStyle name="链接单元格 8 7" xfId="5394"/>
    <cellStyle name="链接单元格 8 8" xfId="5395"/>
    <cellStyle name="链接单元格 8 9" xfId="5396"/>
    <cellStyle name="链接单元格 9" xfId="5397"/>
    <cellStyle name="链接单元格 9 10" xfId="5398"/>
    <cellStyle name="链接单元格 9 2" xfId="5399"/>
    <cellStyle name="链接单元格 9 3" xfId="5400"/>
    <cellStyle name="链接单元格 9 4" xfId="5401"/>
    <cellStyle name="链接单元格 9 5" xfId="5402"/>
    <cellStyle name="链接单元格 9 6" xfId="5403"/>
    <cellStyle name="链接单元格 9 7" xfId="5404"/>
    <cellStyle name="链接单元格 9 8" xfId="5405"/>
    <cellStyle name="链接单元格 9 9" xfId="5406"/>
    <cellStyle name="千位分隔 10" xfId="5407"/>
    <cellStyle name="千位分隔 10 10" xfId="5408"/>
    <cellStyle name="千位分隔 10 2" xfId="5409"/>
    <cellStyle name="千位分隔 10 2 2" xfId="5410"/>
    <cellStyle name="千位分隔 10 2 3" xfId="5411"/>
    <cellStyle name="千位分隔 10 2 4" xfId="5412"/>
    <cellStyle name="千位分隔 10 2 5" xfId="5413"/>
    <cellStyle name="千位分隔 10 2 6" xfId="5414"/>
    <cellStyle name="千位分隔 10 2 7" xfId="5415"/>
    <cellStyle name="千位分隔 10 2 8" xfId="5416"/>
    <cellStyle name="千位分隔 10 2 9" xfId="5417"/>
    <cellStyle name="千位分隔 10 3" xfId="5418"/>
    <cellStyle name="千位分隔 10 4" xfId="5419"/>
    <cellStyle name="千位分隔 10 5" xfId="5420"/>
    <cellStyle name="千位分隔 10 6" xfId="5421"/>
    <cellStyle name="千位分隔 10 7" xfId="5422"/>
    <cellStyle name="千位分隔 10 8" xfId="5423"/>
    <cellStyle name="千位分隔 10 9" xfId="5424"/>
    <cellStyle name="千位分隔 2" xfId="5425"/>
    <cellStyle name="千位分隔 3 10" xfId="5426"/>
    <cellStyle name="千位分隔 3 2" xfId="5427"/>
    <cellStyle name="千位分隔 3 3" xfId="5428"/>
    <cellStyle name="千位分隔 3 4" xfId="5429"/>
    <cellStyle name="千位分隔 3 5" xfId="5430"/>
    <cellStyle name="千位分隔 3 6" xfId="5431"/>
    <cellStyle name="千位分隔 3 7" xfId="5432"/>
    <cellStyle name="千位分隔 3 8" xfId="5433"/>
    <cellStyle name="千位分隔 3 9" xfId="5434"/>
    <cellStyle name="千位分隔 4" xfId="5435"/>
    <cellStyle name="千位分隔 4 2" xfId="5436"/>
    <cellStyle name="千位分隔 4 3" xfId="5437"/>
    <cellStyle name="千位分隔 4 4" xfId="5438"/>
    <cellStyle name="千位分隔 4 5" xfId="5439"/>
    <cellStyle name="千位分隔 4 6" xfId="5440"/>
    <cellStyle name="千位分隔 4 7" xfId="5441"/>
    <cellStyle name="千位分隔 4 8" xfId="5442"/>
    <cellStyle name="千位分隔 4 9" xfId="5443"/>
    <cellStyle name="千位分隔 5 2" xfId="5444"/>
    <cellStyle name="强调文字颜色 1 2 10" xfId="5445"/>
    <cellStyle name="强调文字颜色 1 2 10 2" xfId="5446"/>
    <cellStyle name="强调文字颜色 1 2 10 3" xfId="5447"/>
    <cellStyle name="强调文字颜色 1 2 10 4" xfId="5448"/>
    <cellStyle name="强调文字颜色 1 2 10 5" xfId="5449"/>
    <cellStyle name="强调文字颜色 1 2 11" xfId="5450"/>
    <cellStyle name="强调文字颜色 1 2 11 2" xfId="5451"/>
    <cellStyle name="强调文字颜色 1 2 11 3" xfId="5452"/>
    <cellStyle name="强调文字颜色 1 2 11 4" xfId="5453"/>
    <cellStyle name="强调文字颜色 1 2 11 5" xfId="5454"/>
    <cellStyle name="强调文字颜色 1 2 12" xfId="5455"/>
    <cellStyle name="强调文字颜色 1 2 12 2" xfId="5456"/>
    <cellStyle name="强调文字颜色 1 2 12 3" xfId="5457"/>
    <cellStyle name="强调文字颜色 1 2 12 4" xfId="5458"/>
    <cellStyle name="强调文字颜色 1 2 12 5" xfId="5459"/>
    <cellStyle name="强调文字颜色 1 2 13" xfId="5460"/>
    <cellStyle name="强调文字颜色 1 2 14" xfId="5461"/>
    <cellStyle name="强调文字颜色 1 2 15" xfId="5462"/>
    <cellStyle name="强调文字颜色 1 2 16" xfId="5463"/>
    <cellStyle name="强调文字颜色 1 2 17" xfId="5464"/>
    <cellStyle name="强调文字颜色 1 2 18" xfId="5465"/>
    <cellStyle name="强调文字颜色 1 2 19" xfId="5466"/>
    <cellStyle name="强调文字颜色 1 2 2" xfId="5467"/>
    <cellStyle name="强调文字颜色 1 2 2 10" xfId="5468"/>
    <cellStyle name="强调文字颜色 1 2 2 2" xfId="5469"/>
    <cellStyle name="强调文字颜色 1 2 2 3" xfId="5470"/>
    <cellStyle name="强调文字颜色 1 2 2 4" xfId="5471"/>
    <cellStyle name="强调文字颜色 1 2 2 5" xfId="5472"/>
    <cellStyle name="强调文字颜色 1 2 2 6" xfId="5473"/>
    <cellStyle name="强调文字颜色 1 2 2 7" xfId="5474"/>
    <cellStyle name="强调文字颜色 1 2 2 8" xfId="5475"/>
    <cellStyle name="强调文字颜色 1 2 2 9" xfId="5476"/>
    <cellStyle name="强调文字颜色 1 2 20" xfId="5477"/>
    <cellStyle name="强调文字颜色 1 2 21" xfId="5478"/>
    <cellStyle name="强调文字颜色 1 2 22" xfId="5479"/>
    <cellStyle name="强调文字颜色 1 2 23" xfId="5480"/>
    <cellStyle name="强调文字颜色 1 2 24" xfId="5481"/>
    <cellStyle name="强调文字颜色 1 2 25" xfId="5482"/>
    <cellStyle name="强调文字颜色 1 2 26" xfId="5483"/>
    <cellStyle name="强调文字颜色 1 2 3" xfId="5484"/>
    <cellStyle name="强调文字颜色 1 2 3 10" xfId="5485"/>
    <cellStyle name="强调文字颜色 1 2 3 2" xfId="5486"/>
    <cellStyle name="强调文字颜色 1 2 3 3" xfId="5487"/>
    <cellStyle name="强调文字颜色 1 2 3 4" xfId="5488"/>
    <cellStyle name="强调文字颜色 1 2 3 5" xfId="5489"/>
    <cellStyle name="强调文字颜色 1 2 3 6" xfId="5490"/>
    <cellStyle name="强调文字颜色 1 2 3 7" xfId="5491"/>
    <cellStyle name="强调文字颜色 1 2 3 8" xfId="5492"/>
    <cellStyle name="强调文字颜色 1 2 3 9" xfId="5493"/>
    <cellStyle name="强调文字颜色 1 2 4" xfId="5494"/>
    <cellStyle name="强调文字颜色 1 2 4 10" xfId="5495"/>
    <cellStyle name="强调文字颜色 1 2 4 2" xfId="5496"/>
    <cellStyle name="强调文字颜色 1 2 4 3" xfId="5497"/>
    <cellStyle name="强调文字颜色 1 2 4 4" xfId="5498"/>
    <cellStyle name="强调文字颜色 1 2 4 5" xfId="5499"/>
    <cellStyle name="强调文字颜色 1 2 4 6" xfId="5500"/>
    <cellStyle name="强调文字颜色 1 2 4 7" xfId="5501"/>
    <cellStyle name="强调文字颜色 1 2 4 8" xfId="5502"/>
    <cellStyle name="强调文字颜色 1 2 4 9" xfId="5503"/>
    <cellStyle name="强调文字颜色 1 2 5" xfId="5504"/>
    <cellStyle name="强调文字颜色 1 2 5 10" xfId="5505"/>
    <cellStyle name="强调文字颜色 1 2 5 2" xfId="5506"/>
    <cellStyle name="强调文字颜色 1 2 5 3" xfId="5507"/>
    <cellStyle name="强调文字颜色 1 2 5 4" xfId="5508"/>
    <cellStyle name="强调文字颜色 1 2 5 5" xfId="5509"/>
    <cellStyle name="强调文字颜色 1 2 5 6" xfId="5510"/>
    <cellStyle name="强调文字颜色 1 2 5 7" xfId="5511"/>
    <cellStyle name="强调文字颜色 1 2 5 8" xfId="5512"/>
    <cellStyle name="强调文字颜色 1 2 5 9" xfId="5513"/>
    <cellStyle name="强调文字颜色 1 2 6" xfId="5514"/>
    <cellStyle name="强调文字颜色 1 2 6 10" xfId="5515"/>
    <cellStyle name="强调文字颜色 1 2 6 2" xfId="5516"/>
    <cellStyle name="强调文字颜色 1 2 6 3" xfId="5517"/>
    <cellStyle name="强调文字颜色 1 2 6 4" xfId="5518"/>
    <cellStyle name="强调文字颜色 1 2 6 5" xfId="5519"/>
    <cellStyle name="强调文字颜色 1 2 6 6" xfId="5520"/>
    <cellStyle name="强调文字颜色 1 2 6 7" xfId="5521"/>
    <cellStyle name="强调文字颜色 1 2 6 8" xfId="5522"/>
    <cellStyle name="强调文字颜色 1 2 6 9" xfId="5523"/>
    <cellStyle name="强调文字颜色 1 2 7" xfId="5524"/>
    <cellStyle name="强调文字颜色 1 2 7 10" xfId="5525"/>
    <cellStyle name="强调文字颜色 1 2 7 2" xfId="5526"/>
    <cellStyle name="强调文字颜色 1 2 7 3" xfId="5527"/>
    <cellStyle name="强调文字颜色 1 2 7 4" xfId="5528"/>
    <cellStyle name="强调文字颜色 1 2 7 5" xfId="5529"/>
    <cellStyle name="强调文字颜色 1 2 7 6" xfId="5530"/>
    <cellStyle name="强调文字颜色 1 2 7 7" xfId="5531"/>
    <cellStyle name="强调文字颜色 1 2 7 8" xfId="5532"/>
    <cellStyle name="强调文字颜色 1 2 7 9" xfId="5533"/>
    <cellStyle name="强调文字颜色 1 2 8" xfId="5534"/>
    <cellStyle name="强调文字颜色 1 2 8 2" xfId="5535"/>
    <cellStyle name="强调文字颜色 1 2 8 3" xfId="5536"/>
    <cellStyle name="强调文字颜色 1 2 8 4" xfId="5537"/>
    <cellStyle name="强调文字颜色 1 2 8 5" xfId="5538"/>
    <cellStyle name="强调文字颜色 1 2 9" xfId="5539"/>
    <cellStyle name="强调文字颜色 1 2 9 2" xfId="5540"/>
    <cellStyle name="强调文字颜色 1 2 9 3" xfId="5541"/>
    <cellStyle name="强调文字颜色 1 2 9 4" xfId="5542"/>
    <cellStyle name="强调文字颜色 1 2 9 5" xfId="5543"/>
    <cellStyle name="强调文字颜色 1 3" xfId="5544"/>
    <cellStyle name="强调文字颜色 1 3 10" xfId="5545"/>
    <cellStyle name="强调文字颜色 1 3 2" xfId="5546"/>
    <cellStyle name="强调文字颜色 1 3 3" xfId="5547"/>
    <cellStyle name="强调文字颜色 1 3 4" xfId="5548"/>
    <cellStyle name="强调文字颜色 1 3 5" xfId="5549"/>
    <cellStyle name="强调文字颜色 1 3 6" xfId="5550"/>
    <cellStyle name="强调文字颜色 1 3 7" xfId="5551"/>
    <cellStyle name="强调文字颜色 1 3 8" xfId="5552"/>
    <cellStyle name="强调文字颜色 1 3 9" xfId="5553"/>
    <cellStyle name="强调文字颜色 2 2 10" xfId="5554"/>
    <cellStyle name="强调文字颜色 2 2 10 2" xfId="5555"/>
    <cellStyle name="强调文字颜色 2 2 10 3" xfId="5556"/>
    <cellStyle name="强调文字颜色 2 2 10 4" xfId="5557"/>
    <cellStyle name="强调文字颜色 2 2 10 5" xfId="5558"/>
    <cellStyle name="强调文字颜色 2 2 11" xfId="5559"/>
    <cellStyle name="强调文字颜色 2 2 11 2" xfId="5560"/>
    <cellStyle name="强调文字颜色 2 2 11 3" xfId="5561"/>
    <cellStyle name="强调文字颜色 2 2 11 4" xfId="5562"/>
    <cellStyle name="强调文字颜色 2 2 11 5" xfId="5563"/>
    <cellStyle name="强调文字颜色 2 2 12" xfId="5564"/>
    <cellStyle name="强调文字颜色 2 2 12 2" xfId="5565"/>
    <cellStyle name="强调文字颜色 2 2 12 3" xfId="5566"/>
    <cellStyle name="强调文字颜色 2 2 12 4" xfId="5567"/>
    <cellStyle name="强调文字颜色 2 2 12 5" xfId="5568"/>
    <cellStyle name="强调文字颜色 2 2 13" xfId="5569"/>
    <cellStyle name="强调文字颜色 2 2 14" xfId="5570"/>
    <cellStyle name="强调文字颜色 2 2 15" xfId="5571"/>
    <cellStyle name="强调文字颜色 2 2 16" xfId="5572"/>
    <cellStyle name="强调文字颜色 2 2 17" xfId="5573"/>
    <cellStyle name="强调文字颜色 2 2 18" xfId="5574"/>
    <cellStyle name="强调文字颜色 2 2 19" xfId="5575"/>
    <cellStyle name="强调文字颜色 2 2 2" xfId="5576"/>
    <cellStyle name="强调文字颜色 2 2 2 10" xfId="5577"/>
    <cellStyle name="强调文字颜色 2 2 2 2" xfId="5578"/>
    <cellStyle name="强调文字颜色 2 2 2 3" xfId="5579"/>
    <cellStyle name="强调文字颜色 2 2 2 4" xfId="5580"/>
    <cellStyle name="强调文字颜色 2 2 2 5" xfId="5581"/>
    <cellStyle name="强调文字颜色 2 2 2 6" xfId="5582"/>
    <cellStyle name="强调文字颜色 2 2 2 7" xfId="5583"/>
    <cellStyle name="强调文字颜色 2 2 2 8" xfId="5584"/>
    <cellStyle name="强调文字颜色 2 2 2 9" xfId="5585"/>
    <cellStyle name="强调文字颜色 2 2 20" xfId="5586"/>
    <cellStyle name="强调文字颜色 2 2 21" xfId="5587"/>
    <cellStyle name="强调文字颜色 2 2 22" xfId="5588"/>
    <cellStyle name="强调文字颜色 2 2 23" xfId="5589"/>
    <cellStyle name="强调文字颜色 2 2 24" xfId="5590"/>
    <cellStyle name="强调文字颜色 2 2 25" xfId="5591"/>
    <cellStyle name="强调文字颜色 2 2 26" xfId="5592"/>
    <cellStyle name="强调文字颜色 2 2 3" xfId="5593"/>
    <cellStyle name="强调文字颜色 2 2 3 10" xfId="5594"/>
    <cellStyle name="强调文字颜色 2 2 3 2" xfId="5595"/>
    <cellStyle name="强调文字颜色 2 2 3 3" xfId="5596"/>
    <cellStyle name="强调文字颜色 2 2 3 4" xfId="5597"/>
    <cellStyle name="强调文字颜色 2 2 3 5" xfId="5598"/>
    <cellStyle name="强调文字颜色 2 2 3 6" xfId="5599"/>
    <cellStyle name="强调文字颜色 2 2 3 7" xfId="5600"/>
    <cellStyle name="强调文字颜色 2 2 3 8" xfId="5601"/>
    <cellStyle name="强调文字颜色 2 2 3 9" xfId="5602"/>
    <cellStyle name="强调文字颜色 2 2 4" xfId="5603"/>
    <cellStyle name="强调文字颜色 2 2 4 10" xfId="5604"/>
    <cellStyle name="强调文字颜色 2 2 4 2" xfId="5605"/>
    <cellStyle name="强调文字颜色 2 2 4 3" xfId="5606"/>
    <cellStyle name="强调文字颜色 2 2 4 4" xfId="5607"/>
    <cellStyle name="强调文字颜色 2 2 4 5" xfId="5608"/>
    <cellStyle name="强调文字颜色 2 2 4 6" xfId="5609"/>
    <cellStyle name="强调文字颜色 2 2 4 7" xfId="5610"/>
    <cellStyle name="强调文字颜色 2 2 4 8" xfId="5611"/>
    <cellStyle name="强调文字颜色 2 2 4 9" xfId="5612"/>
    <cellStyle name="强调文字颜色 2 2 5" xfId="5613"/>
    <cellStyle name="强调文字颜色 2 2 5 10" xfId="5614"/>
    <cellStyle name="强调文字颜色 2 2 5 2" xfId="5615"/>
    <cellStyle name="强调文字颜色 2 2 5 3" xfId="5616"/>
    <cellStyle name="强调文字颜色 2 2 5 4" xfId="5617"/>
    <cellStyle name="强调文字颜色 2 2 5 5" xfId="5618"/>
    <cellStyle name="强调文字颜色 2 2 5 6" xfId="5619"/>
    <cellStyle name="强调文字颜色 2 2 5 7" xfId="5620"/>
    <cellStyle name="强调文字颜色 2 2 5 8" xfId="5621"/>
    <cellStyle name="强调文字颜色 2 2 5 9" xfId="5622"/>
    <cellStyle name="强调文字颜色 2 2 6" xfId="5623"/>
    <cellStyle name="强调文字颜色 2 2 6 10" xfId="5624"/>
    <cellStyle name="强调文字颜色 2 2 6 2" xfId="5625"/>
    <cellStyle name="强调文字颜色 2 2 6 3" xfId="5626"/>
    <cellStyle name="强调文字颜色 2 2 6 4" xfId="5627"/>
    <cellStyle name="强调文字颜色 2 2 6 5" xfId="5628"/>
    <cellStyle name="强调文字颜色 2 2 6 6" xfId="5629"/>
    <cellStyle name="强调文字颜色 2 2 6 7" xfId="5630"/>
    <cellStyle name="强调文字颜色 2 2 6 8" xfId="5631"/>
    <cellStyle name="强调文字颜色 2 2 6 9" xfId="5632"/>
    <cellStyle name="强调文字颜色 2 2 7" xfId="5633"/>
    <cellStyle name="强调文字颜色 2 2 7 10" xfId="5634"/>
    <cellStyle name="强调文字颜色 2 2 7 2" xfId="5635"/>
    <cellStyle name="强调文字颜色 2 2 7 3" xfId="5636"/>
    <cellStyle name="强调文字颜色 2 2 7 4" xfId="5637"/>
    <cellStyle name="强调文字颜色 2 2 7 5" xfId="5638"/>
    <cellStyle name="强调文字颜色 2 2 7 6" xfId="5639"/>
    <cellStyle name="强调文字颜色 2 2 7 7" xfId="5640"/>
    <cellStyle name="强调文字颜色 2 2 7 8" xfId="5641"/>
    <cellStyle name="强调文字颜色 2 2 7 9" xfId="5642"/>
    <cellStyle name="强调文字颜色 2 2 8" xfId="5643"/>
    <cellStyle name="强调文字颜色 2 2 8 2" xfId="5644"/>
    <cellStyle name="强调文字颜色 2 2 8 3" xfId="5645"/>
    <cellStyle name="强调文字颜色 2 2 8 4" xfId="5646"/>
    <cellStyle name="强调文字颜色 2 2 8 5" xfId="5647"/>
    <cellStyle name="强调文字颜色 2 2 9" xfId="5648"/>
    <cellStyle name="强调文字颜色 2 2 9 2" xfId="5649"/>
    <cellStyle name="强调文字颜色 2 2 9 3" xfId="5650"/>
    <cellStyle name="强调文字颜色 2 2 9 4" xfId="5651"/>
    <cellStyle name="强调文字颜色 2 2 9 5" xfId="5652"/>
    <cellStyle name="强调文字颜色 2 3" xfId="5653"/>
    <cellStyle name="强调文字颜色 2 3 10" xfId="5654"/>
    <cellStyle name="强调文字颜色 2 3 2" xfId="5655"/>
    <cellStyle name="强调文字颜色 2 3 3" xfId="5656"/>
    <cellStyle name="强调文字颜色 2 3 4" xfId="5657"/>
    <cellStyle name="强调文字颜色 2 3 5" xfId="5658"/>
    <cellStyle name="强调文字颜色 2 3 6" xfId="5659"/>
    <cellStyle name="强调文字颜色 2 3 7" xfId="5660"/>
    <cellStyle name="强调文字颜色 2 3 8" xfId="5661"/>
    <cellStyle name="强调文字颜色 2 3 9" xfId="5662"/>
    <cellStyle name="强调文字颜色 3 2 10" xfId="5663"/>
    <cellStyle name="强调文字颜色 3 2 10 2" xfId="5664"/>
    <cellStyle name="强调文字颜色 3 2 10 3" xfId="5665"/>
    <cellStyle name="强调文字颜色 3 2 10 4" xfId="5666"/>
    <cellStyle name="强调文字颜色 3 2 10 5" xfId="5667"/>
    <cellStyle name="强调文字颜色 3 2 11" xfId="5668"/>
    <cellStyle name="强调文字颜色 3 2 11 2" xfId="5669"/>
    <cellStyle name="强调文字颜色 3 2 11 3" xfId="5670"/>
    <cellStyle name="强调文字颜色 3 2 11 4" xfId="5671"/>
    <cellStyle name="强调文字颜色 3 2 11 5" xfId="5672"/>
    <cellStyle name="强调文字颜色 3 2 12" xfId="5673"/>
    <cellStyle name="强调文字颜色 3 2 12 2" xfId="5674"/>
    <cellStyle name="强调文字颜色 3 2 12 3" xfId="5675"/>
    <cellStyle name="强调文字颜色 3 2 12 4" xfId="5676"/>
    <cellStyle name="强调文字颜色 3 2 12 5" xfId="5677"/>
    <cellStyle name="强调文字颜色 3 2 13" xfId="5678"/>
    <cellStyle name="强调文字颜色 3 2 14" xfId="5679"/>
    <cellStyle name="强调文字颜色 3 2 15" xfId="5680"/>
    <cellStyle name="强调文字颜色 3 2 16" xfId="5681"/>
    <cellStyle name="强调文字颜色 3 2 17" xfId="5682"/>
    <cellStyle name="强调文字颜色 3 2 18" xfId="5683"/>
    <cellStyle name="强调文字颜色 3 2 19" xfId="5684"/>
    <cellStyle name="强调文字颜色 3 2 2" xfId="5685"/>
    <cellStyle name="强调文字颜色 3 2 2 10" xfId="5686"/>
    <cellStyle name="强调文字颜色 3 2 2 2" xfId="5687"/>
    <cellStyle name="强调文字颜色 3 2 2 3" xfId="5688"/>
    <cellStyle name="强调文字颜色 3 2 2 4" xfId="5689"/>
    <cellStyle name="强调文字颜色 3 2 2 5" xfId="5690"/>
    <cellStyle name="强调文字颜色 3 2 2 6" xfId="5691"/>
    <cellStyle name="强调文字颜色 3 2 2 7" xfId="5692"/>
    <cellStyle name="强调文字颜色 3 2 2 8" xfId="5693"/>
    <cellStyle name="强调文字颜色 3 2 2 9" xfId="5694"/>
    <cellStyle name="强调文字颜色 3 2 20" xfId="5695"/>
    <cellStyle name="强调文字颜色 3 2 21" xfId="5696"/>
    <cellStyle name="强调文字颜色 3 2 22" xfId="5697"/>
    <cellStyle name="强调文字颜色 3 2 23" xfId="5698"/>
    <cellStyle name="强调文字颜色 3 2 24" xfId="5699"/>
    <cellStyle name="强调文字颜色 3 2 25" xfId="5700"/>
    <cellStyle name="强调文字颜色 3 2 26" xfId="5701"/>
    <cellStyle name="强调文字颜色 3 2 3" xfId="5702"/>
    <cellStyle name="强调文字颜色 3 2 3 10" xfId="5703"/>
    <cellStyle name="强调文字颜色 3 2 3 2" xfId="5704"/>
    <cellStyle name="强调文字颜色 3 2 3 3" xfId="5705"/>
    <cellStyle name="强调文字颜色 3 2 3 4" xfId="5706"/>
    <cellStyle name="强调文字颜色 3 2 3 5" xfId="5707"/>
    <cellStyle name="强调文字颜色 3 2 3 6" xfId="5708"/>
    <cellStyle name="强调文字颜色 3 2 3 7" xfId="5709"/>
    <cellStyle name="强调文字颜色 3 2 3 8" xfId="5710"/>
    <cellStyle name="强调文字颜色 3 2 3 9" xfId="5711"/>
    <cellStyle name="强调文字颜色 3 2 4" xfId="5712"/>
    <cellStyle name="强调文字颜色 3 2 4 10" xfId="5713"/>
    <cellStyle name="强调文字颜色 3 2 4 2" xfId="5714"/>
    <cellStyle name="强调文字颜色 3 2 4 3" xfId="5715"/>
    <cellStyle name="强调文字颜色 3 2 4 4" xfId="5716"/>
    <cellStyle name="强调文字颜色 3 2 4 5" xfId="5717"/>
    <cellStyle name="强调文字颜色 3 2 4 6" xfId="5718"/>
    <cellStyle name="强调文字颜色 3 2 4 7" xfId="5719"/>
    <cellStyle name="强调文字颜色 3 2 4 8" xfId="5720"/>
    <cellStyle name="强调文字颜色 3 2 4 9" xfId="5721"/>
    <cellStyle name="强调文字颜色 3 2 5" xfId="5722"/>
    <cellStyle name="强调文字颜色 3 2 5 10" xfId="5723"/>
    <cellStyle name="强调文字颜色 3 2 5 2" xfId="5724"/>
    <cellStyle name="强调文字颜色 3 2 5 3" xfId="5725"/>
    <cellStyle name="强调文字颜色 3 2 5 4" xfId="5726"/>
    <cellStyle name="强调文字颜色 3 2 5 5" xfId="5727"/>
    <cellStyle name="强调文字颜色 3 2 5 6" xfId="5728"/>
    <cellStyle name="强调文字颜色 3 2 5 7" xfId="5729"/>
    <cellStyle name="强调文字颜色 3 2 5 8" xfId="5730"/>
    <cellStyle name="强调文字颜色 3 2 5 9" xfId="5731"/>
    <cellStyle name="强调文字颜色 3 2 6" xfId="5732"/>
    <cellStyle name="强调文字颜色 3 2 6 10" xfId="5733"/>
    <cellStyle name="强调文字颜色 3 2 6 2" xfId="5734"/>
    <cellStyle name="强调文字颜色 3 2 6 3" xfId="5735"/>
    <cellStyle name="强调文字颜色 3 2 6 4" xfId="5736"/>
    <cellStyle name="强调文字颜色 3 2 6 5" xfId="5737"/>
    <cellStyle name="强调文字颜色 3 2 6 6" xfId="5738"/>
    <cellStyle name="强调文字颜色 3 2 6 7" xfId="5739"/>
    <cellStyle name="强调文字颜色 3 2 6 8" xfId="5740"/>
    <cellStyle name="强调文字颜色 3 2 6 9" xfId="5741"/>
    <cellStyle name="强调文字颜色 3 2 7" xfId="5742"/>
    <cellStyle name="强调文字颜色 3 2 7 10" xfId="5743"/>
    <cellStyle name="强调文字颜色 3 2 7 2" xfId="5744"/>
    <cellStyle name="强调文字颜色 3 2 7 3" xfId="5745"/>
    <cellStyle name="强调文字颜色 3 2 7 4" xfId="5746"/>
    <cellStyle name="强调文字颜色 3 2 7 5" xfId="5747"/>
    <cellStyle name="强调文字颜色 3 2 7 6" xfId="5748"/>
    <cellStyle name="强调文字颜色 3 2 7 7" xfId="5749"/>
    <cellStyle name="强调文字颜色 3 2 7 8" xfId="5750"/>
    <cellStyle name="强调文字颜色 3 2 7 9" xfId="5751"/>
    <cellStyle name="强调文字颜色 3 2 8" xfId="5752"/>
    <cellStyle name="强调文字颜色 3 2 8 2" xfId="5753"/>
    <cellStyle name="强调文字颜色 3 2 8 3" xfId="5754"/>
    <cellStyle name="强调文字颜色 3 2 8 4" xfId="5755"/>
    <cellStyle name="强调文字颜色 3 2 8 5" xfId="5756"/>
    <cellStyle name="强调文字颜色 3 2 9" xfId="5757"/>
    <cellStyle name="强调文字颜色 3 2 9 2" xfId="5758"/>
    <cellStyle name="强调文字颜色 3 2 9 3" xfId="5759"/>
    <cellStyle name="强调文字颜色 3 2 9 4" xfId="5760"/>
    <cellStyle name="强调文字颜色 3 2 9 5" xfId="5761"/>
    <cellStyle name="强调文字颜色 3 3" xfId="5762"/>
    <cellStyle name="强调文字颜色 3 3 10" xfId="5763"/>
    <cellStyle name="强调文字颜色 3 3 2" xfId="5764"/>
    <cellStyle name="强调文字颜色 3 3 3" xfId="5765"/>
    <cellStyle name="强调文字颜色 3 3 4" xfId="5766"/>
    <cellStyle name="强调文字颜色 3 3 5" xfId="5767"/>
    <cellStyle name="强调文字颜色 3 3 6" xfId="5768"/>
    <cellStyle name="强调文字颜色 3 3 7" xfId="5769"/>
    <cellStyle name="强调文字颜色 3 3 8" xfId="5770"/>
    <cellStyle name="强调文字颜色 3 3 9" xfId="5771"/>
    <cellStyle name="强调文字颜色 4 2 10" xfId="5772"/>
    <cellStyle name="强调文字颜色 4 2 10 2" xfId="5773"/>
    <cellStyle name="强调文字颜色 4 2 10 3" xfId="5774"/>
    <cellStyle name="强调文字颜色 4 2 10 4" xfId="5775"/>
    <cellStyle name="强调文字颜色 4 2 10 5" xfId="5776"/>
    <cellStyle name="强调文字颜色 4 2 11" xfId="5777"/>
    <cellStyle name="强调文字颜色 4 2 11 2" xfId="5778"/>
    <cellStyle name="强调文字颜色 4 2 11 3" xfId="5779"/>
    <cellStyle name="强调文字颜色 4 2 11 4" xfId="5780"/>
    <cellStyle name="强调文字颜色 4 2 11 5" xfId="5781"/>
    <cellStyle name="强调文字颜色 4 2 12" xfId="5782"/>
    <cellStyle name="强调文字颜色 4 2 12 2" xfId="5783"/>
    <cellStyle name="强调文字颜色 4 2 12 3" xfId="5784"/>
    <cellStyle name="强调文字颜色 4 2 12 4" xfId="5785"/>
    <cellStyle name="强调文字颜色 4 2 12 5" xfId="5786"/>
    <cellStyle name="强调文字颜色 4 2 13" xfId="5787"/>
    <cellStyle name="强调文字颜色 4 2 14" xfId="5788"/>
    <cellStyle name="强调文字颜色 4 2 15" xfId="5789"/>
    <cellStyle name="强调文字颜色 4 2 16" xfId="5790"/>
    <cellStyle name="强调文字颜色 4 2 17" xfId="5791"/>
    <cellStyle name="强调文字颜色 4 2 18" xfId="5792"/>
    <cellStyle name="强调文字颜色 4 2 19" xfId="5793"/>
    <cellStyle name="强调文字颜色 4 2 2" xfId="5794"/>
    <cellStyle name="强调文字颜色 4 2 2 10" xfId="5795"/>
    <cellStyle name="强调文字颜色 4 2 2 2" xfId="5796"/>
    <cellStyle name="强调文字颜色 4 2 2 3" xfId="5797"/>
    <cellStyle name="强调文字颜色 4 2 2 4" xfId="5798"/>
    <cellStyle name="强调文字颜色 4 2 2 5" xfId="5799"/>
    <cellStyle name="强调文字颜色 4 2 2 6" xfId="5800"/>
    <cellStyle name="强调文字颜色 4 2 2 7" xfId="5801"/>
    <cellStyle name="强调文字颜色 4 2 2 8" xfId="5802"/>
    <cellStyle name="强调文字颜色 4 2 2 9" xfId="5803"/>
    <cellStyle name="强调文字颜色 4 2 20" xfId="5804"/>
    <cellStyle name="强调文字颜色 4 2 21" xfId="5805"/>
    <cellStyle name="强调文字颜色 4 2 22" xfId="5806"/>
    <cellStyle name="强调文字颜色 4 2 23" xfId="5807"/>
    <cellStyle name="强调文字颜色 4 2 24" xfId="5808"/>
    <cellStyle name="强调文字颜色 4 2 25" xfId="5809"/>
    <cellStyle name="强调文字颜色 4 2 26" xfId="5810"/>
    <cellStyle name="强调文字颜色 4 2 3" xfId="5811"/>
    <cellStyle name="强调文字颜色 4 2 3 10" xfId="5812"/>
    <cellStyle name="强调文字颜色 4 2 3 2" xfId="5813"/>
    <cellStyle name="强调文字颜色 4 2 3 3" xfId="5814"/>
    <cellStyle name="强调文字颜色 4 2 3 4" xfId="5815"/>
    <cellStyle name="强调文字颜色 4 2 3 5" xfId="5816"/>
    <cellStyle name="强调文字颜色 4 2 3 6" xfId="5817"/>
    <cellStyle name="强调文字颜色 4 2 3 7" xfId="5818"/>
    <cellStyle name="强调文字颜色 4 2 3 8" xfId="5819"/>
    <cellStyle name="强调文字颜色 4 2 3 9" xfId="5820"/>
    <cellStyle name="强调文字颜色 4 2 4" xfId="5821"/>
    <cellStyle name="强调文字颜色 4 2 4 10" xfId="5822"/>
    <cellStyle name="强调文字颜色 4 2 4 2" xfId="5823"/>
    <cellStyle name="强调文字颜色 4 2 4 3" xfId="5824"/>
    <cellStyle name="强调文字颜色 4 2 4 4" xfId="5825"/>
    <cellStyle name="强调文字颜色 4 2 4 5" xfId="5826"/>
    <cellStyle name="强调文字颜色 4 2 4 6" xfId="5827"/>
    <cellStyle name="强调文字颜色 4 2 4 7" xfId="5828"/>
    <cellStyle name="强调文字颜色 4 2 4 8" xfId="5829"/>
    <cellStyle name="强调文字颜色 4 2 4 9" xfId="5830"/>
    <cellStyle name="强调文字颜色 4 2 5" xfId="5831"/>
    <cellStyle name="强调文字颜色 4 2 5 10" xfId="5832"/>
    <cellStyle name="强调文字颜色 4 2 5 2" xfId="5833"/>
    <cellStyle name="强调文字颜色 4 2 5 3" xfId="5834"/>
    <cellStyle name="强调文字颜色 4 2 5 4" xfId="5835"/>
    <cellStyle name="强调文字颜色 4 2 5 5" xfId="5836"/>
    <cellStyle name="强调文字颜色 4 2 5 6" xfId="5837"/>
    <cellStyle name="强调文字颜色 4 2 5 7" xfId="5838"/>
    <cellStyle name="强调文字颜色 4 2 5 8" xfId="5839"/>
    <cellStyle name="强调文字颜色 4 2 5 9" xfId="5840"/>
    <cellStyle name="强调文字颜色 4 2 6" xfId="5841"/>
    <cellStyle name="强调文字颜色 4 2 6 10" xfId="5842"/>
    <cellStyle name="强调文字颜色 4 2 6 2" xfId="5843"/>
    <cellStyle name="强调文字颜色 4 2 6 3" xfId="5844"/>
    <cellStyle name="强调文字颜色 4 2 6 4" xfId="5845"/>
    <cellStyle name="强调文字颜色 4 2 6 5" xfId="5846"/>
    <cellStyle name="强调文字颜色 4 2 6 6" xfId="5847"/>
    <cellStyle name="强调文字颜色 4 2 6 7" xfId="5848"/>
    <cellStyle name="强调文字颜色 4 2 6 8" xfId="5849"/>
    <cellStyle name="强调文字颜色 4 2 6 9" xfId="5850"/>
    <cellStyle name="强调文字颜色 4 2 7" xfId="5851"/>
    <cellStyle name="强调文字颜色 4 2 7 10" xfId="5852"/>
    <cellStyle name="强调文字颜色 4 2 7 2" xfId="5853"/>
    <cellStyle name="强调文字颜色 4 2 7 3" xfId="5854"/>
    <cellStyle name="强调文字颜色 4 2 7 4" xfId="5855"/>
    <cellStyle name="强调文字颜色 4 2 7 5" xfId="5856"/>
    <cellStyle name="强调文字颜色 4 2 7 6" xfId="5857"/>
    <cellStyle name="强调文字颜色 4 2 7 7" xfId="5858"/>
    <cellStyle name="强调文字颜色 4 2 7 8" xfId="5859"/>
    <cellStyle name="强调文字颜色 4 2 7 9" xfId="5860"/>
    <cellStyle name="强调文字颜色 4 2 8" xfId="5861"/>
    <cellStyle name="强调文字颜色 4 2 8 2" xfId="5862"/>
    <cellStyle name="强调文字颜色 4 2 8 3" xfId="5863"/>
    <cellStyle name="强调文字颜色 4 2 8 4" xfId="5864"/>
    <cellStyle name="强调文字颜色 4 2 8 5" xfId="5865"/>
    <cellStyle name="强调文字颜色 4 2 9" xfId="5866"/>
    <cellStyle name="强调文字颜色 4 2 9 2" xfId="5867"/>
    <cellStyle name="强调文字颜色 4 2 9 3" xfId="5868"/>
    <cellStyle name="强调文字颜色 4 2 9 4" xfId="5869"/>
    <cellStyle name="强调文字颜色 4 2 9 5" xfId="5870"/>
    <cellStyle name="强调文字颜色 4 3" xfId="5871"/>
    <cellStyle name="强调文字颜色 4 3 10" xfId="5872"/>
    <cellStyle name="强调文字颜色 4 3 2" xfId="5873"/>
    <cellStyle name="强调文字颜色 4 3 3" xfId="5874"/>
    <cellStyle name="强调文字颜色 4 3 4" xfId="5875"/>
    <cellStyle name="强调文字颜色 4 3 5" xfId="5876"/>
    <cellStyle name="强调文字颜色 4 3 6" xfId="5877"/>
    <cellStyle name="强调文字颜色 4 3 7" xfId="5878"/>
    <cellStyle name="强调文字颜色 4 3 8" xfId="5879"/>
    <cellStyle name="强调文字颜色 4 3 9" xfId="5880"/>
    <cellStyle name="强调文字颜色 5 2 10" xfId="5881"/>
    <cellStyle name="强调文字颜色 5 2 10 2" xfId="5882"/>
    <cellStyle name="强调文字颜色 5 2 10 3" xfId="5883"/>
    <cellStyle name="强调文字颜色 5 2 10 4" xfId="5884"/>
    <cellStyle name="强调文字颜色 5 2 10 5" xfId="5885"/>
    <cellStyle name="强调文字颜色 5 2 11" xfId="5886"/>
    <cellStyle name="强调文字颜色 5 2 11 2" xfId="5887"/>
    <cellStyle name="强调文字颜色 5 2 11 3" xfId="5888"/>
    <cellStyle name="强调文字颜色 5 2 11 4" xfId="5889"/>
    <cellStyle name="强调文字颜色 5 2 11 5" xfId="5890"/>
    <cellStyle name="强调文字颜色 5 2 12" xfId="5891"/>
    <cellStyle name="强调文字颜色 5 2 12 2" xfId="5892"/>
    <cellStyle name="强调文字颜色 5 2 12 3" xfId="5893"/>
    <cellStyle name="强调文字颜色 5 2 12 4" xfId="5894"/>
    <cellStyle name="强调文字颜色 5 2 12 5" xfId="5895"/>
    <cellStyle name="强调文字颜色 5 2 13" xfId="5896"/>
    <cellStyle name="强调文字颜色 5 2 14" xfId="5897"/>
    <cellStyle name="强调文字颜色 5 2 15" xfId="5898"/>
    <cellStyle name="强调文字颜色 5 2 16" xfId="5899"/>
    <cellStyle name="强调文字颜色 5 2 17" xfId="5900"/>
    <cellStyle name="强调文字颜色 5 2 18" xfId="5901"/>
    <cellStyle name="强调文字颜色 5 2 19" xfId="5902"/>
    <cellStyle name="强调文字颜色 5 2 2" xfId="5903"/>
    <cellStyle name="强调文字颜色 5 2 2 10" xfId="5904"/>
    <cellStyle name="强调文字颜色 5 2 2 2" xfId="5905"/>
    <cellStyle name="强调文字颜色 5 2 2 3" xfId="5906"/>
    <cellStyle name="强调文字颜色 5 2 2 4" xfId="5907"/>
    <cellStyle name="强调文字颜色 5 2 2 5" xfId="5908"/>
    <cellStyle name="强调文字颜色 5 2 2 6" xfId="5909"/>
    <cellStyle name="强调文字颜色 5 2 2 7" xfId="5910"/>
    <cellStyle name="强调文字颜色 5 2 2 8" xfId="5911"/>
    <cellStyle name="强调文字颜色 5 2 2 9" xfId="5912"/>
    <cellStyle name="强调文字颜色 5 2 20" xfId="5913"/>
    <cellStyle name="强调文字颜色 5 2 21" xfId="5914"/>
    <cellStyle name="强调文字颜色 5 2 22" xfId="5915"/>
    <cellStyle name="强调文字颜色 5 2 23" xfId="5916"/>
    <cellStyle name="强调文字颜色 5 2 24" xfId="5917"/>
    <cellStyle name="强调文字颜色 5 2 25" xfId="5918"/>
    <cellStyle name="强调文字颜色 5 2 26" xfId="5919"/>
    <cellStyle name="强调文字颜色 5 2 3" xfId="5920"/>
    <cellStyle name="强调文字颜色 5 2 3 10" xfId="5921"/>
    <cellStyle name="强调文字颜色 5 2 3 2" xfId="5922"/>
    <cellStyle name="强调文字颜色 5 2 3 3" xfId="5923"/>
    <cellStyle name="强调文字颜色 5 2 3 4" xfId="5924"/>
    <cellStyle name="强调文字颜色 5 2 3 5" xfId="5925"/>
    <cellStyle name="强调文字颜色 5 2 3 6" xfId="5926"/>
    <cellStyle name="强调文字颜色 5 2 3 7" xfId="5927"/>
    <cellStyle name="强调文字颜色 5 2 3 8" xfId="5928"/>
    <cellStyle name="强调文字颜色 5 2 3 9" xfId="5929"/>
    <cellStyle name="强调文字颜色 5 2 4" xfId="5930"/>
    <cellStyle name="强调文字颜色 5 2 4 10" xfId="5931"/>
    <cellStyle name="强调文字颜色 5 2 4 2" xfId="5932"/>
    <cellStyle name="强调文字颜色 5 2 4 3" xfId="5933"/>
    <cellStyle name="强调文字颜色 5 2 4 4" xfId="5934"/>
    <cellStyle name="强调文字颜色 5 2 4 5" xfId="5935"/>
    <cellStyle name="强调文字颜色 5 2 4 6" xfId="5936"/>
    <cellStyle name="强调文字颜色 5 2 4 7" xfId="5937"/>
    <cellStyle name="强调文字颜色 5 2 4 8" xfId="5938"/>
    <cellStyle name="强调文字颜色 5 2 4 9" xfId="5939"/>
    <cellStyle name="强调文字颜色 5 2 5" xfId="5940"/>
    <cellStyle name="强调文字颜色 5 2 5 10" xfId="5941"/>
    <cellStyle name="强调文字颜色 5 2 5 2" xfId="5942"/>
    <cellStyle name="强调文字颜色 5 2 5 3" xfId="5943"/>
    <cellStyle name="强调文字颜色 5 2 5 4" xfId="5944"/>
    <cellStyle name="强调文字颜色 5 2 5 5" xfId="5945"/>
    <cellStyle name="强调文字颜色 5 2 5 6" xfId="5946"/>
    <cellStyle name="强调文字颜色 5 2 5 7" xfId="5947"/>
    <cellStyle name="强调文字颜色 5 2 5 8" xfId="5948"/>
    <cellStyle name="强调文字颜色 5 2 5 9" xfId="5949"/>
    <cellStyle name="强调文字颜色 5 2 6" xfId="5950"/>
    <cellStyle name="强调文字颜色 5 2 6 10" xfId="5951"/>
    <cellStyle name="强调文字颜色 5 2 6 2" xfId="5952"/>
    <cellStyle name="强调文字颜色 5 2 6 3" xfId="5953"/>
    <cellStyle name="强调文字颜色 5 2 6 4" xfId="5954"/>
    <cellStyle name="强调文字颜色 5 2 6 5" xfId="5955"/>
    <cellStyle name="强调文字颜色 5 2 6 6" xfId="5956"/>
    <cellStyle name="强调文字颜色 5 2 6 7" xfId="5957"/>
    <cellStyle name="强调文字颜色 5 2 6 8" xfId="5958"/>
    <cellStyle name="强调文字颜色 5 2 6 9" xfId="5959"/>
    <cellStyle name="强调文字颜色 5 2 7" xfId="5960"/>
    <cellStyle name="强调文字颜色 5 2 7 10" xfId="5961"/>
    <cellStyle name="强调文字颜色 5 2 7 2" xfId="5962"/>
    <cellStyle name="强调文字颜色 5 2 7 3" xfId="5963"/>
    <cellStyle name="强调文字颜色 5 2 7 4" xfId="5964"/>
    <cellStyle name="强调文字颜色 5 2 7 5" xfId="5965"/>
    <cellStyle name="强调文字颜色 5 2 7 6" xfId="5966"/>
    <cellStyle name="强调文字颜色 5 2 7 7" xfId="5967"/>
    <cellStyle name="强调文字颜色 5 2 7 8" xfId="5968"/>
    <cellStyle name="强调文字颜色 5 2 7 9" xfId="5969"/>
    <cellStyle name="强调文字颜色 5 2 8" xfId="5970"/>
    <cellStyle name="强调文字颜色 5 2 8 2" xfId="5971"/>
    <cellStyle name="强调文字颜色 5 2 8 3" xfId="5972"/>
    <cellStyle name="强调文字颜色 5 2 8 4" xfId="5973"/>
    <cellStyle name="强调文字颜色 5 2 8 5" xfId="5974"/>
    <cellStyle name="强调文字颜色 5 2 9" xfId="5975"/>
    <cellStyle name="强调文字颜色 5 2 9 2" xfId="5976"/>
    <cellStyle name="强调文字颜色 5 2 9 3" xfId="5977"/>
    <cellStyle name="强调文字颜色 5 2 9 4" xfId="5978"/>
    <cellStyle name="强调文字颜色 5 2 9 5" xfId="5979"/>
    <cellStyle name="强调文字颜色 5 3" xfId="5980"/>
    <cellStyle name="强调文字颜色 5 3 10" xfId="5981"/>
    <cellStyle name="强调文字颜色 5 3 2" xfId="5982"/>
    <cellStyle name="强调文字颜色 5 3 3" xfId="5983"/>
    <cellStyle name="强调文字颜色 5 3 4" xfId="5984"/>
    <cellStyle name="强调文字颜色 5 3 5" xfId="5985"/>
    <cellStyle name="强调文字颜色 5 3 6" xfId="5986"/>
    <cellStyle name="强调文字颜色 5 3 7" xfId="5987"/>
    <cellStyle name="强调文字颜色 5 3 8" xfId="5988"/>
    <cellStyle name="强调文字颜色 5 3 9" xfId="5989"/>
    <cellStyle name="强调文字颜色 6 2 10" xfId="5990"/>
    <cellStyle name="强调文字颜色 6 2 10 2" xfId="5991"/>
    <cellStyle name="强调文字颜色 6 2 10 3" xfId="5992"/>
    <cellStyle name="强调文字颜色 6 2 10 4" xfId="5993"/>
    <cellStyle name="强调文字颜色 6 2 10 5" xfId="5994"/>
    <cellStyle name="强调文字颜色 6 2 11" xfId="5995"/>
    <cellStyle name="强调文字颜色 6 2 11 2" xfId="5996"/>
    <cellStyle name="强调文字颜色 6 2 11 3" xfId="5997"/>
    <cellStyle name="强调文字颜色 6 2 11 4" xfId="5998"/>
    <cellStyle name="强调文字颜色 6 2 11 5" xfId="5999"/>
    <cellStyle name="强调文字颜色 6 2 12" xfId="6000"/>
    <cellStyle name="强调文字颜色 6 2 12 2" xfId="6001"/>
    <cellStyle name="强调文字颜色 6 2 12 3" xfId="6002"/>
    <cellStyle name="强调文字颜色 6 2 12 4" xfId="6003"/>
    <cellStyle name="强调文字颜色 6 2 12 5" xfId="6004"/>
    <cellStyle name="强调文字颜色 6 2 13" xfId="6005"/>
    <cellStyle name="强调文字颜色 6 2 14" xfId="6006"/>
    <cellStyle name="强调文字颜色 6 2 15" xfId="6007"/>
    <cellStyle name="强调文字颜色 6 2 16" xfId="6008"/>
    <cellStyle name="强调文字颜色 6 2 17" xfId="6009"/>
    <cellStyle name="强调文字颜色 6 2 18" xfId="6010"/>
    <cellStyle name="强调文字颜色 6 2 19" xfId="6011"/>
    <cellStyle name="强调文字颜色 6 2 2" xfId="6012"/>
    <cellStyle name="强调文字颜色 6 2 2 10" xfId="6013"/>
    <cellStyle name="强调文字颜色 6 2 2 2" xfId="6014"/>
    <cellStyle name="强调文字颜色 6 2 2 3" xfId="6015"/>
    <cellStyle name="强调文字颜色 6 2 2 4" xfId="6016"/>
    <cellStyle name="强调文字颜色 6 2 2 5" xfId="6017"/>
    <cellStyle name="强调文字颜色 6 2 2 6" xfId="6018"/>
    <cellStyle name="强调文字颜色 6 2 2 7" xfId="6019"/>
    <cellStyle name="强调文字颜色 6 2 2 8" xfId="6020"/>
    <cellStyle name="强调文字颜色 6 2 2 9" xfId="6021"/>
    <cellStyle name="强调文字颜色 6 2 20" xfId="6022"/>
    <cellStyle name="强调文字颜色 6 2 21" xfId="6023"/>
    <cellStyle name="强调文字颜色 6 2 22" xfId="6024"/>
    <cellStyle name="强调文字颜色 6 2 23" xfId="6025"/>
    <cellStyle name="强调文字颜色 6 2 24" xfId="6026"/>
    <cellStyle name="强调文字颜色 6 2 25" xfId="6027"/>
    <cellStyle name="强调文字颜色 6 2 26" xfId="6028"/>
    <cellStyle name="强调文字颜色 6 2 3" xfId="6029"/>
    <cellStyle name="强调文字颜色 6 2 3 10" xfId="6030"/>
    <cellStyle name="强调文字颜色 6 2 3 2" xfId="6031"/>
    <cellStyle name="强调文字颜色 6 2 3 3" xfId="6032"/>
    <cellStyle name="强调文字颜色 6 2 3 4" xfId="6033"/>
    <cellStyle name="强调文字颜色 6 2 3 5" xfId="6034"/>
    <cellStyle name="强调文字颜色 6 2 3 6" xfId="6035"/>
    <cellStyle name="强调文字颜色 6 2 3 7" xfId="6036"/>
    <cellStyle name="强调文字颜色 6 2 3 8" xfId="6037"/>
    <cellStyle name="强调文字颜色 6 2 3 9" xfId="6038"/>
    <cellStyle name="强调文字颜色 6 2 4" xfId="6039"/>
    <cellStyle name="强调文字颜色 6 2 4 10" xfId="6040"/>
    <cellStyle name="强调文字颜色 6 2 4 2" xfId="6041"/>
    <cellStyle name="强调文字颜色 6 2 4 3" xfId="6042"/>
    <cellStyle name="强调文字颜色 6 2 4 4" xfId="6043"/>
    <cellStyle name="强调文字颜色 6 2 4 5" xfId="6044"/>
    <cellStyle name="强调文字颜色 6 2 4 6" xfId="6045"/>
    <cellStyle name="强调文字颜色 6 2 4 7" xfId="6046"/>
    <cellStyle name="强调文字颜色 6 2 4 8" xfId="6047"/>
    <cellStyle name="强调文字颜色 6 2 4 9" xfId="6048"/>
    <cellStyle name="强调文字颜色 6 2 5" xfId="6049"/>
    <cellStyle name="强调文字颜色 6 2 5 10" xfId="6050"/>
    <cellStyle name="强调文字颜色 6 2 5 2" xfId="6051"/>
    <cellStyle name="强调文字颜色 6 2 5 3" xfId="6052"/>
    <cellStyle name="强调文字颜色 6 2 5 4" xfId="6053"/>
    <cellStyle name="强调文字颜色 6 2 5 5" xfId="6054"/>
    <cellStyle name="强调文字颜色 6 2 5 6" xfId="6055"/>
    <cellStyle name="强调文字颜色 6 2 5 7" xfId="6056"/>
    <cellStyle name="强调文字颜色 6 2 5 8" xfId="6057"/>
    <cellStyle name="强调文字颜色 6 2 5 9" xfId="6058"/>
    <cellStyle name="强调文字颜色 6 2 6" xfId="6059"/>
    <cellStyle name="强调文字颜色 6 2 6 10" xfId="6060"/>
    <cellStyle name="强调文字颜色 6 2 6 2" xfId="6061"/>
    <cellStyle name="强调文字颜色 6 2 6 3" xfId="6062"/>
    <cellStyle name="强调文字颜色 6 2 6 4" xfId="6063"/>
    <cellStyle name="强调文字颜色 6 2 6 5" xfId="6064"/>
    <cellStyle name="强调文字颜色 6 2 6 6" xfId="6065"/>
    <cellStyle name="强调文字颜色 6 2 6 7" xfId="6066"/>
    <cellStyle name="强调文字颜色 6 2 6 8" xfId="6067"/>
    <cellStyle name="强调文字颜色 6 2 6 9" xfId="6068"/>
    <cellStyle name="强调文字颜色 6 2 7" xfId="6069"/>
    <cellStyle name="强调文字颜色 6 2 7 10" xfId="6070"/>
    <cellStyle name="强调文字颜色 6 2 7 2" xfId="6071"/>
    <cellStyle name="强调文字颜色 6 2 7 3" xfId="6072"/>
    <cellStyle name="强调文字颜色 6 2 7 4" xfId="6073"/>
    <cellStyle name="强调文字颜色 6 2 7 5" xfId="6074"/>
    <cellStyle name="强调文字颜色 6 2 7 6" xfId="6075"/>
    <cellStyle name="强调文字颜色 6 2 7 7" xfId="6076"/>
    <cellStyle name="强调文字颜色 6 2 7 8" xfId="6077"/>
    <cellStyle name="强调文字颜色 6 2 7 9" xfId="6078"/>
    <cellStyle name="强调文字颜色 6 2 8" xfId="6079"/>
    <cellStyle name="强调文字颜色 6 2 8 2" xfId="6080"/>
    <cellStyle name="强调文字颜色 6 2 8 3" xfId="6081"/>
    <cellStyle name="强调文字颜色 6 2 8 4" xfId="6082"/>
    <cellStyle name="强调文字颜色 6 2 8 5" xfId="6083"/>
    <cellStyle name="强调文字颜色 6 2 9" xfId="6084"/>
    <cellStyle name="强调文字颜色 6 2 9 2" xfId="6085"/>
    <cellStyle name="强调文字颜色 6 2 9 3" xfId="6086"/>
    <cellStyle name="强调文字颜色 6 2 9 4" xfId="6087"/>
    <cellStyle name="强调文字颜色 6 2 9 5" xfId="6088"/>
    <cellStyle name="强调文字颜色 6 3" xfId="6089"/>
    <cellStyle name="强调文字颜色 6 3 10" xfId="6090"/>
    <cellStyle name="强调文字颜色 6 3 2" xfId="6091"/>
    <cellStyle name="强调文字颜色 6 3 3" xfId="6092"/>
    <cellStyle name="强调文字颜色 6 3 4" xfId="6093"/>
    <cellStyle name="强调文字颜色 6 3 5" xfId="6094"/>
    <cellStyle name="强调文字颜色 6 3 6" xfId="6095"/>
    <cellStyle name="强调文字颜色 6 3 7" xfId="6096"/>
    <cellStyle name="强调文字颜色 6 3 8" xfId="6097"/>
    <cellStyle name="强调文字颜色 6 3 9" xfId="6098"/>
    <cellStyle name="适中 10" xfId="6099"/>
    <cellStyle name="适中 10 2" xfId="6100"/>
    <cellStyle name="适中 10 3" xfId="6101"/>
    <cellStyle name="适中 10 4" xfId="6102"/>
    <cellStyle name="适中 10 5" xfId="6103"/>
    <cellStyle name="适中 11" xfId="6104"/>
    <cellStyle name="适中 11 2" xfId="6105"/>
    <cellStyle name="适中 11 3" xfId="6106"/>
    <cellStyle name="适中 11 4" xfId="6107"/>
    <cellStyle name="适中 11 5" xfId="6108"/>
    <cellStyle name="适中 12" xfId="6109"/>
    <cellStyle name="适中 12 2" xfId="6110"/>
    <cellStyle name="适中 12 3" xfId="6111"/>
    <cellStyle name="适中 12 4" xfId="6112"/>
    <cellStyle name="适中 12 5" xfId="6113"/>
    <cellStyle name="适中 13" xfId="6114"/>
    <cellStyle name="适中 13 2" xfId="6115"/>
    <cellStyle name="适中 13 3" xfId="6116"/>
    <cellStyle name="适中 13 4" xfId="6117"/>
    <cellStyle name="适中 13 5" xfId="6118"/>
    <cellStyle name="适中 14" xfId="6119"/>
    <cellStyle name="适中 14 2" xfId="6120"/>
    <cellStyle name="适中 14 3" xfId="6121"/>
    <cellStyle name="适中 14 4" xfId="6122"/>
    <cellStyle name="适中 14 5" xfId="6123"/>
    <cellStyle name="适中 14 6" xfId="6124"/>
    <cellStyle name="适中 14 7" xfId="6125"/>
    <cellStyle name="适中 15" xfId="6126"/>
    <cellStyle name="适中 15 2" xfId="6127"/>
    <cellStyle name="适中 15 3" xfId="6128"/>
    <cellStyle name="适中 15 4" xfId="6129"/>
    <cellStyle name="适中 15 5" xfId="6130"/>
    <cellStyle name="适中 15 6" xfId="6131"/>
    <cellStyle name="适中 15 7" xfId="6132"/>
    <cellStyle name="适中 16" xfId="6133"/>
    <cellStyle name="适中 16 2" xfId="6134"/>
    <cellStyle name="适中 16 3" xfId="6135"/>
    <cellStyle name="适中 16 4" xfId="6136"/>
    <cellStyle name="适中 16 5" xfId="6137"/>
    <cellStyle name="适中 16 6" xfId="6138"/>
    <cellStyle name="适中 16 7" xfId="6139"/>
    <cellStyle name="适中 17" xfId="6140"/>
    <cellStyle name="适中 17 2" xfId="6141"/>
    <cellStyle name="适中 17 3" xfId="6142"/>
    <cellStyle name="适中 17 4" xfId="6143"/>
    <cellStyle name="适中 17 5" xfId="6144"/>
    <cellStyle name="适中 17 6" xfId="6145"/>
    <cellStyle name="适中 17 7" xfId="6146"/>
    <cellStyle name="适中 17 8" xfId="6147"/>
    <cellStyle name="适中 17 9" xfId="6148"/>
    <cellStyle name="适中 18" xfId="6149"/>
    <cellStyle name="适中 18 2" xfId="6150"/>
    <cellStyle name="适中 18 3" xfId="6151"/>
    <cellStyle name="适中 18 4" xfId="6152"/>
    <cellStyle name="适中 18 5" xfId="6153"/>
    <cellStyle name="适中 19" xfId="6154"/>
    <cellStyle name="适中 19 2" xfId="6155"/>
    <cellStyle name="适中 19 3" xfId="6156"/>
    <cellStyle name="适中 19 4" xfId="6157"/>
    <cellStyle name="适中 19 5" xfId="6158"/>
    <cellStyle name="适中 2 10" xfId="6159"/>
    <cellStyle name="适中 2 10 2" xfId="6160"/>
    <cellStyle name="适中 2 10 3" xfId="6161"/>
    <cellStyle name="适中 2 10 4" xfId="6162"/>
    <cellStyle name="适中 2 10 5" xfId="6163"/>
    <cellStyle name="适中 2 11" xfId="6164"/>
    <cellStyle name="适中 2 11 2" xfId="6165"/>
    <cellStyle name="适中 2 11 3" xfId="6166"/>
    <cellStyle name="适中 2 11 4" xfId="6167"/>
    <cellStyle name="适中 2 11 5" xfId="6168"/>
    <cellStyle name="适中 2 12" xfId="6169"/>
    <cellStyle name="适中 2 12 2" xfId="6170"/>
    <cellStyle name="适中 2 12 3" xfId="6171"/>
    <cellStyle name="适中 2 12 4" xfId="6172"/>
    <cellStyle name="适中 2 12 5" xfId="6173"/>
    <cellStyle name="适中 2 13" xfId="6174"/>
    <cellStyle name="适中 2 14" xfId="6175"/>
    <cellStyle name="适中 2 15" xfId="6176"/>
    <cellStyle name="适中 2 16" xfId="6177"/>
    <cellStyle name="适中 2 17" xfId="6178"/>
    <cellStyle name="适中 2 18" xfId="6179"/>
    <cellStyle name="适中 2 19" xfId="6180"/>
    <cellStyle name="适中 2 2" xfId="6181"/>
    <cellStyle name="适中 2 2 10" xfId="6182"/>
    <cellStyle name="适中 2 2 2" xfId="6183"/>
    <cellStyle name="适中 2 2 3" xfId="6184"/>
    <cellStyle name="适中 2 2 4" xfId="6185"/>
    <cellStyle name="适中 2 2 5" xfId="6186"/>
    <cellStyle name="适中 2 2 6" xfId="6187"/>
    <cellStyle name="适中 2 2 7" xfId="6188"/>
    <cellStyle name="适中 2 2 8" xfId="6189"/>
    <cellStyle name="适中 2 2 9" xfId="6190"/>
    <cellStyle name="适中 2 20" xfId="6191"/>
    <cellStyle name="适中 2 21" xfId="6192"/>
    <cellStyle name="适中 2 22" xfId="6193"/>
    <cellStyle name="适中 2 23" xfId="6194"/>
    <cellStyle name="适中 2 24" xfId="6195"/>
    <cellStyle name="适中 2 25" xfId="6196"/>
    <cellStyle name="适中 2 26" xfId="6197"/>
    <cellStyle name="适中 2 3" xfId="6198"/>
    <cellStyle name="适中 2 3 10" xfId="6199"/>
    <cellStyle name="适中 2 3 2" xfId="6200"/>
    <cellStyle name="适中 2 3 3" xfId="6201"/>
    <cellStyle name="适中 2 3 4" xfId="6202"/>
    <cellStyle name="适中 2 3 5" xfId="6203"/>
    <cellStyle name="适中 2 3 6" xfId="6204"/>
    <cellStyle name="适中 2 3 7" xfId="6205"/>
    <cellStyle name="适中 2 3 8" xfId="6206"/>
    <cellStyle name="适中 2 3 9" xfId="6207"/>
    <cellStyle name="适中 2 4" xfId="6208"/>
    <cellStyle name="适中 2 4 10" xfId="6209"/>
    <cellStyle name="适中 2 4 2" xfId="6210"/>
    <cellStyle name="适中 2 4 3" xfId="6211"/>
    <cellStyle name="适中 2 4 4" xfId="6212"/>
    <cellStyle name="适中 2 4 5" xfId="6213"/>
    <cellStyle name="适中 2 4 6" xfId="6214"/>
    <cellStyle name="适中 2 4 7" xfId="6215"/>
    <cellStyle name="适中 2 4 8" xfId="6216"/>
    <cellStyle name="适中 2 4 9" xfId="6217"/>
    <cellStyle name="适中 2 5" xfId="6218"/>
    <cellStyle name="适中 2 5 10" xfId="6219"/>
    <cellStyle name="适中 2 5 2" xfId="6220"/>
    <cellStyle name="适中 2 5 3" xfId="6221"/>
    <cellStyle name="适中 2 5 4" xfId="6222"/>
    <cellStyle name="适中 2 5 5" xfId="6223"/>
    <cellStyle name="适中 2 5 6" xfId="6224"/>
    <cellStyle name="适中 2 5 7" xfId="6225"/>
    <cellStyle name="适中 2 5 8" xfId="6226"/>
    <cellStyle name="适中 2 5 9" xfId="6227"/>
    <cellStyle name="适中 2 6" xfId="6228"/>
    <cellStyle name="适中 2 6 10" xfId="6229"/>
    <cellStyle name="适中 2 6 2" xfId="6230"/>
    <cellStyle name="适中 2 6 3" xfId="6231"/>
    <cellStyle name="适中 2 6 4" xfId="6232"/>
    <cellStyle name="适中 2 6 5" xfId="6233"/>
    <cellStyle name="适中 2 6 6" xfId="6234"/>
    <cellStyle name="适中 2 6 7" xfId="6235"/>
    <cellStyle name="适中 2 6 8" xfId="6236"/>
    <cellStyle name="适中 2 6 9" xfId="6237"/>
    <cellStyle name="适中 2 7" xfId="6238"/>
    <cellStyle name="适中 2 7 10" xfId="6239"/>
    <cellStyle name="适中 2 7 2" xfId="6240"/>
    <cellStyle name="适中 2 7 3" xfId="6241"/>
    <cellStyle name="适中 2 7 4" xfId="6242"/>
    <cellStyle name="适中 2 7 5" xfId="6243"/>
    <cellStyle name="适中 2 7 6" xfId="6244"/>
    <cellStyle name="适中 2 7 7" xfId="6245"/>
    <cellStyle name="适中 2 7 8" xfId="6246"/>
    <cellStyle name="适中 2 7 9" xfId="6247"/>
    <cellStyle name="适中 2 8" xfId="6248"/>
    <cellStyle name="适中 2 8 2" xfId="6249"/>
    <cellStyle name="适中 2 8 3" xfId="6250"/>
    <cellStyle name="适中 2 8 4" xfId="6251"/>
    <cellStyle name="适中 2 8 5" xfId="6252"/>
    <cellStyle name="适中 2 9" xfId="6253"/>
    <cellStyle name="适中 2 9 2" xfId="6254"/>
    <cellStyle name="适中 2 9 3" xfId="6255"/>
    <cellStyle name="适中 2 9 4" xfId="6256"/>
    <cellStyle name="适中 2 9 5" xfId="6257"/>
    <cellStyle name="适中 20" xfId="6258"/>
    <cellStyle name="适中 20 2" xfId="6259"/>
    <cellStyle name="适中 20 3" xfId="6260"/>
    <cellStyle name="适中 21" xfId="6261"/>
    <cellStyle name="适中 21 2" xfId="6262"/>
    <cellStyle name="适中 21 3" xfId="6263"/>
    <cellStyle name="适中 22" xfId="6264"/>
    <cellStyle name="适中 22 2" xfId="6265"/>
    <cellStyle name="适中 22 3" xfId="6266"/>
    <cellStyle name="适中 23" xfId="6267"/>
    <cellStyle name="适中 23 2" xfId="6268"/>
    <cellStyle name="适中 23 3" xfId="6269"/>
    <cellStyle name="适中 24" xfId="6270"/>
    <cellStyle name="适中 24 2" xfId="6271"/>
    <cellStyle name="适中 25" xfId="6272"/>
    <cellStyle name="适中 25 2" xfId="6273"/>
    <cellStyle name="适中 3" xfId="6274"/>
    <cellStyle name="适中 3 10" xfId="6275"/>
    <cellStyle name="适中 3 2" xfId="6276"/>
    <cellStyle name="适中 3 3" xfId="6277"/>
    <cellStyle name="适中 3 4" xfId="6278"/>
    <cellStyle name="适中 3 5" xfId="6279"/>
    <cellStyle name="适中 3 6" xfId="6280"/>
    <cellStyle name="适中 3 7" xfId="6281"/>
    <cellStyle name="适中 3 8" xfId="6282"/>
    <cellStyle name="适中 3 9" xfId="6283"/>
    <cellStyle name="适中 4" xfId="6284"/>
    <cellStyle name="适中 4 10" xfId="6285"/>
    <cellStyle name="适中 4 2" xfId="6286"/>
    <cellStyle name="适中 4 3" xfId="6287"/>
    <cellStyle name="适中 4 4" xfId="6288"/>
    <cellStyle name="适中 4 5" xfId="6289"/>
    <cellStyle name="适中 4 6" xfId="6290"/>
    <cellStyle name="适中 4 7" xfId="6291"/>
    <cellStyle name="适中 4 8" xfId="6292"/>
    <cellStyle name="适中 4 9" xfId="6293"/>
    <cellStyle name="适中 5" xfId="6294"/>
    <cellStyle name="适中 5 10" xfId="6295"/>
    <cellStyle name="适中 5 2" xfId="6296"/>
    <cellStyle name="适中 5 3" xfId="6297"/>
    <cellStyle name="适中 5 4" xfId="6298"/>
    <cellStyle name="适中 5 5" xfId="6299"/>
    <cellStyle name="适中 5 6" xfId="6300"/>
    <cellStyle name="适中 5 7" xfId="6301"/>
    <cellStyle name="适中 5 8" xfId="6302"/>
    <cellStyle name="适中 5 9" xfId="6303"/>
    <cellStyle name="适中 6" xfId="6304"/>
    <cellStyle name="适中 6 10" xfId="6305"/>
    <cellStyle name="适中 6 2" xfId="6306"/>
    <cellStyle name="适中 6 3" xfId="6307"/>
    <cellStyle name="适中 6 4" xfId="6308"/>
    <cellStyle name="适中 6 5" xfId="6309"/>
    <cellStyle name="适中 6 6" xfId="6310"/>
    <cellStyle name="适中 6 7" xfId="6311"/>
    <cellStyle name="适中 6 8" xfId="6312"/>
    <cellStyle name="适中 6 9" xfId="6313"/>
    <cellStyle name="适中 7" xfId="6314"/>
    <cellStyle name="适中 7 10" xfId="6315"/>
    <cellStyle name="适中 7 2" xfId="6316"/>
    <cellStyle name="适中 7 3" xfId="6317"/>
    <cellStyle name="适中 7 4" xfId="6318"/>
    <cellStyle name="适中 7 5" xfId="6319"/>
    <cellStyle name="适中 7 6" xfId="6320"/>
    <cellStyle name="适中 7 7" xfId="6321"/>
    <cellStyle name="适中 7 8" xfId="6322"/>
    <cellStyle name="适中 7 9" xfId="6323"/>
    <cellStyle name="适中 8" xfId="6324"/>
    <cellStyle name="适中 8 10" xfId="6325"/>
    <cellStyle name="适中 8 2" xfId="6326"/>
    <cellStyle name="适中 8 3" xfId="6327"/>
    <cellStyle name="适中 8 4" xfId="6328"/>
    <cellStyle name="适中 8 5" xfId="6329"/>
    <cellStyle name="适中 8 6" xfId="6330"/>
    <cellStyle name="适中 8 7" xfId="6331"/>
    <cellStyle name="适中 8 8" xfId="6332"/>
    <cellStyle name="适中 8 9" xfId="6333"/>
    <cellStyle name="适中 9" xfId="6334"/>
    <cellStyle name="适中 9 10" xfId="6335"/>
    <cellStyle name="适中 9 2" xfId="6336"/>
    <cellStyle name="适中 9 3" xfId="6337"/>
    <cellStyle name="适中 9 4" xfId="6338"/>
    <cellStyle name="适中 9 5" xfId="6339"/>
    <cellStyle name="适中 9 6" xfId="6340"/>
    <cellStyle name="适中 9 7" xfId="6341"/>
    <cellStyle name="适中 9 8" xfId="6342"/>
    <cellStyle name="适中 9 9" xfId="6343"/>
    <cellStyle name="输出 10" xfId="6344"/>
    <cellStyle name="输出 10 2" xfId="6345"/>
    <cellStyle name="输出 10 3" xfId="6346"/>
    <cellStyle name="输出 10 4" xfId="6347"/>
    <cellStyle name="输出 10 5" xfId="6348"/>
    <cellStyle name="输出 11" xfId="6349"/>
    <cellStyle name="输出 11 2" xfId="6350"/>
    <cellStyle name="输出 11 3" xfId="6351"/>
    <cellStyle name="输出 11 4" xfId="6352"/>
    <cellStyle name="输出 11 5" xfId="6353"/>
    <cellStyle name="输出 12" xfId="6354"/>
    <cellStyle name="输出 12 2" xfId="6355"/>
    <cellStyle name="输出 12 3" xfId="6356"/>
    <cellStyle name="输出 12 4" xfId="6357"/>
    <cellStyle name="输出 12 5" xfId="6358"/>
    <cellStyle name="输出 13" xfId="6359"/>
    <cellStyle name="输出 13 2" xfId="6360"/>
    <cellStyle name="输出 13 3" xfId="6361"/>
    <cellStyle name="输出 13 4" xfId="6362"/>
    <cellStyle name="输出 13 5" xfId="6363"/>
    <cellStyle name="输出 14" xfId="6364"/>
    <cellStyle name="输出 14 2" xfId="6365"/>
    <cellStyle name="输出 14 3" xfId="6366"/>
    <cellStyle name="输出 14 4" xfId="6367"/>
    <cellStyle name="输出 14 5" xfId="6368"/>
    <cellStyle name="输出 14 6" xfId="6369"/>
    <cellStyle name="输出 14 7" xfId="6370"/>
    <cellStyle name="输出 15" xfId="6371"/>
    <cellStyle name="输出 15 2" xfId="6372"/>
    <cellStyle name="输出 15 3" xfId="6373"/>
    <cellStyle name="输出 15 4" xfId="6374"/>
    <cellStyle name="输出 15 5" xfId="6375"/>
    <cellStyle name="输出 15 6" xfId="6376"/>
    <cellStyle name="输出 15 7" xfId="6377"/>
    <cellStyle name="输出 16" xfId="6378"/>
    <cellStyle name="输出 16 2" xfId="6379"/>
    <cellStyle name="输出 16 3" xfId="6380"/>
    <cellStyle name="输出 16 4" xfId="6381"/>
    <cellStyle name="输出 16 5" xfId="6382"/>
    <cellStyle name="输出 16 6" xfId="6383"/>
    <cellStyle name="输出 16 7" xfId="6384"/>
    <cellStyle name="输出 17" xfId="6385"/>
    <cellStyle name="输出 17 2" xfId="6386"/>
    <cellStyle name="输出 17 3" xfId="6387"/>
    <cellStyle name="输出 17 4" xfId="6388"/>
    <cellStyle name="输出 17 5" xfId="6389"/>
    <cellStyle name="输出 17 6" xfId="6390"/>
    <cellStyle name="输出 17 7" xfId="6391"/>
    <cellStyle name="输出 17 8" xfId="6392"/>
    <cellStyle name="输出 17 9" xfId="6393"/>
    <cellStyle name="输出 18" xfId="6394"/>
    <cellStyle name="输出 18 2" xfId="6395"/>
    <cellStyle name="输出 18 3" xfId="6396"/>
    <cellStyle name="输出 18 4" xfId="6397"/>
    <cellStyle name="输出 18 5" xfId="6398"/>
    <cellStyle name="输出 19" xfId="6399"/>
    <cellStyle name="输出 19 2" xfId="6400"/>
    <cellStyle name="输出 19 3" xfId="6401"/>
    <cellStyle name="输出 19 4" xfId="6402"/>
    <cellStyle name="输出 19 5" xfId="6403"/>
    <cellStyle name="输出 2 10" xfId="6404"/>
    <cellStyle name="输出 2 10 2" xfId="6405"/>
    <cellStyle name="输出 2 10 3" xfId="6406"/>
    <cellStyle name="输出 2 10 4" xfId="6407"/>
    <cellStyle name="输出 2 10 5" xfId="6408"/>
    <cellStyle name="输出 2 11" xfId="6409"/>
    <cellStyle name="输出 2 11 2" xfId="6410"/>
    <cellStyle name="输出 2 11 3" xfId="6411"/>
    <cellStyle name="输出 2 11 4" xfId="6412"/>
    <cellStyle name="输出 2 11 5" xfId="6413"/>
    <cellStyle name="输出 2 12" xfId="6414"/>
    <cellStyle name="输出 2 12 2" xfId="6415"/>
    <cellStyle name="输出 2 12 3" xfId="6416"/>
    <cellStyle name="输出 2 12 4" xfId="6417"/>
    <cellStyle name="输出 2 12 5" xfId="6418"/>
    <cellStyle name="输出 2 13" xfId="6419"/>
    <cellStyle name="输出 2 14" xfId="6420"/>
    <cellStyle name="输出 2 15" xfId="6421"/>
    <cellStyle name="输出 2 16" xfId="6422"/>
    <cellStyle name="输出 2 17" xfId="6423"/>
    <cellStyle name="输出 2 18" xfId="6424"/>
    <cellStyle name="输出 2 19" xfId="6425"/>
    <cellStyle name="输出 2 2" xfId="6426"/>
    <cellStyle name="输出 2 2 10" xfId="6427"/>
    <cellStyle name="输出 2 2 2" xfId="6428"/>
    <cellStyle name="输出 2 2 3" xfId="6429"/>
    <cellStyle name="输出 2 2 4" xfId="6430"/>
    <cellStyle name="输出 2 2 5" xfId="6431"/>
    <cellStyle name="输出 2 2 6" xfId="6432"/>
    <cellStyle name="输出 2 2 7" xfId="6433"/>
    <cellStyle name="输出 2 2 8" xfId="6434"/>
    <cellStyle name="输出 2 2 9" xfId="6435"/>
    <cellStyle name="输出 2 20" xfId="6436"/>
    <cellStyle name="输出 2 21" xfId="6437"/>
    <cellStyle name="输出 2 22" xfId="6438"/>
    <cellStyle name="输出 2 23" xfId="6439"/>
    <cellStyle name="输出 2 24" xfId="6440"/>
    <cellStyle name="输出 2 25" xfId="6441"/>
    <cellStyle name="输出 2 26" xfId="6442"/>
    <cellStyle name="输出 2 3" xfId="6443"/>
    <cellStyle name="输出 2 3 10" xfId="6444"/>
    <cellStyle name="输出 2 3 2" xfId="6445"/>
    <cellStyle name="输出 2 3 3" xfId="6446"/>
    <cellStyle name="输出 2 3 4" xfId="6447"/>
    <cellStyle name="输出 2 3 5" xfId="6448"/>
    <cellStyle name="输出 2 3 6" xfId="6449"/>
    <cellStyle name="输出 2 3 7" xfId="6450"/>
    <cellStyle name="输出 2 3 8" xfId="6451"/>
    <cellStyle name="输出 2 3 9" xfId="6452"/>
    <cellStyle name="输出 2 4" xfId="6453"/>
    <cellStyle name="输出 2 4 10" xfId="6454"/>
    <cellStyle name="输出 2 4 2" xfId="6455"/>
    <cellStyle name="输出 2 4 3" xfId="6456"/>
    <cellStyle name="输出 2 4 4" xfId="6457"/>
    <cellStyle name="输出 2 4 5" xfId="6458"/>
    <cellStyle name="输出 2 4 6" xfId="6459"/>
    <cellStyle name="输出 2 4 7" xfId="6460"/>
    <cellStyle name="输出 2 4 8" xfId="6461"/>
    <cellStyle name="输出 2 4 9" xfId="6462"/>
    <cellStyle name="输出 2 5" xfId="6463"/>
    <cellStyle name="输出 2 5 10" xfId="6464"/>
    <cellStyle name="输出 2 5 2" xfId="6465"/>
    <cellStyle name="输出 2 5 3" xfId="6466"/>
    <cellStyle name="输出 2 5 4" xfId="6467"/>
    <cellStyle name="输出 2 5 5" xfId="6468"/>
    <cellStyle name="输出 2 5 6" xfId="6469"/>
    <cellStyle name="输出 2 5 7" xfId="6470"/>
    <cellStyle name="输出 2 5 8" xfId="6471"/>
    <cellStyle name="输出 2 5 9" xfId="6472"/>
    <cellStyle name="输出 2 6" xfId="6473"/>
    <cellStyle name="输出 2 6 10" xfId="6474"/>
    <cellStyle name="输出 2 6 2" xfId="6475"/>
    <cellStyle name="输出 2 6 3" xfId="6476"/>
    <cellStyle name="输出 2 6 4" xfId="6477"/>
    <cellStyle name="输出 2 6 5" xfId="6478"/>
    <cellStyle name="输出 2 6 6" xfId="6479"/>
    <cellStyle name="输出 2 6 7" xfId="6480"/>
    <cellStyle name="输出 2 6 8" xfId="6481"/>
    <cellStyle name="输出 2 6 9" xfId="6482"/>
    <cellStyle name="输出 2 7" xfId="6483"/>
    <cellStyle name="输出 2 7 10" xfId="6484"/>
    <cellStyle name="输出 2 7 2" xfId="6485"/>
    <cellStyle name="输出 2 7 3" xfId="6486"/>
    <cellStyle name="输出 2 7 4" xfId="6487"/>
    <cellStyle name="输出 2 7 5" xfId="6488"/>
    <cellStyle name="输出 2 7 6" xfId="6489"/>
    <cellStyle name="输出 2 7 7" xfId="6490"/>
    <cellStyle name="输出 2 7 8" xfId="6491"/>
    <cellStyle name="输出 2 7 9" xfId="6492"/>
    <cellStyle name="输出 2 8" xfId="6493"/>
    <cellStyle name="输出 2 8 2" xfId="6494"/>
    <cellStyle name="输出 2 8 3" xfId="6495"/>
    <cellStyle name="输出 2 8 4" xfId="6496"/>
    <cellStyle name="输出 2 8 5" xfId="6497"/>
    <cellStyle name="输出 2 9" xfId="6498"/>
    <cellStyle name="输出 2 9 2" xfId="6499"/>
    <cellStyle name="输出 2 9 3" xfId="6500"/>
    <cellStyle name="输出 2 9 4" xfId="6501"/>
    <cellStyle name="输出 2 9 5" xfId="6502"/>
    <cellStyle name="输出 20" xfId="6503"/>
    <cellStyle name="输出 20 2" xfId="6504"/>
    <cellStyle name="输出 20 3" xfId="6505"/>
    <cellStyle name="输出 21" xfId="6506"/>
    <cellStyle name="输出 21 2" xfId="6507"/>
    <cellStyle name="输出 21 3" xfId="6508"/>
    <cellStyle name="输出 22" xfId="6509"/>
    <cellStyle name="输出 22 2" xfId="6510"/>
    <cellStyle name="输出 22 3" xfId="6511"/>
    <cellStyle name="输出 23" xfId="6512"/>
    <cellStyle name="输出 23 2" xfId="6513"/>
    <cellStyle name="输出 23 3" xfId="6514"/>
    <cellStyle name="输出 24" xfId="6515"/>
    <cellStyle name="输出 24 2" xfId="6516"/>
    <cellStyle name="输出 25" xfId="6517"/>
    <cellStyle name="输出 25 2" xfId="6518"/>
    <cellStyle name="输出 3" xfId="6519"/>
    <cellStyle name="输出 3 10" xfId="6520"/>
    <cellStyle name="输出 3 2" xfId="6521"/>
    <cellStyle name="输出 3 3" xfId="6522"/>
    <cellStyle name="输出 3 4" xfId="6523"/>
    <cellStyle name="输出 3 5" xfId="6524"/>
    <cellStyle name="输出 3 6" xfId="6525"/>
    <cellStyle name="输出 3 7" xfId="6526"/>
    <cellStyle name="输出 3 8" xfId="6527"/>
    <cellStyle name="输出 3 9" xfId="6528"/>
    <cellStyle name="输出 4" xfId="6529"/>
    <cellStyle name="输出 4 10" xfId="6530"/>
    <cellStyle name="输出 4 2" xfId="6531"/>
    <cellStyle name="输出 4 3" xfId="6532"/>
    <cellStyle name="输出 4 4" xfId="6533"/>
    <cellStyle name="输出 4 5" xfId="6534"/>
    <cellStyle name="输出 4 6" xfId="6535"/>
    <cellStyle name="输出 4 7" xfId="6536"/>
    <cellStyle name="输出 4 8" xfId="6537"/>
    <cellStyle name="输出 4 9" xfId="6538"/>
    <cellStyle name="输出 5" xfId="6539"/>
    <cellStyle name="输出 5 10" xfId="6540"/>
    <cellStyle name="输出 5 2" xfId="6541"/>
    <cellStyle name="输出 5 3" xfId="6542"/>
    <cellStyle name="输出 5 4" xfId="6543"/>
    <cellStyle name="输出 5 5" xfId="6544"/>
    <cellStyle name="输出 5 6" xfId="6545"/>
    <cellStyle name="输出 5 7" xfId="6546"/>
    <cellStyle name="输出 5 8" xfId="6547"/>
    <cellStyle name="输出 5 9" xfId="6548"/>
    <cellStyle name="输出 6" xfId="6549"/>
    <cellStyle name="输出 6 10" xfId="6550"/>
    <cellStyle name="输出 6 2" xfId="6551"/>
    <cellStyle name="输出 6 3" xfId="6552"/>
    <cellStyle name="输出 6 4" xfId="6553"/>
    <cellStyle name="输出 6 5" xfId="6554"/>
    <cellStyle name="输出 6 6" xfId="6555"/>
    <cellStyle name="输出 6 7" xfId="6556"/>
    <cellStyle name="输出 6 8" xfId="6557"/>
    <cellStyle name="输出 6 9" xfId="6558"/>
    <cellStyle name="输出 7" xfId="6559"/>
    <cellStyle name="输出 7 10" xfId="6560"/>
    <cellStyle name="输出 7 2" xfId="6561"/>
    <cellStyle name="输出 7 3" xfId="6562"/>
    <cellStyle name="输出 7 4" xfId="6563"/>
    <cellStyle name="输出 7 5" xfId="6564"/>
    <cellStyle name="输出 7 6" xfId="6565"/>
    <cellStyle name="输出 7 7" xfId="6566"/>
    <cellStyle name="输出 7 8" xfId="6567"/>
    <cellStyle name="输出 7 9" xfId="6568"/>
    <cellStyle name="输出 8" xfId="6569"/>
    <cellStyle name="输出 8 10" xfId="6570"/>
    <cellStyle name="输出 8 2" xfId="6571"/>
    <cellStyle name="输出 8 3" xfId="6572"/>
    <cellStyle name="输出 8 4" xfId="6573"/>
    <cellStyle name="输出 8 5" xfId="6574"/>
    <cellStyle name="输出 8 6" xfId="6575"/>
    <cellStyle name="输出 8 7" xfId="6576"/>
    <cellStyle name="输出 8 8" xfId="6577"/>
    <cellStyle name="输出 8 9" xfId="6578"/>
    <cellStyle name="输出 9" xfId="6579"/>
    <cellStyle name="输出 9 10" xfId="6580"/>
    <cellStyle name="输出 9 2" xfId="6581"/>
    <cellStyle name="输出 9 3" xfId="6582"/>
    <cellStyle name="输出 9 4" xfId="6583"/>
    <cellStyle name="输出 9 5" xfId="6584"/>
    <cellStyle name="输出 9 6" xfId="6585"/>
    <cellStyle name="输出 9 7" xfId="6586"/>
    <cellStyle name="输出 9 8" xfId="6587"/>
    <cellStyle name="输出 9 9" xfId="6588"/>
    <cellStyle name="输入 10" xfId="6589"/>
    <cellStyle name="输入 10 2" xfId="6590"/>
    <cellStyle name="输入 10 3" xfId="6591"/>
    <cellStyle name="输入 10 4" xfId="6592"/>
    <cellStyle name="输入 10 5" xfId="6593"/>
    <cellStyle name="输入 11" xfId="6594"/>
    <cellStyle name="输入 11 2" xfId="6595"/>
    <cellStyle name="输入 11 3" xfId="6596"/>
    <cellStyle name="输入 11 4" xfId="6597"/>
    <cellStyle name="输入 11 5" xfId="6598"/>
    <cellStyle name="输入 12" xfId="6599"/>
    <cellStyle name="输入 12 2" xfId="6600"/>
    <cellStyle name="输入 12 3" xfId="6601"/>
    <cellStyle name="输入 12 4" xfId="6602"/>
    <cellStyle name="输入 12 5" xfId="6603"/>
    <cellStyle name="输入 13" xfId="6604"/>
    <cellStyle name="输入 13 2" xfId="6605"/>
    <cellStyle name="输入 13 3" xfId="6606"/>
    <cellStyle name="输入 13 4" xfId="6607"/>
    <cellStyle name="输入 13 5" xfId="6608"/>
    <cellStyle name="输入 14" xfId="6609"/>
    <cellStyle name="输入 14 2" xfId="6610"/>
    <cellStyle name="输入 14 3" xfId="6611"/>
    <cellStyle name="输入 14 4" xfId="6612"/>
    <cellStyle name="输入 14 5" xfId="6613"/>
    <cellStyle name="输入 14 6" xfId="6614"/>
    <cellStyle name="输入 14 7" xfId="6615"/>
    <cellStyle name="输入 15" xfId="6616"/>
    <cellStyle name="输入 15 2" xfId="6617"/>
    <cellStyle name="输入 15 3" xfId="6618"/>
    <cellStyle name="输入 15 4" xfId="6619"/>
    <cellStyle name="输入 15 5" xfId="6620"/>
    <cellStyle name="输入 15 6" xfId="6621"/>
    <cellStyle name="输入 15 7" xfId="6622"/>
    <cellStyle name="输入 16" xfId="6623"/>
    <cellStyle name="输入 16 2" xfId="6624"/>
    <cellStyle name="输入 16 3" xfId="6625"/>
    <cellStyle name="输入 16 4" xfId="6626"/>
    <cellStyle name="输入 16 5" xfId="6627"/>
    <cellStyle name="输入 16 6" xfId="6628"/>
    <cellStyle name="输入 16 7" xfId="6629"/>
    <cellStyle name="输入 17" xfId="6630"/>
    <cellStyle name="输入 17 2" xfId="6631"/>
    <cellStyle name="输入 17 3" xfId="6632"/>
    <cellStyle name="输入 17 4" xfId="6633"/>
    <cellStyle name="输入 17 5" xfId="6634"/>
    <cellStyle name="输入 17 6" xfId="6635"/>
    <cellStyle name="输入 17 7" xfId="6636"/>
    <cellStyle name="输入 17 8" xfId="6637"/>
    <cellStyle name="输入 17 9" xfId="6638"/>
    <cellStyle name="输入 18" xfId="6639"/>
    <cellStyle name="输入 18 2" xfId="6640"/>
    <cellStyle name="输入 18 3" xfId="6641"/>
    <cellStyle name="输入 18 4" xfId="6642"/>
    <cellStyle name="输入 18 5" xfId="6643"/>
    <cellStyle name="输入 19" xfId="6644"/>
    <cellStyle name="输入 19 2" xfId="6645"/>
    <cellStyle name="输入 19 3" xfId="6646"/>
    <cellStyle name="输入 19 4" xfId="6647"/>
    <cellStyle name="输入 19 5" xfId="6648"/>
    <cellStyle name="输入 2 10" xfId="6649"/>
    <cellStyle name="输入 2 10 2" xfId="6650"/>
    <cellStyle name="输入 2 10 3" xfId="6651"/>
    <cellStyle name="输入 2 10 4" xfId="6652"/>
    <cellStyle name="输入 2 10 5" xfId="6653"/>
    <cellStyle name="输入 2 11" xfId="6654"/>
    <cellStyle name="输入 2 11 2" xfId="6655"/>
    <cellStyle name="输入 2 11 3" xfId="6656"/>
    <cellStyle name="输入 2 11 4" xfId="6657"/>
    <cellStyle name="输入 2 11 5" xfId="6658"/>
    <cellStyle name="输入 2 12" xfId="6659"/>
    <cellStyle name="输入 2 12 2" xfId="6660"/>
    <cellStyle name="输入 2 12 3" xfId="6661"/>
    <cellStyle name="输入 2 12 4" xfId="6662"/>
    <cellStyle name="输入 2 12 5" xfId="6663"/>
    <cellStyle name="输入 2 13" xfId="6664"/>
    <cellStyle name="输入 2 14" xfId="6665"/>
    <cellStyle name="输入 2 15" xfId="6666"/>
    <cellStyle name="输入 2 16" xfId="6667"/>
    <cellStyle name="输入 2 17" xfId="6668"/>
    <cellStyle name="输入 2 18" xfId="6669"/>
    <cellStyle name="输入 2 19" xfId="6670"/>
    <cellStyle name="输入 2 2" xfId="6671"/>
    <cellStyle name="输入 2 2 10" xfId="6672"/>
    <cellStyle name="输入 2 2 2" xfId="6673"/>
    <cellStyle name="输入 2 2 3" xfId="6674"/>
    <cellStyle name="输入 2 2 4" xfId="6675"/>
    <cellStyle name="输入 2 2 5" xfId="6676"/>
    <cellStyle name="输入 2 2 6" xfId="6677"/>
    <cellStyle name="输入 2 2 7" xfId="6678"/>
    <cellStyle name="输入 2 2 8" xfId="6679"/>
    <cellStyle name="输入 2 2 9" xfId="6680"/>
    <cellStyle name="输入 2 20" xfId="6681"/>
    <cellStyle name="输入 2 21" xfId="6682"/>
    <cellStyle name="输入 2 22" xfId="6683"/>
    <cellStyle name="输入 2 23" xfId="6684"/>
    <cellStyle name="输入 2 24" xfId="6685"/>
    <cellStyle name="输入 2 25" xfId="6686"/>
    <cellStyle name="输入 2 26" xfId="6687"/>
    <cellStyle name="输入 2 3" xfId="6688"/>
    <cellStyle name="输入 2 3 10" xfId="6689"/>
    <cellStyle name="输入 2 3 2" xfId="6690"/>
    <cellStyle name="输入 2 3 3" xfId="6691"/>
    <cellStyle name="输入 2 3 4" xfId="6692"/>
    <cellStyle name="输入 2 3 5" xfId="6693"/>
    <cellStyle name="输入 2 3 6" xfId="6694"/>
    <cellStyle name="输入 2 3 7" xfId="6695"/>
    <cellStyle name="输入 2 3 8" xfId="6696"/>
    <cellStyle name="输入 2 3 9" xfId="6697"/>
    <cellStyle name="输入 2 4" xfId="6698"/>
    <cellStyle name="输入 2 4 10" xfId="6699"/>
    <cellStyle name="输入 2 4 2" xfId="6700"/>
    <cellStyle name="输入 2 4 3" xfId="6701"/>
    <cellStyle name="输入 2 4 4" xfId="6702"/>
    <cellStyle name="输入 2 4 5" xfId="6703"/>
    <cellStyle name="输入 2 4 6" xfId="6704"/>
    <cellStyle name="输入 2 4 7" xfId="6705"/>
    <cellStyle name="输入 2 4 8" xfId="6706"/>
    <cellStyle name="输入 2 4 9" xfId="6707"/>
    <cellStyle name="输入 2 5" xfId="6708"/>
    <cellStyle name="输入 2 5 10" xfId="6709"/>
    <cellStyle name="输入 2 5 2" xfId="6710"/>
    <cellStyle name="输入 2 5 3" xfId="6711"/>
    <cellStyle name="输入 2 5 4" xfId="6712"/>
    <cellStyle name="输入 2 5 5" xfId="6713"/>
    <cellStyle name="输入 2 5 6" xfId="6714"/>
    <cellStyle name="输入 2 5 7" xfId="6715"/>
    <cellStyle name="输入 2 5 8" xfId="6716"/>
    <cellStyle name="输入 2 5 9" xfId="6717"/>
    <cellStyle name="输入 2 6" xfId="6718"/>
    <cellStyle name="输入 2 6 10" xfId="6719"/>
    <cellStyle name="输入 2 6 2" xfId="6720"/>
    <cellStyle name="输入 2 6 3" xfId="6721"/>
    <cellStyle name="输入 2 6 4" xfId="6722"/>
    <cellStyle name="输入 2 6 5" xfId="6723"/>
    <cellStyle name="输入 2 6 6" xfId="6724"/>
    <cellStyle name="输入 2 6 7" xfId="6725"/>
    <cellStyle name="输入 2 6 8" xfId="6726"/>
    <cellStyle name="输入 2 6 9" xfId="6727"/>
    <cellStyle name="输入 2 7" xfId="6728"/>
    <cellStyle name="输入 2 7 10" xfId="6729"/>
    <cellStyle name="输入 2 7 2" xfId="6730"/>
    <cellStyle name="输入 2 7 3" xfId="6731"/>
    <cellStyle name="输入 2 7 4" xfId="6732"/>
    <cellStyle name="输入 2 7 5" xfId="6733"/>
    <cellStyle name="输入 2 7 6" xfId="6734"/>
    <cellStyle name="输入 2 7 7" xfId="6735"/>
    <cellStyle name="输入 2 7 8" xfId="6736"/>
    <cellStyle name="输入 2 7 9" xfId="6737"/>
    <cellStyle name="输入 2 8" xfId="6738"/>
    <cellStyle name="输入 2 8 2" xfId="6739"/>
    <cellStyle name="输入 2 8 3" xfId="6740"/>
    <cellStyle name="输入 2 8 4" xfId="6741"/>
    <cellStyle name="输入 2 8 5" xfId="6742"/>
    <cellStyle name="输入 2 9" xfId="6743"/>
    <cellStyle name="输入 2 9 2" xfId="6744"/>
    <cellStyle name="输入 2 9 3" xfId="6745"/>
    <cellStyle name="输入 2 9 4" xfId="6746"/>
    <cellStyle name="输入 2 9 5" xfId="6747"/>
    <cellStyle name="输入 20" xfId="6748"/>
    <cellStyle name="输入 20 2" xfId="6749"/>
    <cellStyle name="输入 20 3" xfId="6750"/>
    <cellStyle name="输入 21" xfId="6751"/>
    <cellStyle name="输入 21 2" xfId="6752"/>
    <cellStyle name="输入 21 3" xfId="6753"/>
    <cellStyle name="输入 22" xfId="6754"/>
    <cellStyle name="输入 22 2" xfId="6755"/>
    <cellStyle name="输入 22 3" xfId="6756"/>
    <cellStyle name="输入 23" xfId="6757"/>
    <cellStyle name="输入 23 2" xfId="6758"/>
    <cellStyle name="输入 23 3" xfId="6759"/>
    <cellStyle name="输入 24" xfId="6760"/>
    <cellStyle name="输入 24 2" xfId="6761"/>
    <cellStyle name="输入 25" xfId="6762"/>
    <cellStyle name="输入 25 2" xfId="6763"/>
    <cellStyle name="输入 3" xfId="6764"/>
    <cellStyle name="输入 3 10" xfId="6765"/>
    <cellStyle name="输入 3 2" xfId="6766"/>
    <cellStyle name="输入 3 3" xfId="6767"/>
    <cellStyle name="输入 3 4" xfId="6768"/>
    <cellStyle name="输入 3 5" xfId="6769"/>
    <cellStyle name="输入 3 6" xfId="6770"/>
    <cellStyle name="输入 3 7" xfId="6771"/>
    <cellStyle name="输入 3 8" xfId="6772"/>
    <cellStyle name="输入 3 9" xfId="6773"/>
    <cellStyle name="输入 4" xfId="6774"/>
    <cellStyle name="输入 4 10" xfId="6775"/>
    <cellStyle name="输入 4 2" xfId="6776"/>
    <cellStyle name="输入 4 3" xfId="6777"/>
    <cellStyle name="输入 4 4" xfId="6778"/>
    <cellStyle name="输入 4 5" xfId="6779"/>
    <cellStyle name="输入 4 6" xfId="6780"/>
    <cellStyle name="输入 4 7" xfId="6781"/>
    <cellStyle name="输入 4 8" xfId="6782"/>
    <cellStyle name="输入 4 9" xfId="6783"/>
    <cellStyle name="输入 5" xfId="6784"/>
    <cellStyle name="输入 5 10" xfId="6785"/>
    <cellStyle name="输入 5 2" xfId="6786"/>
    <cellStyle name="输入 5 3" xfId="6787"/>
    <cellStyle name="输入 5 4" xfId="6788"/>
    <cellStyle name="输入 5 5" xfId="6789"/>
    <cellStyle name="输入 5 6" xfId="6790"/>
    <cellStyle name="输入 5 7" xfId="6791"/>
    <cellStyle name="输入 5 8" xfId="6792"/>
    <cellStyle name="输入 5 9" xfId="6793"/>
    <cellStyle name="输入 6" xfId="6794"/>
    <cellStyle name="输入 6 10" xfId="6795"/>
    <cellStyle name="输入 6 2" xfId="6796"/>
    <cellStyle name="输入 6 3" xfId="6797"/>
    <cellStyle name="输入 6 4" xfId="6798"/>
    <cellStyle name="输入 6 5" xfId="6799"/>
    <cellStyle name="输入 6 6" xfId="6800"/>
    <cellStyle name="输入 6 7" xfId="6801"/>
    <cellStyle name="输入 6 8" xfId="6802"/>
    <cellStyle name="输入 6 9" xfId="6803"/>
    <cellStyle name="输入 7" xfId="6804"/>
    <cellStyle name="输入 7 10" xfId="6805"/>
    <cellStyle name="输入 7 2" xfId="6806"/>
    <cellStyle name="输入 7 3" xfId="6807"/>
    <cellStyle name="输入 7 4" xfId="6808"/>
    <cellStyle name="输入 7 5" xfId="6809"/>
    <cellStyle name="输入 7 6" xfId="6810"/>
    <cellStyle name="输入 7 7" xfId="6811"/>
    <cellStyle name="输入 7 8" xfId="6812"/>
    <cellStyle name="输入 7 9" xfId="6813"/>
    <cellStyle name="输入 8" xfId="6814"/>
    <cellStyle name="输入 8 10" xfId="6815"/>
    <cellStyle name="输入 8 2" xfId="6816"/>
    <cellStyle name="输入 8 3" xfId="6817"/>
    <cellStyle name="输入 8 4" xfId="6818"/>
    <cellStyle name="输入 8 5" xfId="6819"/>
    <cellStyle name="输入 8 6" xfId="6820"/>
    <cellStyle name="输入 8 7" xfId="6821"/>
    <cellStyle name="输入 8 8" xfId="6822"/>
    <cellStyle name="输入 8 9" xfId="6823"/>
    <cellStyle name="输入 9" xfId="6824"/>
    <cellStyle name="输入 9 10" xfId="6825"/>
    <cellStyle name="输入 9 2" xfId="6826"/>
    <cellStyle name="输入 9 3" xfId="6827"/>
    <cellStyle name="输入 9 4" xfId="6828"/>
    <cellStyle name="输入 9 5" xfId="6829"/>
    <cellStyle name="输入 9 6" xfId="6830"/>
    <cellStyle name="输入 9 7" xfId="6831"/>
    <cellStyle name="输入 9 8" xfId="6832"/>
    <cellStyle name="输入 9 9" xfId="6833"/>
    <cellStyle name="注释 10" xfId="6834"/>
    <cellStyle name="注释 10 2" xfId="6835"/>
    <cellStyle name="注释 10 3" xfId="6836"/>
    <cellStyle name="注释 10 4" xfId="6837"/>
    <cellStyle name="注释 10 5" xfId="6838"/>
    <cellStyle name="注释 11" xfId="6839"/>
    <cellStyle name="注释 11 2" xfId="6840"/>
    <cellStyle name="注释 11 3" xfId="6841"/>
    <cellStyle name="注释 11 4" xfId="6842"/>
    <cellStyle name="注释 11 5" xfId="6843"/>
    <cellStyle name="注释 12" xfId="6844"/>
    <cellStyle name="注释 12 2" xfId="6845"/>
    <cellStyle name="注释 12 3" xfId="6846"/>
    <cellStyle name="注释 12 4" xfId="6847"/>
    <cellStyle name="注释 12 5" xfId="6848"/>
    <cellStyle name="注释 13" xfId="6849"/>
    <cellStyle name="注释 13 2" xfId="6850"/>
    <cellStyle name="注释 13 3" xfId="6851"/>
    <cellStyle name="注释 13 4" xfId="6852"/>
    <cellStyle name="注释 13 5" xfId="6853"/>
    <cellStyle name="注释 14" xfId="6854"/>
    <cellStyle name="注释 14 2" xfId="6855"/>
    <cellStyle name="注释 14 3" xfId="6856"/>
    <cellStyle name="注释 14 4" xfId="6857"/>
    <cellStyle name="注释 14 5" xfId="6858"/>
    <cellStyle name="注释 14 6" xfId="6859"/>
    <cellStyle name="注释 14 7" xfId="6860"/>
    <cellStyle name="注释 15" xfId="6861"/>
    <cellStyle name="注释 15 2" xfId="6862"/>
    <cellStyle name="注释 15 3" xfId="6863"/>
    <cellStyle name="注释 15 4" xfId="6864"/>
    <cellStyle name="注释 15 5" xfId="6865"/>
    <cellStyle name="注释 15 6" xfId="6866"/>
    <cellStyle name="注释 15 7" xfId="6867"/>
    <cellStyle name="注释 16" xfId="6868"/>
    <cellStyle name="注释 16 2" xfId="6869"/>
    <cellStyle name="注释 16 3" xfId="6870"/>
    <cellStyle name="注释 16 4" xfId="6871"/>
    <cellStyle name="注释 16 5" xfId="6872"/>
    <cellStyle name="注释 16 6" xfId="6873"/>
    <cellStyle name="注释 16 7" xfId="6874"/>
    <cellStyle name="注释 17" xfId="6875"/>
    <cellStyle name="注释 17 2" xfId="6876"/>
    <cellStyle name="注释 17 3" xfId="6877"/>
    <cellStyle name="注释 17 4" xfId="6878"/>
    <cellStyle name="注释 17 5" xfId="6879"/>
    <cellStyle name="注释 17 6" xfId="6880"/>
    <cellStyle name="注释 17 7" xfId="6881"/>
    <cellStyle name="注释 17 8" xfId="6882"/>
    <cellStyle name="注释 17 9" xfId="6883"/>
    <cellStyle name="注释 18" xfId="6884"/>
    <cellStyle name="注释 18 2" xfId="6885"/>
    <cellStyle name="注释 18 3" xfId="6886"/>
    <cellStyle name="注释 18 4" xfId="6887"/>
    <cellStyle name="注释 18 5" xfId="6888"/>
    <cellStyle name="注释 19" xfId="6889"/>
    <cellStyle name="注释 19 2" xfId="6890"/>
    <cellStyle name="注释 19 3" xfId="6891"/>
    <cellStyle name="注释 19 4" xfId="6892"/>
    <cellStyle name="注释 19 5" xfId="6893"/>
    <cellStyle name="注释 2 10" xfId="6894"/>
    <cellStyle name="注释 2 10 2" xfId="6895"/>
    <cellStyle name="注释 2 10 3" xfId="6896"/>
    <cellStyle name="注释 2 10 4" xfId="6897"/>
    <cellStyle name="注释 2 10 5" xfId="6898"/>
    <cellStyle name="注释 2 11" xfId="6899"/>
    <cellStyle name="注释 2 11 2" xfId="6900"/>
    <cellStyle name="注释 2 11 3" xfId="6901"/>
    <cellStyle name="注释 2 11 4" xfId="6902"/>
    <cellStyle name="注释 2 11 5" xfId="6903"/>
    <cellStyle name="注释 2 12" xfId="6904"/>
    <cellStyle name="注释 2 12 2" xfId="6905"/>
    <cellStyle name="注释 2 12 3" xfId="6906"/>
    <cellStyle name="注释 2 12 4" xfId="6907"/>
    <cellStyle name="注释 2 12 5" xfId="6908"/>
    <cellStyle name="注释 2 13" xfId="6909"/>
    <cellStyle name="注释 2 14" xfId="6910"/>
    <cellStyle name="注释 2 15" xfId="6911"/>
    <cellStyle name="注释 2 16" xfId="6912"/>
    <cellStyle name="注释 2 17" xfId="6913"/>
    <cellStyle name="注释 2 18" xfId="6914"/>
    <cellStyle name="注释 2 19" xfId="6915"/>
    <cellStyle name="注释 2 2" xfId="6916"/>
    <cellStyle name="注释 2 2 10" xfId="6917"/>
    <cellStyle name="注释 2 2 2" xfId="6918"/>
    <cellStyle name="注释 2 2 3" xfId="6919"/>
    <cellStyle name="注释 2 2 4" xfId="6920"/>
    <cellStyle name="注释 2 2 5" xfId="6921"/>
    <cellStyle name="注释 2 2 6" xfId="6922"/>
    <cellStyle name="注释 2 2 7" xfId="6923"/>
    <cellStyle name="注释 2 2 8" xfId="6924"/>
    <cellStyle name="注释 2 2 9" xfId="6925"/>
    <cellStyle name="注释 2 20" xfId="6926"/>
    <cellStyle name="注释 2 21" xfId="6927"/>
    <cellStyle name="注释 2 22" xfId="6928"/>
    <cellStyle name="注释 2 23" xfId="6929"/>
    <cellStyle name="注释 2 24" xfId="6930"/>
    <cellStyle name="注释 2 25" xfId="6931"/>
    <cellStyle name="注释 2 26" xfId="6932"/>
    <cellStyle name="注释 2 3" xfId="6933"/>
    <cellStyle name="注释 2 3 10" xfId="6934"/>
    <cellStyle name="注释 2 3 2" xfId="6935"/>
    <cellStyle name="注释 2 3 3" xfId="6936"/>
    <cellStyle name="注释 2 3 4" xfId="6937"/>
    <cellStyle name="注释 2 3 5" xfId="6938"/>
    <cellStyle name="注释 2 3 6" xfId="6939"/>
    <cellStyle name="注释 2 3 7" xfId="6940"/>
    <cellStyle name="注释 2 3 8" xfId="6941"/>
    <cellStyle name="注释 2 3 9" xfId="6942"/>
    <cellStyle name="注释 2 4" xfId="6943"/>
    <cellStyle name="注释 2 4 10" xfId="6944"/>
    <cellStyle name="注释 2 4 2" xfId="6945"/>
    <cellStyle name="注释 2 4 3" xfId="6946"/>
    <cellStyle name="注释 2 4 4" xfId="6947"/>
    <cellStyle name="注释 2 4 5" xfId="6948"/>
    <cellStyle name="注释 2 4 6" xfId="6949"/>
    <cellStyle name="注释 2 4 7" xfId="6950"/>
    <cellStyle name="注释 2 4 8" xfId="6951"/>
    <cellStyle name="注释 2 4 9" xfId="6952"/>
    <cellStyle name="注释 2 5" xfId="6953"/>
    <cellStyle name="注释 2 5 10" xfId="6954"/>
    <cellStyle name="注释 2 5 2" xfId="6955"/>
    <cellStyle name="注释 2 5 3" xfId="6956"/>
    <cellStyle name="注释 2 5 4" xfId="6957"/>
    <cellStyle name="注释 2 5 5" xfId="6958"/>
    <cellStyle name="注释 2 5 6" xfId="6959"/>
    <cellStyle name="注释 2 5 7" xfId="6960"/>
    <cellStyle name="注释 2 5 8" xfId="6961"/>
    <cellStyle name="注释 2 5 9" xfId="6962"/>
    <cellStyle name="注释 2 6" xfId="6963"/>
    <cellStyle name="注释 2 6 10" xfId="6964"/>
    <cellStyle name="注释 2 6 2" xfId="6965"/>
    <cellStyle name="注释 2 6 3" xfId="6966"/>
    <cellStyle name="注释 2 6 4" xfId="6967"/>
    <cellStyle name="注释 2 6 5" xfId="6968"/>
    <cellStyle name="注释 2 6 6" xfId="6969"/>
    <cellStyle name="注释 2 6 7" xfId="6970"/>
    <cellStyle name="注释 2 6 8" xfId="6971"/>
    <cellStyle name="注释 2 6 9" xfId="6972"/>
    <cellStyle name="注释 2 7" xfId="6973"/>
    <cellStyle name="注释 2 7 10" xfId="6974"/>
    <cellStyle name="注释 2 7 2" xfId="6975"/>
    <cellStyle name="注释 2 7 3" xfId="6976"/>
    <cellStyle name="注释 2 7 4" xfId="6977"/>
    <cellStyle name="注释 2 7 5" xfId="6978"/>
    <cellStyle name="注释 2 7 6" xfId="6979"/>
    <cellStyle name="注释 2 7 7" xfId="6980"/>
    <cellStyle name="注释 2 7 8" xfId="6981"/>
    <cellStyle name="注释 2 7 9" xfId="6982"/>
    <cellStyle name="注释 2 8" xfId="6983"/>
    <cellStyle name="注释 2 8 2" xfId="6984"/>
    <cellStyle name="注释 2 8 3" xfId="6985"/>
    <cellStyle name="注释 2 8 4" xfId="6986"/>
    <cellStyle name="注释 2 8 5" xfId="6987"/>
    <cellStyle name="注释 2 9" xfId="6988"/>
    <cellStyle name="注释 2 9 2" xfId="6989"/>
    <cellStyle name="注释 2 9 3" xfId="6990"/>
    <cellStyle name="注释 2 9 4" xfId="6991"/>
    <cellStyle name="注释 2 9 5" xfId="6992"/>
    <cellStyle name="注释 20" xfId="6993"/>
    <cellStyle name="注释 20 2" xfId="6994"/>
    <cellStyle name="注释 20 3" xfId="6995"/>
    <cellStyle name="注释 21" xfId="6996"/>
    <cellStyle name="注释 21 2" xfId="6997"/>
    <cellStyle name="注释 21 3" xfId="6998"/>
    <cellStyle name="注释 22" xfId="6999"/>
    <cellStyle name="注释 22 2" xfId="7000"/>
    <cellStyle name="注释 22 3" xfId="7001"/>
    <cellStyle name="注释 23" xfId="7002"/>
    <cellStyle name="注释 23 2" xfId="7003"/>
    <cellStyle name="注释 23 3" xfId="7004"/>
    <cellStyle name="注释 24" xfId="7005"/>
    <cellStyle name="注释 24 2" xfId="7006"/>
    <cellStyle name="注释 25" xfId="7007"/>
    <cellStyle name="注释 25 2" xfId="7008"/>
    <cellStyle name="注释 3" xfId="7009"/>
    <cellStyle name="注释 3 10" xfId="7010"/>
    <cellStyle name="注释 3 2" xfId="7011"/>
    <cellStyle name="注释 3 3" xfId="7012"/>
    <cellStyle name="注释 3 4" xfId="7013"/>
    <cellStyle name="注释 3 5" xfId="7014"/>
    <cellStyle name="注释 3 6" xfId="7015"/>
    <cellStyle name="注释 3 7" xfId="7016"/>
    <cellStyle name="注释 3 8" xfId="7017"/>
    <cellStyle name="注释 3 9" xfId="7018"/>
    <cellStyle name="注释 4" xfId="7019"/>
    <cellStyle name="注释 4 10" xfId="7020"/>
    <cellStyle name="注释 4 2" xfId="7021"/>
    <cellStyle name="注释 4 3" xfId="7022"/>
    <cellStyle name="注释 4 4" xfId="7023"/>
    <cellStyle name="注释 4 5" xfId="7024"/>
    <cellStyle name="注释 4 6" xfId="7025"/>
    <cellStyle name="注释 4 7" xfId="7026"/>
    <cellStyle name="注释 4 8" xfId="7027"/>
    <cellStyle name="注释 4 9" xfId="7028"/>
    <cellStyle name="注释 5" xfId="7029"/>
    <cellStyle name="注释 5 10" xfId="7030"/>
    <cellStyle name="注释 5 2" xfId="7031"/>
    <cellStyle name="注释 5 3" xfId="7032"/>
    <cellStyle name="注释 5 4" xfId="7033"/>
    <cellStyle name="注释 5 5" xfId="7034"/>
    <cellStyle name="注释 5 6" xfId="7035"/>
    <cellStyle name="注释 5 7" xfId="7036"/>
    <cellStyle name="注释 5 8" xfId="7037"/>
    <cellStyle name="注释 5 9" xfId="7038"/>
    <cellStyle name="注释 6" xfId="7039"/>
    <cellStyle name="注释 6 10" xfId="7040"/>
    <cellStyle name="注释 6 2" xfId="7041"/>
    <cellStyle name="注释 6 3" xfId="7042"/>
    <cellStyle name="注释 6 4" xfId="7043"/>
    <cellStyle name="注释 6 5" xfId="7044"/>
    <cellStyle name="注释 6 6" xfId="7045"/>
    <cellStyle name="注释 6 7" xfId="7046"/>
    <cellStyle name="注释 6 8" xfId="7047"/>
    <cellStyle name="注释 6 9" xfId="7048"/>
    <cellStyle name="注释 7" xfId="7049"/>
    <cellStyle name="注释 7 10" xfId="7050"/>
    <cellStyle name="注释 7 2" xfId="7051"/>
    <cellStyle name="注释 7 3" xfId="7052"/>
    <cellStyle name="注释 7 4" xfId="7053"/>
    <cellStyle name="注释 7 5" xfId="7054"/>
    <cellStyle name="注释 7 6" xfId="7055"/>
    <cellStyle name="注释 7 7" xfId="7056"/>
    <cellStyle name="注释 7 8" xfId="7057"/>
    <cellStyle name="注释 7 9" xfId="7058"/>
    <cellStyle name="注释 8" xfId="7059"/>
    <cellStyle name="注释 8 10" xfId="7060"/>
    <cellStyle name="注释 8 2" xfId="7061"/>
    <cellStyle name="注释 8 3" xfId="7062"/>
    <cellStyle name="注释 8 4" xfId="7063"/>
    <cellStyle name="注释 8 5" xfId="7064"/>
    <cellStyle name="注释 8 6" xfId="7065"/>
    <cellStyle name="注释 8 7" xfId="7066"/>
    <cellStyle name="注释 8 8" xfId="7067"/>
    <cellStyle name="注释 8 9" xfId="7068"/>
    <cellStyle name="注释 9" xfId="7069"/>
    <cellStyle name="注释 9 10" xfId="7070"/>
    <cellStyle name="注释 9 2" xfId="7071"/>
    <cellStyle name="注释 9 3" xfId="7072"/>
    <cellStyle name="注释 9 4" xfId="7073"/>
    <cellStyle name="注释 9 5" xfId="7074"/>
    <cellStyle name="注释 9 6" xfId="7075"/>
    <cellStyle name="注释 9 7" xfId="7076"/>
    <cellStyle name="注释 9 8" xfId="7077"/>
    <cellStyle name="注释 9 9" xfId="707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152400</xdr:rowOff>
    </xdr:from>
    <xdr:to>
      <xdr:col>39</xdr:col>
      <xdr:colOff>550711</xdr:colOff>
      <xdr:row>36</xdr:row>
      <xdr:rowOff>8743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81100"/>
          <a:ext cx="6037111" cy="5171293"/>
        </a:xfrm>
        <a:prstGeom prst="rect">
          <a:avLst/>
        </a:prstGeom>
      </xdr:spPr>
    </xdr:pic>
    <xdr:clientData/>
  </xdr:twoCellAnchor>
  <xdr:twoCellAnchor editAs="oneCell">
    <xdr:from>
      <xdr:col>42</xdr:col>
      <xdr:colOff>28575</xdr:colOff>
      <xdr:row>5</xdr:row>
      <xdr:rowOff>32308</xdr:rowOff>
    </xdr:from>
    <xdr:to>
      <xdr:col>53</xdr:col>
      <xdr:colOff>275278</xdr:colOff>
      <xdr:row>32</xdr:row>
      <xdr:rowOff>113522</xdr:rowOff>
    </xdr:to>
    <xdr:pic>
      <xdr:nvPicPr>
        <xdr:cNvPr id="3" name="图片 2"/>
        <xdr:cNvPicPr>
          <a:picLocks noChangeAspect="1"/>
        </xdr:cNvPicPr>
      </xdr:nvPicPr>
      <xdr:blipFill>
        <a:blip xmlns:r="http://schemas.openxmlformats.org/officeDocument/2006/relationships" r:embed="rId2"/>
        <a:stretch>
          <a:fillRect/>
        </a:stretch>
      </xdr:blipFill>
      <xdr:spPr>
        <a:xfrm>
          <a:off x="6200775" y="1061008"/>
          <a:ext cx="5733103" cy="4710364"/>
        </a:xfrm>
        <a:prstGeom prst="rect">
          <a:avLst/>
        </a:prstGeom>
      </xdr:spPr>
    </xdr:pic>
    <xdr:clientData/>
  </xdr:twoCellAnchor>
  <xdr:twoCellAnchor editAs="oneCell">
    <xdr:from>
      <xdr:col>53</xdr:col>
      <xdr:colOff>304799</xdr:colOff>
      <xdr:row>4</xdr:row>
      <xdr:rowOff>140970</xdr:rowOff>
    </xdr:from>
    <xdr:to>
      <xdr:col>63</xdr:col>
      <xdr:colOff>199096</xdr:colOff>
      <xdr:row>36</xdr:row>
      <xdr:rowOff>65933</xdr:rowOff>
    </xdr:to>
    <xdr:pic>
      <xdr:nvPicPr>
        <xdr:cNvPr id="4" name="图片 3"/>
        <xdr:cNvPicPr>
          <a:picLocks noChangeAspect="1"/>
        </xdr:cNvPicPr>
      </xdr:nvPicPr>
      <xdr:blipFill>
        <a:blip xmlns:r="http://schemas.openxmlformats.org/officeDocument/2006/relationships" r:embed="rId3"/>
        <a:stretch>
          <a:fillRect/>
        </a:stretch>
      </xdr:blipFill>
      <xdr:spPr>
        <a:xfrm>
          <a:off x="11963399" y="1007745"/>
          <a:ext cx="6752297" cy="5401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北京市朝阳区樱花园东街1号楼1至2层1-7房地产市场价值预评估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受贵公司委托，我公司对北京市朝阳区樱花园东街1号楼1至2层1-7房地产市场价值进行了预评估。</v>
      </c>
    </row>
    <row r="7" spans="1:2" s="1202" customFormat="1">
      <c r="A7" s="1200" t="s">
        <v>566</v>
      </c>
      <c r="B7" s="1201" t="str">
        <f>'预评函-1'!A7</f>
        <v>估价对象为北京市朝阳区樱花园东街1号楼1至2层1-7房地产，为北京万方鑫所有。根据《国有土地使用证》[]，估价对象（分摊）出让国有建设用地使用权面积为0平方米，建筑面积为1014.07平方米。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樱花园东街1号楼1至2层1-7房地产,为北京万方鑫开发建设的，该项目尚在开发建设中。根据《国有土地使用证》[]，估价对象（分摊）出让国有建设用地使用权面积为0平方米，规划建筑面积为1014.07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樱花园东街1号楼1至2层1-7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2023年7月28日（评估专业人员实地查勘之日）</v>
      </c>
    </row>
    <row r="13" spans="1:2" s="1202" customFormat="1">
      <c r="A13" s="1200" t="s">
        <v>529</v>
      </c>
      <c r="B13" s="1201"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4314</v>
      </c>
    </row>
    <row r="21" spans="1:2" s="1202" customFormat="1">
      <c r="A21" s="1200" t="s">
        <v>537</v>
      </c>
      <c r="B21" s="1201">
        <f ca="1">'预评函-2'!D7</f>
        <v>42541</v>
      </c>
    </row>
    <row r="22" spans="1:2" s="1202" customFormat="1">
      <c r="A22" s="1200" t="s">
        <v>538</v>
      </c>
      <c r="B22" s="1201" t="str">
        <f ca="1">'预评函-2'!D6</f>
        <v>肆仟叁佰壹拾肆万元整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4314</v>
      </c>
    </row>
    <row r="31" spans="1:2" s="1202" customFormat="1">
      <c r="A31" s="1200" t="s">
        <v>576</v>
      </c>
      <c r="B31" s="1201">
        <f ca="1">'预评函-2'!D15</f>
        <v>42541</v>
      </c>
    </row>
    <row r="32" spans="1:2" s="1202" customFormat="1">
      <c r="A32" s="1200" t="s">
        <v>543</v>
      </c>
      <c r="B32" s="1201" t="str">
        <f ca="1">'预评函-2'!D14</f>
        <v>肆仟叁佰壹拾肆万元整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北京市朝阳区樱花园东街1号楼1至2层1-7房地产</v>
      </c>
    </row>
    <row r="42" spans="1:2" s="1202" customFormat="1">
      <c r="A42" s="1200" t="s">
        <v>590</v>
      </c>
      <c r="B42" s="1201" t="str">
        <f>'预评函-3'!B2</f>
        <v>建筑面积</v>
      </c>
    </row>
    <row r="43" spans="1:2" s="1202" customFormat="1">
      <c r="A43" s="1200" t="s">
        <v>591</v>
      </c>
      <c r="B43" s="1201">
        <f>'预评函-3'!B4</f>
        <v>1014.0699999999999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3891</v>
      </c>
    </row>
    <row r="48" spans="1:2" s="1202" customFormat="1">
      <c r="A48" s="1200" t="s">
        <v>549</v>
      </c>
      <c r="B48" s="1201">
        <f ca="1">'预评函-3'!E4</f>
        <v>38370</v>
      </c>
    </row>
    <row r="49" spans="1:2" s="1202" customFormat="1">
      <c r="A49" s="1200" t="s">
        <v>550</v>
      </c>
      <c r="B49" s="1201" t="str">
        <f ca="1">'预评函-3'!D5</f>
        <v>叁仟捌佰玖拾壹万元整</v>
      </c>
    </row>
    <row r="50" spans="1:2" s="1202" customFormat="1">
      <c r="A50" s="1200" t="s">
        <v>574</v>
      </c>
      <c r="B50" s="1201" t="str">
        <f>'预评函-3'!F2</f>
        <v>在建建筑物价值</v>
      </c>
    </row>
    <row r="51" spans="1:2" s="1202" customFormat="1">
      <c r="A51" s="1200" t="s">
        <v>551</v>
      </c>
      <c r="B51" s="1201">
        <f ca="1">'预评函-3'!F4</f>
        <v>423</v>
      </c>
    </row>
    <row r="52" spans="1:2" s="1202" customFormat="1">
      <c r="A52" s="1200" t="s">
        <v>552</v>
      </c>
      <c r="B52" s="1201">
        <f ca="1">'预评函-3'!G4</f>
        <v>4171</v>
      </c>
    </row>
    <row r="53" spans="1:2" s="1202" customFormat="1">
      <c r="A53" s="1200" t="s">
        <v>580</v>
      </c>
      <c r="B53" s="1201" t="str">
        <f ca="1">'预评函-3'!F5</f>
        <v>肆佰贰拾叁万元整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2570</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2571</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2282</v>
      </c>
      <c r="C17" s="1546"/>
    </row>
    <row r="18" spans="1:3">
      <c r="A18" s="1545" t="s">
        <v>1046</v>
      </c>
      <c r="B18" s="1545" t="s">
        <v>2426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樱花园东街1号楼1至2层1-7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2493</v>
      </c>
      <c r="B1" s="3010"/>
      <c r="C1" s="3010"/>
      <c r="D1" s="3010"/>
      <c r="E1" s="3010"/>
      <c r="F1" s="3011"/>
      <c r="I1" s="3433" t="s">
        <v>2586</v>
      </c>
      <c r="J1" s="3222"/>
      <c r="K1" s="3222"/>
      <c r="L1" s="3222"/>
      <c r="M1" s="3222"/>
      <c r="N1" s="3434"/>
      <c r="O1" s="3434"/>
      <c r="P1" s="3434"/>
      <c r="Q1" s="3434"/>
      <c r="R1" s="3434"/>
    </row>
    <row r="2" spans="1:18">
      <c r="A2" s="3013"/>
      <c r="B2" s="3014"/>
      <c r="C2" s="3014"/>
      <c r="D2" s="3014"/>
      <c r="E2" s="3014"/>
      <c r="F2" s="3015"/>
      <c r="I2" s="3524" t="s">
        <v>2573</v>
      </c>
      <c r="J2" s="3524"/>
      <c r="K2" s="3524"/>
      <c r="L2" s="3524"/>
      <c r="M2" s="3524"/>
      <c r="N2" s="3524"/>
      <c r="O2" s="3524"/>
      <c r="P2" s="3524"/>
      <c r="Q2" s="3524"/>
      <c r="R2" s="3524"/>
    </row>
    <row r="3" spans="1:18">
      <c r="A3" s="3016" t="s">
        <v>2494</v>
      </c>
      <c r="B3" s="3017">
        <f>项目基本情况!D3</f>
        <v>45135</v>
      </c>
      <c r="C3" s="3019"/>
      <c r="D3" s="3019"/>
      <c r="E3" s="3019"/>
      <c r="F3" s="3015"/>
      <c r="I3" s="3435"/>
      <c r="J3" s="3435" t="s">
        <v>2577</v>
      </c>
      <c r="K3" s="3435" t="s">
        <v>2578</v>
      </c>
      <c r="L3" s="3435" t="s">
        <v>2579</v>
      </c>
      <c r="M3" s="3435" t="s">
        <v>2580</v>
      </c>
      <c r="N3" s="3436" t="s">
        <v>2581</v>
      </c>
      <c r="O3" s="3436" t="s">
        <v>2582</v>
      </c>
      <c r="P3" s="3436" t="s">
        <v>2583</v>
      </c>
      <c r="Q3" s="3436" t="s">
        <v>2584</v>
      </c>
      <c r="R3" s="3436" t="s">
        <v>2585</v>
      </c>
    </row>
    <row r="4" spans="1:18">
      <c r="A4" s="3016" t="s">
        <v>2495</v>
      </c>
      <c r="B4" s="3019" t="s">
        <v>2496</v>
      </c>
      <c r="C4" s="3019" t="s">
        <v>2497</v>
      </c>
      <c r="D4" s="3019" t="s">
        <v>2498</v>
      </c>
      <c r="E4" s="3019" t="s">
        <v>2499</v>
      </c>
      <c r="F4" s="3015"/>
      <c r="I4" s="3435" t="s">
        <v>2574</v>
      </c>
      <c r="J4" s="3435">
        <v>80</v>
      </c>
      <c r="K4" s="3435">
        <v>70</v>
      </c>
      <c r="L4" s="3435">
        <v>20</v>
      </c>
      <c r="M4" s="3435">
        <v>30</v>
      </c>
      <c r="N4" s="3019">
        <v>45</v>
      </c>
      <c r="O4" s="3019">
        <v>60</v>
      </c>
      <c r="P4" s="3019">
        <v>50</v>
      </c>
      <c r="Q4" s="3019">
        <v>20</v>
      </c>
      <c r="R4" s="3019">
        <v>375</v>
      </c>
    </row>
    <row r="5" spans="1:18">
      <c r="A5" s="3020">
        <v>40</v>
      </c>
      <c r="B5" s="3017">
        <v>46375</v>
      </c>
      <c r="C5" s="3019">
        <f>ROUNDDOWN(MIN((B5-B3)/365,A5),2)</f>
        <v>3.39</v>
      </c>
      <c r="D5" s="3021">
        <f>IF(ISERROR(ROUND(POWER(1+E5,A5-C5)*(POWER(1+E5,C5)-1)/(POWER(1+E5,A5)-1),3)),0,ROUND(POWER(1+E5,A5-C5)*(POWER(1+E5,C5)-1)/(POWER(1+E5,A5)-1),4))</f>
        <v>0.1573</v>
      </c>
      <c r="E5" s="3022">
        <v>0.04</v>
      </c>
      <c r="F5" s="3015"/>
      <c r="I5" s="3435" t="s">
        <v>2575</v>
      </c>
      <c r="J5" s="3435">
        <v>70</v>
      </c>
      <c r="K5" s="3435">
        <v>60</v>
      </c>
      <c r="L5" s="3435">
        <v>15</v>
      </c>
      <c r="M5" s="3435">
        <v>25</v>
      </c>
      <c r="N5" s="3019">
        <v>40</v>
      </c>
      <c r="O5" s="3019">
        <v>50</v>
      </c>
      <c r="P5" s="3019">
        <v>40</v>
      </c>
      <c r="Q5" s="3019">
        <v>15</v>
      </c>
      <c r="R5" s="3019">
        <v>315</v>
      </c>
    </row>
    <row r="6" spans="1:18">
      <c r="A6" s="3020">
        <v>50</v>
      </c>
      <c r="B6" s="3017">
        <v>50028</v>
      </c>
      <c r="C6" s="3019">
        <f>ROUNDDOWN(MIN((B6-B3)/365,A6),2)</f>
        <v>13.4</v>
      </c>
      <c r="D6" s="3021">
        <f>IF(ISERROR(ROUND(POWER(1+E6,A6-C6)*(POWER(1+E6,C6)-1)/(POWER(1+E6,A6)-1),3)),0,ROUND(POWER(1+E6,A6-C6)*(POWER(1+E6,C6)-1)/(POWER(1+E6,A6)-1),4))</f>
        <v>0.47570000000000001</v>
      </c>
      <c r="E6" s="3022">
        <v>0.04</v>
      </c>
      <c r="F6" s="3015"/>
      <c r="I6" s="3435" t="s">
        <v>2576</v>
      </c>
      <c r="J6" s="3435">
        <v>60</v>
      </c>
      <c r="K6" s="3435">
        <v>50</v>
      </c>
      <c r="L6" s="3435">
        <v>10</v>
      </c>
      <c r="M6" s="3435">
        <v>20</v>
      </c>
      <c r="N6" s="3019">
        <v>35</v>
      </c>
      <c r="O6" s="3019">
        <v>40</v>
      </c>
      <c r="P6" s="3019">
        <v>30</v>
      </c>
      <c r="Q6" s="3019">
        <v>10</v>
      </c>
      <c r="R6" s="3019">
        <v>255</v>
      </c>
    </row>
    <row r="7" spans="1:18">
      <c r="A7" s="3020">
        <v>70</v>
      </c>
      <c r="B7" s="3017">
        <v>57333</v>
      </c>
      <c r="C7" s="3019">
        <f>ROUNDDOWN(MIN((B7-B3)/365,A7),2)</f>
        <v>33.409999999999997</v>
      </c>
      <c r="D7" s="3021">
        <f>IF(ISERROR(ROUND(POWER(1+E7,A7-C7)*(POWER(1+E7,C7)-1)/(POWER(1+E7,A7)-1),3)),0,ROUND(POWER(1+E7,A7-C7)*(POWER(1+E7,C7)-1)/(POWER(1+E7,A7)-1),4))</f>
        <v>0.78039999999999998</v>
      </c>
      <c r="E7" s="3022">
        <v>0.04</v>
      </c>
      <c r="F7" s="3015"/>
    </row>
    <row r="8" spans="1:18">
      <c r="A8" s="3013"/>
      <c r="B8" s="3014"/>
      <c r="C8" s="3014"/>
      <c r="D8" s="3014"/>
      <c r="E8" s="3014"/>
      <c r="F8" s="3015"/>
    </row>
    <row r="9" spans="1:18">
      <c r="A9" s="3016" t="s">
        <v>2500</v>
      </c>
      <c r="B9" s="3019"/>
      <c r="C9" s="3019"/>
      <c r="D9" s="3019"/>
      <c r="E9" s="3019"/>
      <c r="F9" s="3023"/>
    </row>
    <row r="10" spans="1:18">
      <c r="A10" s="3016" t="s">
        <v>2501</v>
      </c>
      <c r="B10" s="3019"/>
      <c r="C10" s="3019"/>
      <c r="D10" s="3019" t="s">
        <v>2499</v>
      </c>
      <c r="E10" s="3019"/>
      <c r="F10" s="3023" t="s">
        <v>2498</v>
      </c>
    </row>
    <row r="11" spans="1:18">
      <c r="A11" s="3016" t="s">
        <v>2502</v>
      </c>
      <c r="B11" s="3024">
        <v>70</v>
      </c>
      <c r="C11" s="3019" t="s">
        <v>2503</v>
      </c>
      <c r="D11" s="3025">
        <v>4.4999999999999998E-2</v>
      </c>
      <c r="E11" s="3019" t="s">
        <v>2504</v>
      </c>
      <c r="F11" s="3026">
        <f>ROUND(1-(1/(POWER(1+D11,B11))),4)</f>
        <v>0.95409999999999995</v>
      </c>
    </row>
    <row r="12" spans="1:18">
      <c r="A12" s="3016" t="s">
        <v>2505</v>
      </c>
      <c r="B12" s="3024">
        <v>40</v>
      </c>
      <c r="C12" s="3019" t="s">
        <v>2506</v>
      </c>
      <c r="D12" s="3025">
        <v>4.4999999999999998E-2</v>
      </c>
      <c r="E12" s="3019" t="s">
        <v>2507</v>
      </c>
      <c r="F12" s="3026">
        <f>ROUND(1-(1/(POWER(1+D12,B12))),4)</f>
        <v>0.82809999999999995</v>
      </c>
    </row>
    <row r="13" spans="1:18">
      <c r="A13" s="3016" t="s">
        <v>2508</v>
      </c>
      <c r="B13" s="3019"/>
      <c r="C13" s="3019"/>
      <c r="D13" s="3014"/>
      <c r="E13" s="3014"/>
      <c r="F13" s="3015"/>
    </row>
    <row r="14" spans="1:18">
      <c r="A14" s="3016" t="s">
        <v>2509</v>
      </c>
      <c r="B14" s="3024">
        <v>5000</v>
      </c>
      <c r="C14" s="3018"/>
      <c r="D14" s="3014"/>
      <c r="E14" s="3014"/>
      <c r="F14" s="3015"/>
    </row>
    <row r="15" spans="1:18">
      <c r="A15" s="3016" t="s">
        <v>2510</v>
      </c>
      <c r="B15" s="3019">
        <f>ROUND(B14*F12/F11,2)</f>
        <v>4339.6899999999996</v>
      </c>
      <c r="C15" s="3019">
        <f>ROUND(F12/F11,4)</f>
        <v>0.8679</v>
      </c>
      <c r="D15" s="3014"/>
      <c r="E15" s="3014"/>
      <c r="F15" s="3015"/>
    </row>
    <row r="16" spans="1:18">
      <c r="A16" s="3016" t="s">
        <v>2511</v>
      </c>
      <c r="B16" s="3019"/>
      <c r="C16" s="3019"/>
      <c r="D16" s="3014"/>
      <c r="E16" s="3014"/>
      <c r="F16" s="3015"/>
    </row>
    <row r="17" spans="1:13">
      <c r="A17" s="3016" t="s">
        <v>2510</v>
      </c>
      <c r="B17" s="3025">
        <v>4810</v>
      </c>
      <c r="C17" s="3018"/>
      <c r="D17" s="3014"/>
      <c r="E17" s="3014"/>
      <c r="F17" s="3015"/>
    </row>
    <row r="18" spans="1:13" ht="14.25" thickBot="1">
      <c r="A18" s="3027" t="s">
        <v>2509</v>
      </c>
      <c r="B18" s="3028">
        <f>ROUND(B17*F11/F12,2)</f>
        <v>5541.87</v>
      </c>
      <c r="C18" s="3028">
        <f>ROUND(F11/F12,4)</f>
        <v>1.1521999999999999</v>
      </c>
      <c r="D18" s="3029"/>
      <c r="E18" s="3029"/>
      <c r="F18" s="3030"/>
    </row>
    <row r="19" spans="1:13" ht="14.25" thickBot="1"/>
    <row r="20" spans="1:13" s="3065" customFormat="1" ht="14.25" thickTop="1">
      <c r="A20" s="3062" t="s">
        <v>2512</v>
      </c>
      <c r="B20" s="3063"/>
      <c r="C20" s="3063"/>
      <c r="D20" s="3063"/>
      <c r="E20" s="3063"/>
      <c r="F20" s="3063"/>
      <c r="G20" s="3064"/>
      <c r="I20" s="3066" t="s">
        <v>2557</v>
      </c>
      <c r="J20" s="3066" t="s">
        <v>2562</v>
      </c>
      <c r="K20" s="3066"/>
      <c r="L20" s="3066"/>
      <c r="M20" s="3066"/>
    </row>
    <row r="21" spans="1:13">
      <c r="A21" s="3031"/>
      <c r="B21" s="3032" t="s">
        <v>2513</v>
      </c>
      <c r="C21" s="3032" t="s">
        <v>2514</v>
      </c>
      <c r="D21" s="3032" t="s">
        <v>2515</v>
      </c>
      <c r="E21" s="3032" t="s">
        <v>2516</v>
      </c>
      <c r="F21" s="3032" t="s">
        <v>2517</v>
      </c>
      <c r="G21" s="3033" t="s">
        <v>2518</v>
      </c>
      <c r="I21" s="3054">
        <v>5</v>
      </c>
      <c r="J21" s="3054">
        <v>54.2</v>
      </c>
    </row>
    <row r="22" spans="1:13">
      <c r="A22" s="3031" t="s">
        <v>2519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2560</v>
      </c>
      <c r="M23" s="3054" t="s">
        <v>2561</v>
      </c>
    </row>
    <row r="24" spans="1:13">
      <c r="A24" s="3031" t="s">
        <v>2521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2559</v>
      </c>
      <c r="M24" s="3054">
        <v>10</v>
      </c>
    </row>
    <row r="25" spans="1:13">
      <c r="A25" s="3031" t="s">
        <v>2522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2563</v>
      </c>
      <c r="M25" s="3054">
        <v>8</v>
      </c>
    </row>
    <row r="26" spans="1:13">
      <c r="A26" s="3036"/>
      <c r="B26" s="3037"/>
      <c r="C26" s="3037"/>
      <c r="D26" s="3037"/>
      <c r="E26" s="3037"/>
      <c r="F26" s="3037"/>
      <c r="G26" s="3038"/>
      <c r="I26" s="3054">
        <v>30</v>
      </c>
      <c r="J26" s="3054">
        <v>90.5</v>
      </c>
      <c r="K26" s="3054">
        <f t="shared" si="2"/>
        <v>4.2000000000000028</v>
      </c>
      <c r="L26" s="3054" t="s">
        <v>2564</v>
      </c>
      <c r="M26" s="3054">
        <v>5</v>
      </c>
    </row>
    <row r="27" spans="1:13">
      <c r="A27" s="3036" t="s">
        <v>2523</v>
      </c>
      <c r="B27" s="3037"/>
      <c r="C27" s="3037"/>
      <c r="D27" s="3037"/>
      <c r="E27" s="3037"/>
      <c r="F27" s="3037"/>
      <c r="G27" s="3038"/>
      <c r="I27" s="3054">
        <v>35</v>
      </c>
      <c r="J27" s="3054">
        <v>93.8</v>
      </c>
      <c r="K27" s="3054">
        <f t="shared" si="2"/>
        <v>3.2999999999999972</v>
      </c>
      <c r="L27" s="3054" t="s">
        <v>2565</v>
      </c>
      <c r="M27" s="3054">
        <v>3</v>
      </c>
    </row>
    <row r="28" spans="1:13">
      <c r="A28" s="3036" t="s">
        <v>2524</v>
      </c>
      <c r="B28" s="3037"/>
      <c r="C28" s="3037"/>
      <c r="D28" s="3037"/>
      <c r="E28" s="3037"/>
      <c r="F28" s="3037"/>
      <c r="G28" s="3038"/>
      <c r="I28" s="3054">
        <v>40</v>
      </c>
      <c r="J28" s="3054">
        <v>96.4</v>
      </c>
      <c r="K28" s="3054">
        <f t="shared" si="2"/>
        <v>2.6000000000000085</v>
      </c>
      <c r="L28" s="3054" t="s">
        <v>2566</v>
      </c>
      <c r="M28" s="3054">
        <v>2</v>
      </c>
    </row>
    <row r="29" spans="1:13">
      <c r="A29" s="3036" t="s">
        <v>2525</v>
      </c>
      <c r="B29" s="3037"/>
      <c r="C29" s="3037"/>
      <c r="D29" s="3037"/>
      <c r="E29" s="3037"/>
      <c r="F29" s="3037"/>
      <c r="G29" s="3038"/>
      <c r="I29" s="3054">
        <v>45</v>
      </c>
      <c r="J29" s="3054">
        <v>98.4</v>
      </c>
      <c r="K29" s="3054">
        <f t="shared" si="2"/>
        <v>2</v>
      </c>
    </row>
    <row r="30" spans="1:13">
      <c r="A30" s="3036" t="s">
        <v>2526</v>
      </c>
      <c r="B30" s="3037"/>
      <c r="C30" s="3037"/>
      <c r="D30" s="3037"/>
      <c r="E30" s="3037"/>
      <c r="F30" s="3037"/>
      <c r="G30" s="3038"/>
      <c r="I30" s="3054">
        <v>50</v>
      </c>
      <c r="J30" s="3054">
        <v>100</v>
      </c>
      <c r="K30" s="3054">
        <f t="shared" si="2"/>
        <v>1.5999999999999943</v>
      </c>
    </row>
    <row r="31" spans="1:13">
      <c r="A31" s="3036" t="s">
        <v>2527</v>
      </c>
      <c r="B31" s="3037"/>
      <c r="C31" s="3037"/>
      <c r="D31" s="3037"/>
      <c r="E31" s="3037"/>
      <c r="F31" s="3037"/>
      <c r="G31" s="3038"/>
      <c r="I31" s="3054" t="s">
        <v>2558</v>
      </c>
    </row>
    <row r="32" spans="1:13">
      <c r="A32" s="3036" t="s">
        <v>2528</v>
      </c>
      <c r="B32" s="3037"/>
      <c r="C32" s="3037"/>
      <c r="D32" s="3037"/>
      <c r="E32" s="3037"/>
      <c r="F32" s="3037"/>
      <c r="G32" s="3038"/>
    </row>
    <row r="33" spans="1:13">
      <c r="A33" s="3036" t="s">
        <v>2529</v>
      </c>
      <c r="B33" s="3037"/>
      <c r="C33" s="3037"/>
      <c r="D33" s="3037"/>
      <c r="E33" s="3037"/>
      <c r="F33" s="3037"/>
      <c r="G33" s="3038"/>
      <c r="I33" s="3054" t="s">
        <v>2557</v>
      </c>
      <c r="J33" s="3054" t="s">
        <v>2567</v>
      </c>
    </row>
    <row r="34" spans="1:13">
      <c r="A34" s="3036" t="s">
        <v>2530</v>
      </c>
      <c r="B34" s="3037"/>
      <c r="C34" s="3037"/>
      <c r="D34" s="3037"/>
      <c r="E34" s="3037"/>
      <c r="F34" s="3037"/>
      <c r="G34" s="3038"/>
      <c r="I34" s="3054">
        <v>5</v>
      </c>
      <c r="J34" s="3054">
        <v>55.1</v>
      </c>
    </row>
    <row r="35" spans="1:13">
      <c r="A35" s="3036" t="s">
        <v>2531</v>
      </c>
      <c r="B35" s="3037"/>
      <c r="C35" s="3037"/>
      <c r="D35" s="3037"/>
      <c r="E35" s="3037"/>
      <c r="F35" s="3037"/>
      <c r="G35" s="3038"/>
      <c r="I35" s="3054">
        <v>10</v>
      </c>
      <c r="J35" s="3054">
        <v>67</v>
      </c>
      <c r="K35" s="3054">
        <f>J35-J34</f>
        <v>11.899999999999999</v>
      </c>
    </row>
    <row r="36" spans="1:13">
      <c r="A36" s="3036" t="s">
        <v>2532</v>
      </c>
      <c r="B36" s="3037"/>
      <c r="C36" s="3037"/>
      <c r="D36" s="3037"/>
      <c r="E36" s="3037"/>
      <c r="F36" s="3037"/>
      <c r="G36" s="3038"/>
      <c r="I36" s="3054">
        <v>15</v>
      </c>
      <c r="J36" s="3054">
        <v>76.3</v>
      </c>
      <c r="K36" s="3054">
        <f t="shared" ref="K36:K41" si="3">J36-J35</f>
        <v>9.2999999999999972</v>
      </c>
      <c r="L36" s="3054" t="s">
        <v>2560</v>
      </c>
      <c r="M36" s="3054" t="s">
        <v>2561</v>
      </c>
    </row>
    <row r="37" spans="1:13">
      <c r="A37" s="3036" t="s">
        <v>2533</v>
      </c>
      <c r="B37" s="3037"/>
      <c r="C37" s="3037"/>
      <c r="D37" s="3037"/>
      <c r="E37" s="3037"/>
      <c r="F37" s="3037"/>
      <c r="G37" s="3038"/>
      <c r="I37" s="3054">
        <v>20</v>
      </c>
      <c r="J37" s="3054">
        <v>83.6</v>
      </c>
      <c r="K37" s="3054">
        <f t="shared" si="3"/>
        <v>7.2999999999999972</v>
      </c>
      <c r="L37" s="3054" t="s">
        <v>2559</v>
      </c>
      <c r="M37" s="3054">
        <v>10</v>
      </c>
    </row>
    <row r="38" spans="1:13">
      <c r="A38" s="3036" t="s">
        <v>2534</v>
      </c>
      <c r="B38" s="3037"/>
      <c r="C38" s="3037"/>
      <c r="D38" s="3037"/>
      <c r="E38" s="3037"/>
      <c r="F38" s="3037"/>
      <c r="G38" s="3038"/>
      <c r="I38" s="3054">
        <v>25</v>
      </c>
      <c r="J38" s="3054">
        <v>89.3</v>
      </c>
      <c r="K38" s="3054">
        <f t="shared" si="3"/>
        <v>5.7000000000000028</v>
      </c>
      <c r="L38" s="3054" t="s">
        <v>2563</v>
      </c>
      <c r="M38" s="3054">
        <v>8</v>
      </c>
    </row>
    <row r="39" spans="1:13">
      <c r="A39" s="3036"/>
      <c r="B39" s="3037"/>
      <c r="C39" s="3037"/>
      <c r="D39" s="3037"/>
      <c r="E39" s="3037"/>
      <c r="F39" s="3037"/>
      <c r="G39" s="3038"/>
      <c r="I39" s="3054">
        <v>30</v>
      </c>
      <c r="J39" s="3054">
        <v>93.8</v>
      </c>
      <c r="K39" s="3054">
        <f t="shared" si="3"/>
        <v>4.5</v>
      </c>
      <c r="L39" s="3054" t="s">
        <v>2564</v>
      </c>
      <c r="M39" s="3054">
        <v>6</v>
      </c>
    </row>
    <row r="40" spans="1:13">
      <c r="A40" s="3039" t="s">
        <v>2535</v>
      </c>
      <c r="B40" s="3040"/>
      <c r="C40" s="3040"/>
      <c r="D40" s="3040"/>
      <c r="E40" s="3040"/>
      <c r="F40" s="3040"/>
      <c r="G40" s="3041"/>
      <c r="I40" s="3054">
        <v>35</v>
      </c>
      <c r="J40" s="3054">
        <v>97.2</v>
      </c>
      <c r="K40" s="3054">
        <f t="shared" si="3"/>
        <v>3.4000000000000057</v>
      </c>
      <c r="L40" s="3054" t="s">
        <v>2565</v>
      </c>
      <c r="M40" s="3054">
        <v>3</v>
      </c>
    </row>
    <row r="41" spans="1:13">
      <c r="A41" s="3042" t="s">
        <v>2536</v>
      </c>
      <c r="B41" s="3043" t="s">
        <v>2537</v>
      </c>
      <c r="C41" s="3044" t="s">
        <v>2538</v>
      </c>
      <c r="D41" s="3044" t="s">
        <v>2539</v>
      </c>
      <c r="E41" s="3045"/>
      <c r="F41" s="3046"/>
      <c r="G41" s="3047"/>
      <c r="I41" s="3054">
        <v>40</v>
      </c>
      <c r="J41" s="3054">
        <v>100</v>
      </c>
      <c r="K41" s="3054">
        <f t="shared" si="3"/>
        <v>2.7999999999999972</v>
      </c>
    </row>
    <row r="42" spans="1:13">
      <c r="A42" s="3042" t="s">
        <v>2540</v>
      </c>
      <c r="B42" s="3043" t="s">
        <v>2541</v>
      </c>
      <c r="C42" s="3044" t="s">
        <v>2542</v>
      </c>
      <c r="D42" s="3048" t="s">
        <v>2543</v>
      </c>
      <c r="E42" s="3040" t="s">
        <v>2544</v>
      </c>
      <c r="F42" s="3040"/>
      <c r="G42" s="3041"/>
    </row>
    <row r="43" spans="1:13">
      <c r="A43" s="3042" t="s">
        <v>2545</v>
      </c>
      <c r="B43" s="3043" t="s">
        <v>2546</v>
      </c>
      <c r="C43" s="3044" t="s">
        <v>2547</v>
      </c>
      <c r="D43" s="3044" t="s">
        <v>2548</v>
      </c>
      <c r="E43" s="3045" t="s">
        <v>2549</v>
      </c>
      <c r="F43" s="3046"/>
      <c r="G43" s="3047"/>
      <c r="I43" s="3054" t="s">
        <v>2557</v>
      </c>
      <c r="J43" s="3054" t="s">
        <v>2568</v>
      </c>
    </row>
    <row r="44" spans="1:13">
      <c r="A44" s="3042" t="s">
        <v>2550</v>
      </c>
      <c r="B44" s="3043" t="s">
        <v>2551</v>
      </c>
      <c r="C44" s="3044" t="s">
        <v>2552</v>
      </c>
      <c r="D44" s="3048">
        <v>0.5</v>
      </c>
      <c r="E44" s="3045" t="s">
        <v>2553</v>
      </c>
      <c r="F44" s="3046"/>
      <c r="G44" s="3047"/>
      <c r="I44" s="3054">
        <v>30</v>
      </c>
      <c r="J44" s="3054">
        <v>81.7</v>
      </c>
    </row>
    <row r="45" spans="1:13" ht="14.25" thickBot="1">
      <c r="A45" s="3049" t="s">
        <v>2554</v>
      </c>
      <c r="B45" s="3050" t="s">
        <v>2541</v>
      </c>
      <c r="C45" s="3051" t="s">
        <v>2541</v>
      </c>
      <c r="D45" s="3051" t="s">
        <v>2555</v>
      </c>
      <c r="E45" s="3052" t="s">
        <v>2556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K25" sqref="K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33" t="str">
        <f>IF(B10="北京市","北京市",C10)&amp;F10&amp;IF(结果表!G1="在建","出让国有建设用地使用权及在建建筑物",IF(结果表!G1="土地","出让国有建设用地使用权",))&amp;B9&amp;"预评估"</f>
        <v>北京市朝阳区樱花园东街1号楼1至2层1-7房地产市场价值预评估</v>
      </c>
      <c r="C1" s="3534"/>
      <c r="D1" s="3534"/>
      <c r="E1" s="3534"/>
      <c r="F1" s="3534"/>
      <c r="G1" s="3534"/>
      <c r="H1" s="3534"/>
      <c r="I1" s="3535"/>
      <c r="J1" s="2467"/>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北京市朝阳区樱花园东街1号楼1至2层1-7房地产市场价值</v>
      </c>
      <c r="T1" s="1744"/>
      <c r="U1" s="1744"/>
      <c r="V1" s="1744"/>
      <c r="W1" s="1744"/>
      <c r="X1" s="1744"/>
      <c r="Y1" s="1744"/>
      <c r="Z1" s="1744"/>
      <c r="AA1" s="1744"/>
      <c r="AB1" s="1744"/>
    </row>
    <row r="2" spans="1:30">
      <c r="A2" s="2364" t="s">
        <v>2169</v>
      </c>
      <c r="B2" s="2368"/>
      <c r="C2" s="2369"/>
      <c r="D2" s="2666"/>
      <c r="E2" s="2658"/>
      <c r="F2" s="2658"/>
      <c r="G2" s="2659"/>
      <c r="H2" s="2659"/>
      <c r="I2" s="2659"/>
      <c r="J2" s="2467"/>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北京市朝阳区樱花园东街1号楼1至2层1-7房地产</v>
      </c>
      <c r="T2" s="1744"/>
      <c r="U2" s="1744"/>
      <c r="V2" s="1744"/>
      <c r="W2" s="1744"/>
      <c r="X2" s="1744"/>
      <c r="Y2" s="1744"/>
      <c r="Z2" s="1744"/>
      <c r="AA2" s="1744"/>
      <c r="AB2" s="1744"/>
    </row>
    <row r="3" spans="1:30">
      <c r="A3" s="302" t="s">
        <v>2170</v>
      </c>
      <c r="B3" s="2370">
        <v>45135</v>
      </c>
      <c r="C3" s="2371" t="s">
        <v>2171</v>
      </c>
      <c r="D3" s="2370">
        <f>B3</f>
        <v>45135</v>
      </c>
      <c r="E3" s="2659"/>
      <c r="F3" s="2659"/>
      <c r="G3" s="2659"/>
      <c r="H3" s="2659"/>
      <c r="I3" s="2659"/>
      <c r="J3" s="2467"/>
      <c r="K3" s="2365"/>
      <c r="L3" s="2366"/>
      <c r="M3" s="2366"/>
      <c r="N3" s="2367"/>
      <c r="O3" s="1575"/>
      <c r="P3" s="2367"/>
      <c r="Q3" s="2367"/>
      <c r="R3" s="2367"/>
      <c r="S3" s="1681"/>
      <c r="T3" s="1744"/>
      <c r="U3" s="1744"/>
      <c r="V3" s="1744"/>
      <c r="W3" s="1744"/>
      <c r="X3" s="1744"/>
      <c r="Y3" s="1744"/>
      <c r="Z3" s="1744"/>
      <c r="AA3" s="1744"/>
      <c r="AB3" s="1744"/>
    </row>
    <row r="4" spans="1:30" ht="13.5" thickBot="1">
      <c r="A4" s="1089" t="s">
        <v>2172</v>
      </c>
      <c r="B4" s="2372" t="s">
        <v>3368</v>
      </c>
      <c r="C4" s="2373">
        <f ca="1">SUMIF(注册房地产估价师,B4,估价师及机构信息!B3:B24)</f>
        <v>1120070131</v>
      </c>
      <c r="D4" s="2372" t="s">
        <v>3369</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郑燚（注册号：1120070131)、崔锴（注册号：1120100036)</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0"/>
      <c r="F5" s="2660"/>
      <c r="G5" s="2660"/>
      <c r="H5" s="2660"/>
      <c r="I5" s="2660"/>
      <c r="J5" s="2435"/>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3370</v>
      </c>
      <c r="C8" s="2387"/>
      <c r="D8" s="3536" t="s">
        <v>2177</v>
      </c>
      <c r="E8" s="2388" t="s">
        <v>3371</v>
      </c>
      <c r="F8" s="2389"/>
      <c r="G8" s="2659"/>
      <c r="H8" s="2659"/>
      <c r="I8" s="2659"/>
      <c r="J8" s="2435"/>
      <c r="K8" s="2610"/>
      <c r="L8" s="2609"/>
      <c r="M8" s="2609"/>
      <c r="N8" s="2435"/>
      <c r="O8" s="2446"/>
      <c r="P8" s="2435"/>
      <c r="Q8" s="2435"/>
      <c r="R8" s="2435"/>
    </row>
    <row r="9" spans="1:30" ht="13.5" thickBot="1">
      <c r="A9" s="2390" t="s">
        <v>2178</v>
      </c>
      <c r="B9" s="2391" t="s">
        <v>3372</v>
      </c>
      <c r="C9" s="2392"/>
      <c r="D9" s="3537"/>
      <c r="E9" s="2391" t="s">
        <v>43</v>
      </c>
      <c r="F9" s="2393"/>
      <c r="G9" s="2661"/>
      <c r="H9" s="2661"/>
      <c r="I9" s="2661"/>
      <c r="J9" s="2435"/>
      <c r="K9" s="2612"/>
      <c r="L9" s="2609"/>
      <c r="M9" s="2609"/>
      <c r="N9" s="2435"/>
      <c r="O9" s="2446"/>
      <c r="P9" s="2435"/>
      <c r="Q9" s="2435"/>
      <c r="R9" s="2435"/>
    </row>
    <row r="10" spans="1:30" ht="13.5" thickTop="1">
      <c r="A10" s="2394" t="s">
        <v>2179</v>
      </c>
      <c r="B10" s="2395" t="s">
        <v>3373</v>
      </c>
      <c r="C10" s="2396"/>
      <c r="D10" s="2379"/>
      <c r="E10" s="2397" t="s">
        <v>2180</v>
      </c>
      <c r="F10" s="2662" t="s">
        <v>3500</v>
      </c>
      <c r="G10" s="2663"/>
      <c r="H10" s="2664"/>
      <c r="I10" s="2665"/>
      <c r="J10" s="2435"/>
      <c r="K10" s="2612"/>
      <c r="L10" s="2609"/>
      <c r="M10" s="2609"/>
      <c r="N10" s="2435"/>
      <c r="O10" s="2446"/>
      <c r="P10" s="2435"/>
      <c r="Q10" s="2435"/>
      <c r="R10" s="2435"/>
    </row>
    <row r="11" spans="1:30">
      <c r="A11" s="2398" t="s">
        <v>2181</v>
      </c>
      <c r="B11" s="2399" t="s">
        <v>3374</v>
      </c>
      <c r="C11" s="3456" t="s">
        <v>3501</v>
      </c>
      <c r="D11" s="2400"/>
      <c r="E11" s="2367"/>
      <c r="F11" s="2367"/>
      <c r="G11" s="2367"/>
      <c r="H11" s="2367"/>
      <c r="I11" s="2367"/>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2569</v>
      </c>
      <c r="J12" s="3058"/>
      <c r="K12" s="2609"/>
      <c r="L12" s="2609"/>
      <c r="M12" s="2435"/>
      <c r="N12" s="2446"/>
      <c r="O12" s="2435"/>
      <c r="P12" s="2435"/>
      <c r="Q12" s="2435"/>
      <c r="AD12" s="1744"/>
    </row>
    <row r="13" spans="1:30">
      <c r="A13" s="3419" t="s">
        <v>3327</v>
      </c>
      <c r="B13" s="2403" t="s">
        <v>2190</v>
      </c>
      <c r="C13" s="855"/>
      <c r="D13" s="855">
        <v>54325</v>
      </c>
      <c r="E13" s="855"/>
      <c r="F13" s="855"/>
      <c r="G13" s="855"/>
      <c r="H13" s="855"/>
      <c r="I13" s="855"/>
      <c r="J13" s="3058"/>
      <c r="K13" s="2609"/>
      <c r="L13" s="2609"/>
      <c r="M13" s="2435"/>
      <c r="N13" s="2446"/>
      <c r="O13" s="2435"/>
      <c r="P13" s="2435"/>
      <c r="Q13" s="2435"/>
      <c r="AD13" s="1744"/>
    </row>
    <row r="14" spans="1:30">
      <c r="A14" s="1080"/>
      <c r="B14" s="2403" t="s">
        <v>2191</v>
      </c>
      <c r="C14" s="2404">
        <v>70</v>
      </c>
      <c r="D14" s="2404">
        <v>40</v>
      </c>
      <c r="E14" s="2404">
        <v>50</v>
      </c>
      <c r="F14" s="2404">
        <v>50</v>
      </c>
      <c r="G14" s="2404">
        <v>50</v>
      </c>
      <c r="H14" s="2404">
        <v>50</v>
      </c>
      <c r="I14" s="2404">
        <v>50</v>
      </c>
      <c r="J14" s="3059"/>
      <c r="K14" s="2609"/>
      <c r="L14" s="2609"/>
      <c r="M14" s="2435"/>
      <c r="N14" s="2446"/>
      <c r="O14" s="2435"/>
      <c r="P14" s="2435"/>
      <c r="Q14" s="2435"/>
      <c r="AD14" s="1744"/>
    </row>
    <row r="15" spans="1:30">
      <c r="A15" s="320"/>
      <c r="B15" s="2405" t="s">
        <v>2192</v>
      </c>
      <c r="C15" s="2406" t="str">
        <f>IF(A13="出让",IF(C13="","",ROUNDDOWN(MIN((C13-$D$3)/365,C14),2)),C14)</f>
        <v/>
      </c>
      <c r="D15" s="2406">
        <f>IF(A13="出让",IF(D13="","",ROUNDDOWN(MIN((D13-$D$3)/365,D14),2)),D14)</f>
        <v>25.17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7" t="s">
        <v>2193</v>
      </c>
      <c r="B16" s="3543"/>
      <c r="C16" s="3544"/>
      <c r="D16" s="3545"/>
      <c r="E16" s="2409" t="s">
        <v>2194</v>
      </c>
      <c r="F16" s="3546"/>
      <c r="G16" s="3547"/>
      <c r="H16" s="3547"/>
      <c r="I16" s="3548"/>
      <c r="J16" s="2435"/>
      <c r="K16" s="2613"/>
      <c r="L16" s="2447"/>
      <c r="M16" s="2447"/>
      <c r="N16" s="2505"/>
      <c r="O16" s="2447"/>
      <c r="P16" s="2505"/>
      <c r="Q16" s="2435"/>
      <c r="R16" s="2435"/>
    </row>
    <row r="17" spans="1:28">
      <c r="A17" s="313" t="s">
        <v>2195</v>
      </c>
      <c r="B17" s="302" t="s">
        <v>2196</v>
      </c>
      <c r="C17" s="8">
        <f>'数据-汇总表'!E3</f>
        <v>1014.0699999999999</v>
      </c>
      <c r="D17" s="2319" t="s">
        <v>2197</v>
      </c>
      <c r="E17" s="3549" t="s">
        <v>2198</v>
      </c>
      <c r="F17" s="3550"/>
      <c r="G17" s="3550"/>
      <c r="H17" s="3550"/>
      <c r="I17" s="3551"/>
      <c r="J17" s="2435"/>
      <c r="K17" s="2614"/>
      <c r="L17" s="2447"/>
      <c r="M17" s="2447"/>
      <c r="N17" s="2505"/>
      <c r="O17" s="2447"/>
      <c r="P17" s="2505"/>
      <c r="Q17" s="2435"/>
      <c r="R17" s="2435"/>
      <c r="S17" s="2435"/>
      <c r="T17" s="2435"/>
      <c r="U17" s="2435"/>
      <c r="V17" s="2435"/>
    </row>
    <row r="18" spans="1:28" ht="24.75" thickBot="1">
      <c r="A18" s="2410" t="s">
        <v>2199</v>
      </c>
      <c r="B18" s="1089" t="s">
        <v>2200</v>
      </c>
      <c r="C18" s="2411">
        <f>'数据-汇总表'!D3</f>
        <v>0</v>
      </c>
      <c r="D18" s="1091" t="s">
        <v>2201</v>
      </c>
      <c r="E18" s="3552" t="s">
        <v>2202</v>
      </c>
      <c r="F18" s="3553"/>
      <c r="G18" s="3553"/>
      <c r="H18" s="3553"/>
      <c r="I18" s="3554"/>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39" t="s">
        <v>2206</v>
      </c>
      <c r="C20" s="3540"/>
      <c r="D20" s="3541" t="s">
        <v>2207</v>
      </c>
      <c r="E20" s="3542"/>
      <c r="F20" s="2643" t="s">
        <v>1056</v>
      </c>
      <c r="G20" s="2660"/>
      <c r="H20" s="2660"/>
      <c r="I20" s="2660"/>
      <c r="J20" s="2435"/>
      <c r="K20" s="3538" t="s">
        <v>2208</v>
      </c>
      <c r="L20" s="68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6"/>
      <c r="N20" s="2408"/>
      <c r="O20" s="2407"/>
      <c r="P20" s="2408"/>
      <c r="Q20" s="2367"/>
      <c r="R20" s="2367"/>
      <c r="S20" s="2367"/>
      <c r="T20" s="2367"/>
      <c r="U20" s="2367"/>
      <c r="V20" s="2367"/>
      <c r="W20" s="1744"/>
      <c r="X20" s="1744"/>
      <c r="Y20" s="1744"/>
      <c r="Z20" s="1744"/>
      <c r="AA20" s="1744"/>
      <c r="AB20" s="1744"/>
    </row>
    <row r="21" spans="1:28" ht="26.25" thickBot="1">
      <c r="A21" s="2628"/>
      <c r="B21" s="2629" t="s">
        <v>3375</v>
      </c>
      <c r="C21" s="2630" t="s">
        <v>1057</v>
      </c>
      <c r="D21" s="1567"/>
      <c r="E21" s="2631"/>
      <c r="F21" s="2644"/>
      <c r="G21" s="2660"/>
      <c r="H21" s="2660"/>
      <c r="I21" s="2660"/>
      <c r="J21" s="2435"/>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4"/>
      <c r="X21" s="1744"/>
      <c r="Y21" s="1744"/>
      <c r="Z21" s="1744"/>
      <c r="AA21" s="1744"/>
      <c r="AB21" s="1744"/>
    </row>
    <row r="22" spans="1:28" ht="24.75" thickBot="1">
      <c r="A22" s="2628"/>
      <c r="B22" s="2632" t="s">
        <v>2209</v>
      </c>
      <c r="C22" s="2630" t="s">
        <v>1058</v>
      </c>
      <c r="D22" s="2659"/>
      <c r="E22" s="2659"/>
      <c r="F22" s="2659"/>
      <c r="G22" s="2660"/>
      <c r="H22" s="2660"/>
      <c r="I22" s="2660"/>
      <c r="J22" s="2435"/>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4"/>
      <c r="X22" s="1744"/>
      <c r="Y22" s="1744"/>
      <c r="Z22" s="1744"/>
      <c r="AA22" s="1744"/>
      <c r="AB22" s="1744"/>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6" t="s">
        <v>2212</v>
      </c>
      <c r="B27" s="320" t="s">
        <v>2213</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6"/>
      <c r="B28" s="302" t="s">
        <v>2214</v>
      </c>
      <c r="C28" s="2414" t="s">
        <v>3376</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6"/>
      <c r="B29" s="302" t="s">
        <v>2215</v>
      </c>
      <c r="C29" s="2416" t="s">
        <v>3377</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7"/>
      <c r="B30" s="302" t="s">
        <v>2216</v>
      </c>
      <c r="C30" s="3528"/>
      <c r="D30" s="3529"/>
      <c r="E30" s="2660"/>
      <c r="F30" s="2660"/>
      <c r="G30" s="2660"/>
      <c r="H30" s="2660"/>
      <c r="I30" s="2660"/>
      <c r="J30" s="2435"/>
      <c r="K30" s="2612"/>
      <c r="L30" s="2609"/>
      <c r="M30" s="2609"/>
      <c r="N30" s="2435"/>
      <c r="O30" s="2446"/>
      <c r="P30" s="2435"/>
      <c r="Q30" s="2435"/>
      <c r="R30" s="2435"/>
      <c r="S30" s="2435"/>
      <c r="T30" s="2435"/>
      <c r="U30" s="2435"/>
      <c r="V30" s="2435"/>
    </row>
    <row r="31" spans="1:28">
      <c r="A31" s="3530" t="s">
        <v>2217</v>
      </c>
      <c r="B31" s="2418" t="s">
        <v>3378</v>
      </c>
      <c r="C31" s="2320" t="str">
        <f>IF(B31="现房","成新及维护状况正常否",IF(B31="在建","工程状态是否正常",IF(B31="土地","是否闲置","-")))</f>
        <v>成新及维护状况正常否</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31"/>
      <c r="B32" s="2418"/>
      <c r="C32" s="2320"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3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2218</v>
      </c>
      <c r="B34" s="2023" t="s">
        <v>3379</v>
      </c>
      <c r="C34" s="2023" t="s">
        <v>3380</v>
      </c>
      <c r="D34" s="2023" t="s">
        <v>3381</v>
      </c>
      <c r="E34" s="2023" t="s">
        <v>3382</v>
      </c>
      <c r="F34" s="2023" t="s">
        <v>3383</v>
      </c>
      <c r="G34" s="2023" t="s">
        <v>3384</v>
      </c>
      <c r="H34" s="2023"/>
      <c r="I34" s="2660"/>
      <c r="J34" s="2435"/>
      <c r="K34" s="2423">
        <f>COUNTIF(B34:H34,"——")</f>
        <v>0</v>
      </c>
      <c r="L34" s="323" t="s">
        <v>2219</v>
      </c>
      <c r="M34" s="323" t="s">
        <v>2220</v>
      </c>
      <c r="N34" s="323" t="s">
        <v>2221</v>
      </c>
      <c r="O34" s="323" t="s">
        <v>2222</v>
      </c>
      <c r="P34" s="323" t="s">
        <v>2223</v>
      </c>
      <c r="Q34" s="323" t="s">
        <v>2224</v>
      </c>
      <c r="R34" s="323" t="s">
        <v>2225</v>
      </c>
      <c r="S34" s="3525" t="s">
        <v>2226</v>
      </c>
      <c r="T34" s="2424" t="str">
        <f>NUMBERSTRING(7-K34,1)&amp;"通"</f>
        <v>七通</v>
      </c>
      <c r="U34" s="2435"/>
      <c r="V34" s="2435"/>
    </row>
    <row r="35" spans="1:30">
      <c r="A35" s="2425"/>
      <c r="B35" s="3532" t="s">
        <v>2227</v>
      </c>
      <c r="C35" s="3532"/>
      <c r="D35" s="3532"/>
      <c r="E35" s="3532"/>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5"/>
      <c r="T35" s="329" t="str">
        <f>IF(T34="一通",L35,IF(T34="二通",M35,IF(T34="三通",N35,IF(T34="四通",O35,IF(T34="五通",P35,IF(T34="六通",Q35,R35))))))</f>
        <v>通路、通电、通讯、通上水、通下水、平整、</v>
      </c>
      <c r="U35" s="2435"/>
      <c r="V35" s="2435"/>
    </row>
    <row r="36" spans="1:30">
      <c r="A36" s="2426"/>
      <c r="B36" s="663" t="s">
        <v>2185</v>
      </c>
      <c r="C36" s="663" t="s">
        <v>2186</v>
      </c>
      <c r="D36" s="663" t="s">
        <v>2184</v>
      </c>
      <c r="E36" s="663" t="s">
        <v>2189</v>
      </c>
      <c r="F36" s="3061" t="s">
        <v>2572</v>
      </c>
      <c r="G36" s="2660"/>
      <c r="H36" s="2660"/>
      <c r="I36" s="2660"/>
      <c r="J36" s="2435"/>
      <c r="K36" s="2612"/>
      <c r="L36" s="2609"/>
      <c r="M36" s="2609"/>
      <c r="N36" s="2435"/>
      <c r="O36" s="2446"/>
      <c r="P36" s="2435"/>
      <c r="Q36" s="2435"/>
      <c r="R36" s="2435"/>
      <c r="S36" s="2435"/>
      <c r="T36" s="2435"/>
      <c r="U36" s="2435"/>
      <c r="V36" s="2435"/>
    </row>
    <row r="37" spans="1:30">
      <c r="A37" s="2626" t="s">
        <v>2228</v>
      </c>
      <c r="B37" s="2427" t="s">
        <v>296</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t="s">
        <v>2932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7"/>
      <c r="J40" s="2505"/>
      <c r="K40" s="2611"/>
      <c r="L40" s="2447"/>
      <c r="M40" s="2447"/>
      <c r="N40" s="2505"/>
      <c r="O40" s="2447"/>
      <c r="P40" s="2435"/>
      <c r="Q40" s="2435"/>
      <c r="R40" s="2435"/>
      <c r="S40" s="2435"/>
      <c r="T40" s="2435"/>
      <c r="U40" s="2435"/>
      <c r="V40" s="2435"/>
    </row>
    <row r="41" spans="1:30">
      <c r="A41" s="2432" t="s">
        <v>2231</v>
      </c>
      <c r="B41" s="1756"/>
      <c r="C41" s="1372"/>
      <c r="D41" s="2367"/>
      <c r="E41" s="2367"/>
      <c r="F41" s="2367"/>
      <c r="G41" s="2367"/>
      <c r="H41" s="2367"/>
      <c r="I41" s="1575"/>
      <c r="J41" s="2435"/>
      <c r="K41" s="2612"/>
      <c r="L41" s="2609"/>
      <c r="M41" s="2609"/>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1014.0699999999999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1014.0699999999999</v>
      </c>
      <c r="H5" s="13">
        <f t="shared" ref="H5:AT5" si="0">SUM(H13:H656)</f>
        <v>1014.0699999999999</v>
      </c>
      <c r="I5" s="13">
        <f t="shared" si="0"/>
        <v>1014.0699999999999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1014.0699999999999</v>
      </c>
      <c r="BA5" s="15">
        <f t="shared" si="1"/>
        <v>1014.0699999999999</v>
      </c>
      <c r="BB5" s="15">
        <f t="shared" si="1"/>
        <v>1014.0699999999999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3555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3556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3557</v>
      </c>
      <c r="D13" s="1624" t="s">
        <v>3385</v>
      </c>
      <c r="E13" s="13">
        <f>IF($C$3="是",ROUND($A$3*G13/$B$3,2),ROUND($A$3*(G13-AT13)/$B$3,2))</f>
        <v>0</v>
      </c>
      <c r="F13" s="29"/>
      <c r="G13" s="30">
        <f>H13+AC13+AT13</f>
        <v>361.57</v>
      </c>
      <c r="H13" s="17">
        <f>SUMIF(I$12:AB$12,"总值",I13:AB13)</f>
        <v>361.57</v>
      </c>
      <c r="I13" s="1625">
        <v>361.57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0</v>
      </c>
      <c r="AZ13" s="13">
        <f>BA13+BL13</f>
        <v>361.57</v>
      </c>
      <c r="BA13" s="13">
        <f>SUM(BB13:BK13)</f>
        <v>361.57</v>
      </c>
      <c r="BB13" s="13">
        <f>IF($D13="是",I13-J13,0)</f>
        <v>361.57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t="s">
        <v>3558</v>
      </c>
      <c r="D14" s="1624" t="s">
        <v>3385</v>
      </c>
      <c r="E14" s="13">
        <f>IF($C$3="是",ROUND($A$3*G14/$B$3,2),ROUND($A$3*(G14-AT14)/$B$3,2))</f>
        <v>0</v>
      </c>
      <c r="F14" s="29"/>
      <c r="G14" s="30">
        <f>H14+AC14+AT14</f>
        <v>652.5</v>
      </c>
      <c r="H14" s="17">
        <f>SUMIF(I$12:AB$12,"总值",I14:AB14)</f>
        <v>652.5</v>
      </c>
      <c r="I14" s="1625">
        <v>652.5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0</v>
      </c>
      <c r="AZ14" s="13">
        <f>BA14+BL14</f>
        <v>652.5</v>
      </c>
      <c r="BA14" s="13">
        <f>SUM(BB14:BK14)</f>
        <v>652.5</v>
      </c>
      <c r="BB14" s="13">
        <f>IF($D14="是",I14-J14,0)</f>
        <v>652.5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4" t="s">
        <v>1131</v>
      </c>
      <c r="B2" s="3564"/>
      <c r="C2" s="3564"/>
      <c r="D2" s="795" t="s">
        <v>1107</v>
      </c>
      <c r="E2" s="1638" t="s">
        <v>1108</v>
      </c>
      <c r="F2" s="2655"/>
      <c r="G2" s="2646"/>
      <c r="H2" s="2647"/>
      <c r="I2" s="2322" t="s">
        <v>1132</v>
      </c>
      <c r="J2" s="2655"/>
      <c r="K2" s="2655"/>
      <c r="L2" s="2655"/>
      <c r="M2" s="2655"/>
      <c r="N2" s="2657"/>
      <c r="O2" s="2655"/>
      <c r="P2" s="2655"/>
    </row>
    <row r="3" spans="1:16" ht="15.75" thickBot="1">
      <c r="A3" s="3565" t="s">
        <v>1105</v>
      </c>
      <c r="B3" s="3565"/>
      <c r="C3" s="3565"/>
      <c r="D3" s="43">
        <f>'数据-基础表'!AY6</f>
        <v>0</v>
      </c>
      <c r="E3" s="43">
        <f>'数据-基础表'!AZ5</f>
        <v>1014.0699999999999</v>
      </c>
      <c r="F3" s="2655"/>
      <c r="G3" s="1144"/>
      <c r="H3" s="1025" t="s">
        <v>1106</v>
      </c>
      <c r="I3" s="854" t="e">
        <f>ROUND('数据-基础表'!B3/'数据-基础表'!A3,2)</f>
        <v>#DIV/0!</v>
      </c>
      <c r="J3" s="2655"/>
      <c r="K3" s="2655"/>
      <c r="L3" s="2655"/>
      <c r="M3" s="2655"/>
      <c r="N3" s="2657"/>
      <c r="O3" s="2655"/>
      <c r="P3" s="2655"/>
    </row>
    <row r="4" spans="1:16" ht="15">
      <c r="A4" s="3566"/>
      <c r="B4" s="3567"/>
      <c r="C4" s="3568"/>
      <c r="D4" s="1640" t="s">
        <v>1107</v>
      </c>
      <c r="E4" s="1641" t="s">
        <v>1108</v>
      </c>
      <c r="F4" s="2655"/>
      <c r="G4" s="2648" t="s">
        <v>1133</v>
      </c>
      <c r="H4" s="1025" t="s">
        <v>1113</v>
      </c>
      <c r="I4" s="854" t="e">
        <f>ROUND(SUMIF('数据-基础表'!I9:AS9,"地上",'数据-基础表'!I5:AS5)/'数据-基础表'!A3,2)</f>
        <v>#DIV/0!</v>
      </c>
      <c r="J4" s="2655"/>
      <c r="K4" s="2655"/>
      <c r="L4" s="2655"/>
      <c r="M4" s="2655"/>
      <c r="N4" s="2657"/>
      <c r="O4" s="2655"/>
      <c r="P4" s="2655"/>
    </row>
    <row r="5" spans="1:16">
      <c r="A5" s="44" t="s">
        <v>1109</v>
      </c>
      <c r="B5" s="3569" t="s">
        <v>1110</v>
      </c>
      <c r="C5" s="3569"/>
      <c r="D5" s="45">
        <f>ROUND($D$3*E5/$E$3,2)</f>
        <v>0</v>
      </c>
      <c r="E5" s="46">
        <f>SUMIF('数据-基础表'!$11:$11,"住宅",'数据-基础表'!$5:$5)</f>
        <v>0</v>
      </c>
      <c r="F5" s="2655"/>
      <c r="G5" s="1144"/>
      <c r="H5" s="1025" t="s">
        <v>1106</v>
      </c>
      <c r="I5" s="854" t="e">
        <f>ROUND(E31/D31,2)</f>
        <v>#DIV/0!</v>
      </c>
      <c r="J5" s="2655"/>
      <c r="K5" s="2655"/>
      <c r="L5" s="2655"/>
      <c r="M5" s="2655"/>
      <c r="N5" s="2655"/>
      <c r="O5" s="2655"/>
      <c r="P5" s="2655"/>
    </row>
    <row r="6" spans="1:16" ht="15" thickBot="1">
      <c r="A6" s="1643"/>
      <c r="B6" s="3569" t="s">
        <v>1111</v>
      </c>
      <c r="C6" s="3569"/>
      <c r="D6" s="45">
        <f>ROUND($D$3*E6/$E$3,2)</f>
        <v>0</v>
      </c>
      <c r="E6" s="46">
        <f>E3-E5</f>
        <v>1014.0699999999999</v>
      </c>
      <c r="F6" s="2655"/>
      <c r="G6" s="2649" t="s">
        <v>1112</v>
      </c>
      <c r="H6" s="1145" t="s">
        <v>1113</v>
      </c>
      <c r="I6" s="2650" t="e">
        <f>ROUND(F31/D31,2)</f>
        <v>#DIV/0!</v>
      </c>
      <c r="J6" s="2655"/>
      <c r="K6" s="2655"/>
      <c r="L6" s="2655"/>
      <c r="M6" s="2655"/>
      <c r="N6" s="2655"/>
      <c r="O6" s="2655"/>
      <c r="P6" s="2655"/>
    </row>
    <row r="7" spans="1:16" ht="15.75" thickBot="1">
      <c r="A7" s="3561"/>
      <c r="B7" s="3562"/>
      <c r="C7" s="3563"/>
      <c r="D7" s="1640" t="s">
        <v>1107</v>
      </c>
      <c r="E7" s="1644"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1014.0699999999999</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1014.0699999999999</v>
      </c>
      <c r="F16" s="2655"/>
      <c r="G16" s="2656"/>
      <c r="H16" s="1647" t="s">
        <v>1135</v>
      </c>
      <c r="I16" s="1648"/>
      <c r="J16" s="1138"/>
      <c r="K16" s="3558" t="s">
        <v>1135</v>
      </c>
      <c r="L16" s="3559"/>
      <c r="M16" s="3559"/>
      <c r="N16" s="3559"/>
      <c r="O16" s="3559"/>
      <c r="P16" s="3560"/>
    </row>
    <row r="17" spans="1:19" ht="15">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3560</v>
      </c>
      <c r="D19" s="45">
        <f>ROUND($D$3*E19/$E$3,2)</f>
        <v>0</v>
      </c>
      <c r="E19" s="53">
        <f t="shared" ref="E19:E26" si="1">SUM(F19:G19)</f>
        <v>1014.0699999999999</v>
      </c>
      <c r="F19" s="2791">
        <f>'数据-基础表'!I5</f>
        <v>1014.0699999999999</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1014.0699999999999</v>
      </c>
    </row>
    <row r="20" spans="1:19">
      <c r="A20" s="1669"/>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1014.0699999999999</v>
      </c>
      <c r="F27" s="1139">
        <f>IF(SUM(F19:F26)=E8,SUM(F19:F26),"地上面积有误")</f>
        <v>1014.0699999999999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1014.0699999999999</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5">
        <f>D27+D30</f>
        <v>0</v>
      </c>
      <c r="E31" s="675">
        <f>E27+E30</f>
        <v>1014.0699999999999</v>
      </c>
      <c r="F31" s="676">
        <f>F27+F30</f>
        <v>1014.0699999999999</v>
      </c>
      <c r="G31" s="677">
        <f>G27+G30</f>
        <v>0</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20" sqref="W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45135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配套商业</v>
      </c>
      <c r="B6" s="1712" t="str">
        <f>IF(A6=0,"","经营性")</f>
        <v>经营性</v>
      </c>
      <c r="C6" s="1713" t="s">
        <v>673</v>
      </c>
      <c r="D6" s="857">
        <f>SUMIF(项目基本情况!C$12:I$12,C6,项目基本情况!C$14:I$14)</f>
        <v>40</v>
      </c>
      <c r="E6" s="856">
        <f>IF(B6="","",SUMIF(项目基本情况!C$12:I$12,C6,项目基本情况!C$13:I$13))</f>
        <v>54325</v>
      </c>
      <c r="F6" s="64">
        <f>SUMIF(项目基本情况!C$12:I$12,C6,项目基本情况!C$15:I$15)</f>
        <v>25.17</v>
      </c>
      <c r="G6" s="65">
        <f>IF(ISERROR(ROUND(POWER(1+H6,D6-F6)*(POWER(1+H6,F6)-1)/(POWER(1+H6,D6)-1),3)),0,ROUND(POWER(1+H6,D6-F6)*(POWER(1+H6,F6)-1)/(POWER(1+H6,D6)-1),3))</f>
        <v>0.83899999999999997</v>
      </c>
      <c r="H6" s="731">
        <v>5.5E-2</v>
      </c>
      <c r="I6" s="731">
        <v>0.06</v>
      </c>
      <c r="J6" s="66">
        <v>7.0000000000000007E-2</v>
      </c>
      <c r="K6" s="1029">
        <f>SUMIF('数据-汇总表'!C$19:C$33,A6,'数据-汇总表'!E$19:E$33)</f>
        <v>1014.0699999999999</v>
      </c>
      <c r="L6" s="732">
        <v>3500</v>
      </c>
      <c r="M6" s="67">
        <f t="shared" ref="M6:M14" si="0">ROUND(K6*L6/10000,0)</f>
        <v>355</v>
      </c>
      <c r="N6" s="730">
        <f>N20</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f>W22</f>
        <v>9.6999999999999993</v>
      </c>
      <c r="V6" s="70">
        <v>2.5000000000000001E-2</v>
      </c>
      <c r="W6" s="70">
        <v>0.1</v>
      </c>
      <c r="X6" s="1039"/>
      <c r="Y6" s="71">
        <f>N6</f>
        <v>0.72</v>
      </c>
      <c r="Z6" s="72"/>
      <c r="AA6" s="66"/>
      <c r="AB6" s="66"/>
      <c r="AC6" s="1039"/>
      <c r="AD6" s="73"/>
      <c r="AE6" s="1040">
        <f ca="1">IF(AN6="",0,SUMIF(INDIRECT("'"&amp;AN6&amp;"'"&amp;"!E:E"),$AE$5,INDIRECT("'"&amp;AN6&amp;"'"&amp;"!F:F")))</f>
        <v>25.17</v>
      </c>
      <c r="AF6" s="1347"/>
      <c r="AG6" s="138">
        <f>IF(AF6="",0,AE6-AF6)</f>
        <v>0</v>
      </c>
      <c r="AH6" s="74"/>
      <c r="AI6" s="76">
        <v>365</v>
      </c>
      <c r="AJ6" s="77"/>
      <c r="AK6" s="78">
        <v>5.0000000000000001E-3</v>
      </c>
      <c r="AL6" s="79">
        <v>1.5E-3</v>
      </c>
      <c r="AM6" s="80">
        <f>AK6</f>
        <v>5.0000000000000001E-3</v>
      </c>
      <c r="AN6" s="1714" t="s">
        <v>3392</v>
      </c>
      <c r="AO6" s="52">
        <f ca="1">SUMIF(INDIRECT("'"&amp;AN6&amp;"'"&amp;"!A:A"),"总价",INDIRECT("'"&amp;AN6&amp;"'"&amp;"!B:B"))</f>
        <v>4337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0.83899999999999997</v>
      </c>
      <c r="H16" s="90">
        <f>ROUND(SUMPRODUCT(H6:H13,K6:K13)/SUMPRODUCT((H6:H13&gt;0)*(K6:K13)),3)</f>
        <v>5.5E-2</v>
      </c>
      <c r="I16" s="91"/>
      <c r="J16" s="91"/>
      <c r="K16" s="92">
        <f>SUM(K6:K15)</f>
        <v>1014.0699999999999</v>
      </c>
      <c r="L16" s="93">
        <f>ROUND(M16*10000/SUM(K6:K14),0)</f>
        <v>3501</v>
      </c>
      <c r="M16" s="93">
        <f>SUM(M6:M14)</f>
        <v>355</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6" t="s">
        <v>3386</v>
      </c>
      <c r="N17" s="2667">
        <v>1998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46" t="s">
        <v>3387</v>
      </c>
      <c r="N18" s="2667">
        <f>ROUND(1-(1-0%)*(2023-N17)/60,2)</f>
        <v>0.57999999999999996</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2294</v>
      </c>
      <c r="D19" s="2672"/>
      <c r="E19" s="2669"/>
      <c r="F19" s="2669"/>
      <c r="G19" s="2669"/>
      <c r="H19" s="2669"/>
      <c r="I19" s="2669"/>
      <c r="J19" s="2669"/>
      <c r="K19" s="2668"/>
      <c r="L19" s="2668"/>
      <c r="M19" s="3446" t="s">
        <v>3388</v>
      </c>
      <c r="N19" s="3826">
        <v>0.85</v>
      </c>
      <c r="O19" s="2667"/>
      <c r="P19" s="2667"/>
      <c r="Q19" s="2667"/>
      <c r="R19" s="2667"/>
      <c r="S19" s="2667"/>
      <c r="T19" s="2667"/>
      <c r="U19" s="2667"/>
      <c r="V19" s="3446" t="s">
        <v>3566</v>
      </c>
      <c r="W19" s="3446" t="s">
        <v>3567</v>
      </c>
      <c r="X19" s="3446" t="s">
        <v>3568</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1</v>
      </c>
      <c r="C20" s="2796" t="s">
        <v>2292</v>
      </c>
      <c r="D20" s="2672"/>
      <c r="E20" s="2669"/>
      <c r="F20" s="2669"/>
      <c r="G20" s="2669"/>
      <c r="H20" s="2669"/>
      <c r="I20" s="2669"/>
      <c r="J20" s="2669"/>
      <c r="K20" s="2668"/>
      <c r="L20" s="2668"/>
      <c r="M20" s="3446" t="s">
        <v>3389</v>
      </c>
      <c r="N20" s="2667">
        <f>ROUND((N18+N19)/2,2)</f>
        <v>0.72</v>
      </c>
      <c r="O20" s="2667"/>
      <c r="P20" s="2667"/>
      <c r="Q20" s="2667"/>
      <c r="R20" s="2667"/>
      <c r="S20" s="2667"/>
      <c r="T20" s="2667"/>
      <c r="U20" s="2667" t="s">
        <v>3557</v>
      </c>
      <c r="V20" s="2667">
        <f>'数据-基础表'!I13</f>
        <v>361.57</v>
      </c>
      <c r="W20" s="2667">
        <v>12</v>
      </c>
      <c r="X20" s="2667">
        <v>1</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1</v>
      </c>
      <c r="C21" s="2669"/>
      <c r="D21" s="2672"/>
      <c r="E21" s="2669"/>
      <c r="F21" s="2669"/>
      <c r="G21" s="2669"/>
      <c r="H21" s="2669"/>
      <c r="I21" s="2669"/>
      <c r="J21" s="2669"/>
      <c r="K21" s="2668"/>
      <c r="L21" s="2668"/>
      <c r="M21" s="2667"/>
      <c r="N21" s="2667"/>
      <c r="O21" s="2667"/>
      <c r="P21" s="2667"/>
      <c r="Q21" s="2667"/>
      <c r="R21" s="2667"/>
      <c r="S21" s="2667"/>
      <c r="T21" s="2667"/>
      <c r="U21" s="2667" t="s">
        <v>3558</v>
      </c>
      <c r="V21" s="2667">
        <f>'数据-基础表'!I14</f>
        <v>652.5</v>
      </c>
      <c r="W21" s="2667">
        <f>ROUND(W20*X21,1)</f>
        <v>8.4</v>
      </c>
      <c r="X21" s="2667">
        <v>0.7</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f>ROUND((W20*V20+W21*V21)/K16,1)</f>
        <v>9.6999999999999993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2296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v>0</v>
      </c>
      <c r="C29" s="2798" t="s">
        <v>2283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150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150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799" t="s">
        <v>2284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9" t="s">
        <v>2285</v>
      </c>
      <c r="D34" s="2680" t="s">
        <v>2293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150</v>
      </c>
      <c r="C35" s="2799" t="s">
        <v>2286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9" t="s">
        <v>2287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2288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2288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2303</v>
      </c>
      <c r="B40" s="1077">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2297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2289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v>0</v>
      </c>
      <c r="C47" s="2801" t="s">
        <v>2298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2289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2295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70" t="s">
        <v>2275</v>
      </c>
      <c r="B1" s="3571"/>
      <c r="C1" s="3571"/>
      <c r="D1" s="3571"/>
      <c r="E1" s="3571"/>
      <c r="F1" s="3571"/>
      <c r="G1" s="357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2272</v>
      </c>
      <c r="D2" s="2457"/>
      <c r="E2" s="2454"/>
      <c r="F2" s="2458"/>
      <c r="G2" s="2456" t="s">
        <v>2273</v>
      </c>
      <c r="H2" s="798"/>
      <c r="I2" s="798"/>
      <c r="J2" s="798"/>
      <c r="K2" s="798"/>
      <c r="L2" s="798"/>
      <c r="M2" s="798"/>
      <c r="N2" s="798"/>
      <c r="O2" s="798"/>
      <c r="P2" s="798"/>
      <c r="Q2" s="798"/>
      <c r="R2" s="798"/>
    </row>
    <row r="3" spans="1:29" ht="24">
      <c r="A3" s="2437" t="s">
        <v>2274</v>
      </c>
      <c r="B3" s="2459" t="s">
        <v>2250</v>
      </c>
      <c r="C3" s="2460" t="s">
        <v>3393</v>
      </c>
      <c r="D3" s="2461"/>
      <c r="E3" s="2438" t="s">
        <v>2274</v>
      </c>
      <c r="F3" s="2462" t="s">
        <v>2251</v>
      </c>
      <c r="G3" s="2463" t="s">
        <v>3393</v>
      </c>
      <c r="H3" s="798"/>
      <c r="I3" s="798"/>
      <c r="J3" s="798"/>
      <c r="K3" s="798"/>
      <c r="L3" s="798"/>
      <c r="M3" s="798"/>
      <c r="N3" s="798"/>
      <c r="O3" s="798"/>
      <c r="P3" s="798"/>
      <c r="Q3" s="798"/>
      <c r="R3" s="798"/>
    </row>
    <row r="4" spans="1:29">
      <c r="A4" s="2438"/>
      <c r="B4" s="323" t="s">
        <v>2252</v>
      </c>
      <c r="C4" s="3902" t="s">
        <v>3702</v>
      </c>
      <c r="D4" s="2461"/>
      <c r="E4" s="2465"/>
      <c r="F4" s="1372" t="s">
        <v>2253</v>
      </c>
      <c r="G4" s="2466" t="s">
        <v>3393</v>
      </c>
      <c r="H4" s="798"/>
      <c r="I4" s="798"/>
      <c r="J4" s="798"/>
      <c r="K4" s="798"/>
      <c r="L4" s="798"/>
      <c r="M4" s="798"/>
      <c r="N4" s="798"/>
      <c r="O4" s="798"/>
      <c r="P4" s="798"/>
      <c r="Q4" s="798"/>
      <c r="R4" s="798"/>
    </row>
    <row r="5" spans="1:29">
      <c r="A5" s="2438"/>
      <c r="B5" s="323" t="s">
        <v>2254</v>
      </c>
      <c r="C5" s="3902" t="s">
        <v>3702</v>
      </c>
      <c r="D5" s="2461"/>
      <c r="E5" s="2465"/>
      <c r="F5" s="323" t="s">
        <v>2255</v>
      </c>
      <c r="G5" s="2466" t="s">
        <v>3393</v>
      </c>
      <c r="H5" s="798"/>
      <c r="I5" s="798"/>
      <c r="J5" s="798"/>
      <c r="K5" s="798"/>
      <c r="L5" s="798"/>
      <c r="M5" s="798"/>
      <c r="N5" s="798"/>
      <c r="O5" s="798"/>
      <c r="P5" s="798"/>
      <c r="Q5" s="798"/>
      <c r="R5" s="798"/>
    </row>
    <row r="6" spans="1:29">
      <c r="A6" s="2438"/>
      <c r="B6" s="323" t="s">
        <v>2256</v>
      </c>
      <c r="C6" s="2466" t="s">
        <v>3393</v>
      </c>
      <c r="D6" s="2461"/>
      <c r="E6" s="2465"/>
      <c r="F6" s="323" t="s">
        <v>2257</v>
      </c>
      <c r="G6" s="2466" t="s">
        <v>3394</v>
      </c>
      <c r="H6" s="798"/>
      <c r="I6" s="798"/>
      <c r="J6" s="798"/>
      <c r="K6" s="798"/>
      <c r="L6" s="798"/>
      <c r="M6" s="798"/>
      <c r="N6" s="798"/>
      <c r="O6" s="798"/>
      <c r="P6" s="798"/>
      <c r="Q6" s="798"/>
      <c r="R6" s="798"/>
    </row>
    <row r="7" spans="1:29" ht="15" thickBot="1">
      <c r="A7" s="2438"/>
      <c r="B7" s="323" t="s">
        <v>2255</v>
      </c>
      <c r="C7" s="2466" t="s">
        <v>3393</v>
      </c>
      <c r="D7" s="2467"/>
      <c r="E7" s="2468"/>
      <c r="F7" s="2469" t="s">
        <v>2258</v>
      </c>
      <c r="G7" s="2470" t="s">
        <v>3393</v>
      </c>
      <c r="H7" s="798"/>
      <c r="I7" s="798"/>
      <c r="J7" s="798"/>
      <c r="K7" s="798"/>
      <c r="L7" s="798"/>
      <c r="M7" s="798"/>
      <c r="N7" s="798"/>
      <c r="O7" s="798"/>
      <c r="P7" s="798"/>
      <c r="Q7" s="798"/>
      <c r="R7" s="798"/>
    </row>
    <row r="8" spans="1:29">
      <c r="A8" s="2438"/>
      <c r="B8" s="323" t="s">
        <v>2257</v>
      </c>
      <c r="C8" s="2466" t="s">
        <v>3394</v>
      </c>
      <c r="D8" s="2467"/>
      <c r="E8" s="2467"/>
      <c r="F8" s="2471"/>
      <c r="G8" s="2471"/>
      <c r="H8" s="798"/>
      <c r="I8" s="798"/>
      <c r="J8" s="798"/>
      <c r="K8" s="798"/>
      <c r="L8" s="798"/>
      <c r="M8" s="798"/>
      <c r="N8" s="798"/>
      <c r="O8" s="798"/>
      <c r="P8" s="798"/>
      <c r="Q8" s="798"/>
      <c r="R8" s="798"/>
    </row>
    <row r="9" spans="1:29">
      <c r="A9" s="2438"/>
      <c r="B9" s="323" t="s">
        <v>2259</v>
      </c>
      <c r="C9" s="2464" t="s">
        <v>3393</v>
      </c>
      <c r="D9" s="2461"/>
      <c r="E9" s="2467"/>
      <c r="F9" s="2471"/>
      <c r="G9" s="2471"/>
      <c r="H9" s="798"/>
      <c r="I9" s="798"/>
      <c r="J9" s="798"/>
      <c r="K9" s="798"/>
      <c r="L9" s="798"/>
      <c r="M9" s="798"/>
      <c r="N9" s="798"/>
      <c r="O9" s="798"/>
      <c r="P9" s="798"/>
      <c r="Q9" s="798"/>
      <c r="R9" s="798"/>
    </row>
    <row r="10" spans="1:29" s="2477" customFormat="1" ht="15" thickBot="1">
      <c r="A10" s="2439"/>
      <c r="B10" s="2472" t="s">
        <v>2260</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2276</v>
      </c>
      <c r="B13" s="2480"/>
      <c r="C13" s="2480"/>
      <c r="D13" s="2478"/>
      <c r="E13" s="2480"/>
      <c r="F13" s="2480"/>
      <c r="G13" s="2480"/>
    </row>
    <row r="14" spans="1:29" ht="15" thickBot="1">
      <c r="A14" s="2490"/>
      <c r="B14" s="2490"/>
      <c r="C14" s="2491" t="s">
        <v>2261</v>
      </c>
      <c r="D14" s="2461"/>
      <c r="E14" s="2492"/>
      <c r="F14" s="2492"/>
      <c r="G14" s="2456" t="s">
        <v>2262</v>
      </c>
    </row>
    <row r="15" spans="1:29" ht="24">
      <c r="A15" s="2440" t="s">
        <v>2263</v>
      </c>
      <c r="B15" s="2493" t="s">
        <v>2250</v>
      </c>
      <c r="C15" s="2494" t="str">
        <f>C3</f>
        <v>较好</v>
      </c>
      <c r="D15" s="2461"/>
      <c r="E15" s="2441" t="s">
        <v>2264</v>
      </c>
      <c r="F15" s="2493" t="s">
        <v>2265</v>
      </c>
      <c r="G15" s="2495" t="str">
        <f>G3</f>
        <v>较好</v>
      </c>
    </row>
    <row r="16" spans="1:29">
      <c r="A16" s="2442"/>
      <c r="B16" s="2496" t="s">
        <v>2252</v>
      </c>
      <c r="C16" s="2497" t="str">
        <f>C4</f>
        <v>一般</v>
      </c>
      <c r="D16" s="2461"/>
      <c r="E16" s="2443"/>
      <c r="F16" s="2498" t="s">
        <v>2253</v>
      </c>
      <c r="G16" s="2499" t="str">
        <f>G4</f>
        <v>较好</v>
      </c>
    </row>
    <row r="17" spans="1:18">
      <c r="A17" s="2442"/>
      <c r="B17" s="2496" t="s">
        <v>2254</v>
      </c>
      <c r="C17" s="2497" t="str">
        <f>C5</f>
        <v>一般</v>
      </c>
      <c r="D17" s="2467"/>
      <c r="E17" s="2443"/>
      <c r="F17" s="2498" t="s">
        <v>2266</v>
      </c>
      <c r="G17" s="3447" t="s">
        <v>3395</v>
      </c>
    </row>
    <row r="18" spans="1:18">
      <c r="A18" s="2442"/>
      <c r="B18" s="2498" t="s">
        <v>2256</v>
      </c>
      <c r="C18" s="2499" t="str">
        <f>C6</f>
        <v>较好</v>
      </c>
      <c r="D18" s="2467"/>
      <c r="E18" s="2443"/>
      <c r="F18" s="2498" t="s">
        <v>2258</v>
      </c>
      <c r="G18" s="2499" t="str">
        <f>G7</f>
        <v>较好</v>
      </c>
    </row>
    <row r="19" spans="1:18">
      <c r="A19" s="2442"/>
      <c r="B19" s="2498" t="s">
        <v>2267</v>
      </c>
      <c r="C19" s="3447" t="s">
        <v>3395</v>
      </c>
      <c r="D19" s="2461"/>
      <c r="E19" s="2443"/>
      <c r="F19" s="323" t="s">
        <v>2255</v>
      </c>
      <c r="G19" s="2499" t="str">
        <f>G5</f>
        <v>较好</v>
      </c>
    </row>
    <row r="20" spans="1:18">
      <c r="A20" s="2442"/>
      <c r="B20" s="2498" t="s">
        <v>2268</v>
      </c>
      <c r="C20" s="2497" t="str">
        <f>C9</f>
        <v>较好</v>
      </c>
      <c r="D20" s="2467"/>
      <c r="E20" s="2443"/>
      <c r="F20" s="323" t="s">
        <v>2257</v>
      </c>
      <c r="G20" s="2499" t="str">
        <f>G6</f>
        <v>七通</v>
      </c>
    </row>
    <row r="21" spans="1:18">
      <c r="A21" s="2442"/>
      <c r="B21" s="323" t="s">
        <v>2255</v>
      </c>
      <c r="C21" s="2499" t="str">
        <f>C7</f>
        <v>较好</v>
      </c>
      <c r="D21" s="2461"/>
      <c r="E21" s="2443"/>
      <c r="F21" s="2498" t="s">
        <v>2269</v>
      </c>
      <c r="G21" s="2501"/>
    </row>
    <row r="22" spans="1:18" ht="13.5" customHeight="1">
      <c r="A22" s="2442"/>
      <c r="B22" s="323" t="s">
        <v>2257</v>
      </c>
      <c r="C22" s="2499" t="str">
        <f>C8</f>
        <v>七通</v>
      </c>
      <c r="D22" s="2461"/>
      <c r="E22" s="2443"/>
      <c r="F22" s="2498" t="s">
        <v>2260</v>
      </c>
      <c r="G22" s="2500"/>
    </row>
    <row r="23" spans="1:18" s="798" customFormat="1" ht="15" thickBot="1">
      <c r="A23" s="2442"/>
      <c r="B23" s="2498" t="s">
        <v>2269</v>
      </c>
      <c r="C23" s="2501"/>
      <c r="D23" s="1740"/>
      <c r="E23" s="2444"/>
      <c r="F23" s="2502" t="s">
        <v>2270</v>
      </c>
      <c r="G23" s="2503"/>
      <c r="H23" s="2487"/>
      <c r="I23" s="2488"/>
      <c r="J23" s="2487"/>
      <c r="K23" s="2487"/>
      <c r="L23" s="2488"/>
      <c r="M23" s="2487"/>
      <c r="N23" s="2487"/>
      <c r="O23" s="2488"/>
      <c r="P23" s="2487"/>
      <c r="Q23" s="2487"/>
      <c r="R23" s="2489"/>
    </row>
    <row r="24" spans="1:18" s="798" customFormat="1" ht="15" thickBot="1">
      <c r="A24" s="2445"/>
      <c r="B24" s="2502" t="s">
        <v>2271</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4" sqref="H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1014.0699999999999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45135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0</v>
      </c>
      <c r="C5" s="2508">
        <f ca="1">IF(B5=D14,结果表!H102,ROUND(B5*10000/$B$1,0))</f>
        <v>0</v>
      </c>
      <c r="D5" s="2508" t="e">
        <f ca="1">ROUND(B5*10000/$B$2,0)</f>
        <v>#DIV/0!</v>
      </c>
      <c r="E5" s="2682"/>
      <c r="F5" s="2683"/>
      <c r="G5" s="2683"/>
      <c r="H5" s="2684"/>
      <c r="I5" s="2684"/>
      <c r="J5" s="2684"/>
      <c r="K5" s="2684"/>
    </row>
    <row r="6" spans="1:11" ht="16.5">
      <c r="A6" s="2508" t="s">
        <v>656</v>
      </c>
      <c r="B6" s="2508">
        <f ca="1">SUM(G14:G23)</f>
        <v>4314</v>
      </c>
      <c r="C6" s="2508">
        <f ca="1">IF(B6=G14,结果表!H108,ROUND(B6*10000/$B$1,0))</f>
        <v>42541</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33">
      <c r="A14" s="2513" t="s">
        <v>650</v>
      </c>
      <c r="B14" s="2514">
        <f>结果表!B118</f>
        <v>1014.0699999999999</v>
      </c>
      <c r="C14" s="2514">
        <f>结果表!C118</f>
        <v>0</v>
      </c>
      <c r="D14" s="2514" t="str">
        <f ca="1">结果表!H119</f>
        <v>肆仟叁佰壹拾肆万元整</v>
      </c>
      <c r="E14" s="2514" t="e">
        <f ca="1">ROUND(D14*10000/B14,0)</f>
        <v>#VALUE!</v>
      </c>
      <c r="F14" s="2514" t="e">
        <f ca="1">ROUND(D14*10000/C14,0)</f>
        <v>#VALUE!</v>
      </c>
      <c r="G14" s="2514">
        <f ca="1">结果表!D122</f>
        <v>4314</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6" zoomScale="90" zoomScaleNormal="100" zoomScaleSheetLayoutView="9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6" ht="21.75" customHeight="1" thickBot="1">
      <c r="A1" s="1636" t="s">
        <v>1262</v>
      </c>
      <c r="B1" s="1746"/>
      <c r="C1" s="1747"/>
      <c r="D1" s="1746"/>
      <c r="E1" s="1746"/>
      <c r="F1" s="1748" t="s">
        <v>1263</v>
      </c>
      <c r="G1" s="1560" t="s">
        <v>3378</v>
      </c>
      <c r="H1" s="1749" t="str">
        <f>IF(G1="现房","——","估价对象范围")</f>
        <v>——</v>
      </c>
      <c r="I1" s="1750" t="s">
        <v>3396</v>
      </c>
    </row>
    <row r="2" spans="1:16" ht="21.75" customHeight="1" thickBot="1">
      <c r="A2" s="3606" t="str">
        <f>项目基本情况!S2</f>
        <v>北京市朝阳区樱花园东街1号楼1至2层1-7房地产</v>
      </c>
      <c r="B2" s="3607"/>
      <c r="C2" s="3607"/>
      <c r="D2" s="3607"/>
      <c r="E2" s="3607"/>
      <c r="F2" s="3607"/>
      <c r="G2" s="3607"/>
      <c r="H2" s="3607"/>
      <c r="I2" s="3608"/>
    </row>
    <row r="3" spans="1:16" ht="12.75">
      <c r="A3" s="3610" t="s">
        <v>1264</v>
      </c>
      <c r="B3" s="3611"/>
      <c r="C3" s="3611"/>
      <c r="D3" s="3611"/>
      <c r="E3" s="3611"/>
      <c r="F3" s="3611"/>
      <c r="G3" s="3611"/>
      <c r="H3" s="3611"/>
      <c r="I3" s="3611"/>
    </row>
    <row r="4" spans="1:16" ht="14.25">
      <c r="A4" s="1753" t="s">
        <v>1265</v>
      </c>
      <c r="B4" s="1754" t="s">
        <v>1266</v>
      </c>
      <c r="C4" s="1755" t="s">
        <v>3391</v>
      </c>
      <c r="D4" s="1755" t="s">
        <v>3392</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6" ht="12.75">
      <c r="A5" s="3586" t="s">
        <v>1268</v>
      </c>
      <c r="B5" s="3573">
        <v>25</v>
      </c>
      <c r="C5" s="3589"/>
      <c r="D5" s="3609"/>
      <c r="E5" s="131" t="s">
        <v>1269</v>
      </c>
      <c r="F5" s="1756"/>
      <c r="G5" s="1756"/>
      <c r="H5" s="1756"/>
      <c r="I5" s="1372"/>
    </row>
    <row r="6" spans="1:16" ht="12.75">
      <c r="A6" s="3586"/>
      <c r="B6" s="3573"/>
      <c r="C6" s="3590"/>
      <c r="D6" s="3609"/>
      <c r="E6" s="131" t="s">
        <v>1270</v>
      </c>
      <c r="F6" s="1756"/>
      <c r="G6" s="1756"/>
      <c r="H6" s="1756"/>
      <c r="I6" s="1372"/>
    </row>
    <row r="7" spans="1:16" ht="12.75">
      <c r="A7" s="3586"/>
      <c r="B7" s="3573"/>
      <c r="C7" s="3591"/>
      <c r="D7" s="3609"/>
      <c r="E7" s="131" t="s">
        <v>1271</v>
      </c>
      <c r="F7" s="1756"/>
      <c r="G7" s="1756"/>
      <c r="H7" s="1756"/>
      <c r="I7" s="1372"/>
    </row>
    <row r="8" spans="1:16" ht="12.75">
      <c r="A8" s="3586" t="s">
        <v>1272</v>
      </c>
      <c r="B8" s="3573">
        <v>15</v>
      </c>
      <c r="C8" s="3589"/>
      <c r="D8" s="3609"/>
      <c r="E8" s="131" t="s">
        <v>1273</v>
      </c>
      <c r="F8" s="1756"/>
      <c r="G8" s="1756"/>
      <c r="H8" s="1756"/>
      <c r="I8" s="1372"/>
    </row>
    <row r="9" spans="1:16" ht="12.75">
      <c r="A9" s="3586"/>
      <c r="B9" s="3573"/>
      <c r="C9" s="3591"/>
      <c r="D9" s="3609"/>
      <c r="E9" s="131" t="s">
        <v>1274</v>
      </c>
      <c r="F9" s="1756"/>
      <c r="G9" s="1756"/>
      <c r="H9" s="1756"/>
      <c r="I9" s="1372"/>
    </row>
    <row r="10" spans="1:16" ht="12.75">
      <c r="A10" s="3586" t="s">
        <v>1275</v>
      </c>
      <c r="B10" s="3573">
        <v>15</v>
      </c>
      <c r="C10" s="3589"/>
      <c r="D10" s="3609"/>
      <c r="E10" s="131" t="s">
        <v>1276</v>
      </c>
      <c r="F10" s="1756"/>
      <c r="G10" s="1756"/>
      <c r="H10" s="1756"/>
      <c r="I10" s="1372"/>
    </row>
    <row r="11" spans="1:16" ht="12.75">
      <c r="A11" s="3586"/>
      <c r="B11" s="3573"/>
      <c r="C11" s="3591"/>
      <c r="D11" s="3609"/>
      <c r="E11" s="131" t="s">
        <v>1277</v>
      </c>
      <c r="F11" s="1756"/>
      <c r="G11" s="1756"/>
      <c r="H11" s="1756"/>
      <c r="I11" s="1372"/>
    </row>
    <row r="12" spans="1:16" ht="12.75">
      <c r="A12" s="3586" t="s">
        <v>1278</v>
      </c>
      <c r="B12" s="3573">
        <v>15</v>
      </c>
      <c r="C12" s="3589"/>
      <c r="D12" s="3609"/>
      <c r="E12" s="131" t="s">
        <v>1279</v>
      </c>
      <c r="F12" s="1756"/>
      <c r="G12" s="1756"/>
      <c r="H12" s="1756"/>
      <c r="I12" s="1372"/>
    </row>
    <row r="13" spans="1:16" ht="12.75">
      <c r="A13" s="3586"/>
      <c r="B13" s="3573"/>
      <c r="C13" s="3591"/>
      <c r="D13" s="3609"/>
      <c r="E13" s="131" t="s">
        <v>1280</v>
      </c>
      <c r="F13" s="1756"/>
      <c r="G13" s="1756"/>
      <c r="H13" s="1756"/>
      <c r="I13" s="1372"/>
      <c r="N13" s="3482" t="s">
        <v>3704</v>
      </c>
      <c r="O13" s="3482" t="s">
        <v>3706</v>
      </c>
      <c r="P13" s="3482" t="s">
        <v>3707</v>
      </c>
    </row>
    <row r="14" spans="1:16" ht="12.75">
      <c r="A14" s="3586" t="s">
        <v>1281</v>
      </c>
      <c r="B14" s="3573">
        <v>30</v>
      </c>
      <c r="C14" s="3589">
        <v>5</v>
      </c>
      <c r="D14" s="3609">
        <f>10-C14</f>
        <v>5</v>
      </c>
      <c r="E14" s="131" t="s">
        <v>1282</v>
      </c>
      <c r="F14" s="1756"/>
      <c r="G14" s="1756"/>
      <c r="H14" s="1756"/>
      <c r="I14" s="1372"/>
      <c r="N14" s="724" t="s">
        <v>3705</v>
      </c>
      <c r="O14" s="724">
        <v>4765</v>
      </c>
      <c r="P14" s="724">
        <v>46989</v>
      </c>
    </row>
    <row r="15" spans="1:16" ht="12.75">
      <c r="A15" s="3586"/>
      <c r="B15" s="3573"/>
      <c r="C15" s="3590"/>
      <c r="D15" s="3609"/>
      <c r="E15" s="131" t="s">
        <v>1283</v>
      </c>
      <c r="F15" s="1756"/>
      <c r="G15" s="1756"/>
      <c r="H15" s="1756"/>
      <c r="I15" s="1372"/>
      <c r="N15" s="724" t="s">
        <v>3708</v>
      </c>
      <c r="O15" s="724">
        <v>4563</v>
      </c>
      <c r="P15" s="724">
        <v>45001</v>
      </c>
    </row>
    <row r="16" spans="1:16" ht="12.75">
      <c r="A16" s="3586"/>
      <c r="B16" s="3573"/>
      <c r="C16" s="3591"/>
      <c r="D16" s="3609"/>
      <c r="E16" s="131" t="s">
        <v>1284</v>
      </c>
      <c r="F16" s="1756"/>
      <c r="G16" s="1756"/>
      <c r="H16" s="1756"/>
      <c r="I16" s="1372"/>
      <c r="N16" s="724" t="s">
        <v>3709</v>
      </c>
      <c r="O16" s="724">
        <v>3722</v>
      </c>
      <c r="P16" s="724">
        <f>ROUND(O16*10000/L18,0)</f>
        <v>36704</v>
      </c>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96" t="s">
        <v>2131</v>
      </c>
      <c r="F18" s="3597"/>
      <c r="G18" s="3597"/>
      <c r="H18" s="3597"/>
      <c r="I18" s="3597"/>
      <c r="J18" s="3903" t="s">
        <v>3703</v>
      </c>
      <c r="K18" s="302" t="s">
        <v>1289</v>
      </c>
      <c r="L18" s="302">
        <f>IF(C1="",'数据-汇总表'!E3,SUMIF(项目类型,C1,'数据-汇总表'!E17:E26)+SUMIF(项目类型,C1,'数据-汇总表'!I17:I26))</f>
        <v>1014.0699999999999</v>
      </c>
      <c r="M18" s="302">
        <f>IF(C1="",'数据-汇总表'!E3,SUMIF(项目类型,C1,'数据-汇总表'!E17:E26))</f>
        <v>1014.0699999999999</v>
      </c>
    </row>
    <row r="19" spans="1:36" ht="15">
      <c r="A19" s="1760" t="s">
        <v>1290</v>
      </c>
      <c r="B19" s="1761" t="s">
        <v>1291</v>
      </c>
      <c r="C19" s="134">
        <f ca="1">SUMIF(INDIRECT("'"&amp;C4&amp;"'"&amp;"!A:A"),结果表!B19,INDIRECT("'"&amp;C4&amp;"'"&amp;"!B:B"))</f>
        <v>4291</v>
      </c>
      <c r="D19" s="135">
        <f ca="1">SUMIF(INDIRECT("'"&amp;D4&amp;"'"&amp;"!A:A"),结果表!B19,INDIRECT("'"&amp;D4&amp;"'"&amp;"!B:B"))</f>
        <v>4337</v>
      </c>
      <c r="E19" s="1760" t="s">
        <v>1292</v>
      </c>
      <c r="F19" s="1761" t="s">
        <v>1291</v>
      </c>
      <c r="G19" s="136">
        <f ca="1">ROUND(C19*$C$18+D19*$D$18,0)</f>
        <v>4314</v>
      </c>
      <c r="H19" s="1762" t="s">
        <v>1293</v>
      </c>
      <c r="I19" s="129"/>
      <c r="J19" s="2539">
        <v>4500</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42315</v>
      </c>
      <c r="D20" s="138">
        <f ca="1">SUMIF(INDIRECT("'"&amp;D4&amp;"'"&amp;"!A:A"),结果表!B20,INDIRECT("'"&amp;D4&amp;"'"&amp;"!B:B"))</f>
        <v>42768</v>
      </c>
      <c r="E20" s="1763"/>
      <c r="F20" s="1025" t="s">
        <v>1295</v>
      </c>
      <c r="G20" s="139">
        <f ca="1">ROUND(C20*$C$18+D20*$D$18,0)</f>
        <v>42542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1.0720111862036807E-2</v>
      </c>
      <c r="E22" s="129"/>
      <c r="F22" s="129"/>
      <c r="G22" s="129"/>
      <c r="H22" s="129"/>
      <c r="I22" s="129"/>
      <c r="K22" s="3482" t="s">
        <v>3569</v>
      </c>
      <c r="L22" s="3482" t="s">
        <v>3572</v>
      </c>
      <c r="M22" s="3482" t="s">
        <v>3573</v>
      </c>
    </row>
    <row r="23" spans="1:36" ht="13.5" thickBot="1">
      <c r="A23" s="1746"/>
      <c r="B23" s="1746"/>
      <c r="C23" s="1746"/>
      <c r="D23" s="1746"/>
      <c r="E23" s="129"/>
      <c r="F23" s="129"/>
      <c r="G23" s="129"/>
      <c r="H23" s="129"/>
      <c r="I23" s="129"/>
      <c r="K23" s="724" t="s">
        <v>3570</v>
      </c>
      <c r="L23" s="724">
        <f>'数据-基础表'!I13</f>
        <v>361.57</v>
      </c>
      <c r="M23" s="724">
        <f ca="1">ROUND((L25*G20)/(L23+L24*0.7),0)</f>
        <v>52718</v>
      </c>
    </row>
    <row r="24" spans="1:36" ht="14.25">
      <c r="A24" s="3580" t="s">
        <v>1299</v>
      </c>
      <c r="B24" s="1761" t="s">
        <v>1291</v>
      </c>
      <c r="C24" s="136">
        <f>IF(B30=0,0,D30)</f>
        <v>0</v>
      </c>
      <c r="D24" s="1768"/>
      <c r="E24" s="129"/>
      <c r="F24" s="129"/>
      <c r="G24" s="129"/>
      <c r="H24" s="129"/>
      <c r="I24" s="129"/>
      <c r="K24" s="724" t="s">
        <v>3571</v>
      </c>
      <c r="L24" s="724">
        <f>'数据-基础表'!I14</f>
        <v>652.5</v>
      </c>
      <c r="M24" s="724">
        <f ca="1">ROUND(M23*0.7,0)</f>
        <v>36903</v>
      </c>
    </row>
    <row r="25" spans="1:36" ht="14.25">
      <c r="A25" s="3581"/>
      <c r="B25" s="1025" t="s">
        <v>1295</v>
      </c>
      <c r="C25" s="141">
        <f>IF(B30=0,0,C30)</f>
        <v>0</v>
      </c>
      <c r="D25" s="1769"/>
      <c r="E25" s="129"/>
      <c r="F25" s="129"/>
      <c r="G25" s="129"/>
      <c r="H25" s="129"/>
      <c r="I25" s="129"/>
      <c r="K25" s="3482" t="s">
        <v>3574</v>
      </c>
      <c r="L25" s="724">
        <f>L18</f>
        <v>1014.0699999999999</v>
      </c>
      <c r="M25" s="724">
        <f ca="1">ROUND((M23*L23+M24*L24)/L25,0)</f>
        <v>42542</v>
      </c>
    </row>
    <row r="26" spans="1:36" ht="13.5" customHeight="1">
      <c r="A26" s="1770" t="s">
        <v>1300</v>
      </c>
      <c r="B26" s="142" t="s">
        <v>1301</v>
      </c>
      <c r="C26" s="142" t="s">
        <v>1302</v>
      </c>
      <c r="D26" s="143" t="s">
        <v>1303</v>
      </c>
      <c r="E26" s="129"/>
      <c r="F26" s="129"/>
      <c r="G26" s="129"/>
      <c r="H26" s="129"/>
      <c r="I26" s="129"/>
      <c r="M26" s="724" t="s">
        <v>3575</v>
      </c>
    </row>
    <row r="27" spans="1:36" ht="14.25">
      <c r="A27" s="1770"/>
      <c r="B27" s="142">
        <v>0</v>
      </c>
      <c r="C27" s="142">
        <v>0</v>
      </c>
      <c r="D27" s="143">
        <f>ROUND(C27*B27/10000,0)</f>
        <v>0</v>
      </c>
      <c r="E27" s="129"/>
      <c r="F27" s="129"/>
      <c r="G27" s="129"/>
      <c r="H27" s="129"/>
      <c r="I27" s="129"/>
      <c r="K27" s="724" t="s">
        <v>3576</v>
      </c>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4314</v>
      </c>
      <c r="D32" s="1774" t="s">
        <v>3397</v>
      </c>
      <c r="E32" s="129"/>
      <c r="F32" s="129"/>
      <c r="G32" s="129"/>
      <c r="H32" s="129"/>
      <c r="I32" s="129"/>
    </row>
    <row r="33" spans="1:15" ht="15">
      <c r="A33" s="785" t="s">
        <v>1306</v>
      </c>
      <c r="B33" s="1775"/>
      <c r="C33" s="1776" t="s">
        <v>3398</v>
      </c>
      <c r="D33" s="1777" t="s">
        <v>3392</v>
      </c>
      <c r="E33" s="1778" t="s">
        <v>1307</v>
      </c>
      <c r="F33" s="1779" t="str">
        <f>IF(D32="楼面单价","取值（单价）","取值（总价）")</f>
        <v>取值（总价）</v>
      </c>
      <c r="G33" s="129"/>
      <c r="H33" s="129"/>
      <c r="I33" s="129"/>
    </row>
    <row r="34" spans="1:15" ht="15">
      <c r="A34" s="1780"/>
      <c r="B34" s="1781" t="s">
        <v>1308</v>
      </c>
      <c r="C34" s="148">
        <f ca="1">IF(C33="自定义",F34,C32-C35)</f>
        <v>3891</v>
      </c>
      <c r="D34" s="860">
        <f ca="1">IF(C33="自定义",ROUND(C34/C32,3),IF(C33="收益比率",SUMIF(INDIRECT("'"&amp;D33&amp;"'"&amp;"!b:b"),"土地收益比率",INDIRECT("'"&amp;D33&amp;"'"&amp;"!c:c")),SUMIF(INDIRECT("'"&amp;D33&amp;"'"&amp;"!b:b"),"土地成本比率",INDIRECT("'"&amp;D33&amp;"'"&amp;"!c:c"))))</f>
        <v>0.90200000000000002</v>
      </c>
      <c r="E34" s="1782" t="s">
        <v>1309</v>
      </c>
      <c r="F34" s="1329"/>
      <c r="G34" s="129"/>
      <c r="H34" s="129"/>
      <c r="I34" s="129"/>
    </row>
    <row r="35" spans="1:15" ht="15.75" thickBot="1">
      <c r="A35" s="1783"/>
      <c r="B35" s="1784" t="s">
        <v>1310</v>
      </c>
      <c r="C35" s="1169">
        <f ca="1">IF(C33="自定义",F35,ROUND(C32*D35,0))</f>
        <v>423</v>
      </c>
      <c r="D35" s="1170">
        <f ca="1">IF(C33="自定义",ROUND(C35/C32,3),IF(C33="收益比率",SUMIF(INDIRECT("'"&amp;D33&amp;"'"&amp;"!b:b"),"建筑物收益比率",INDIRECT("'"&amp;D33&amp;"'"&amp;"!c:c")),SUMIF(INDIRECT("'"&amp;D33&amp;"'"&amp;"!b:b"),"建筑物成本比率",INDIRECT("'"&amp;D33&amp;"'"&amp;"!c:c"))))</f>
        <v>9.8000000000000004E-2</v>
      </c>
      <c r="E35" s="1785" t="s">
        <v>1311</v>
      </c>
      <c r="F35" s="154"/>
      <c r="G35" s="129"/>
      <c r="H35" s="129"/>
      <c r="I35" s="129"/>
    </row>
    <row r="36" spans="1:15" ht="15.75" thickBot="1">
      <c r="A36" s="3600" t="s">
        <v>1312</v>
      </c>
      <c r="B36" s="1786" t="s">
        <v>1313</v>
      </c>
      <c r="C36" s="145"/>
      <c r="D36" s="1787"/>
      <c r="E36" s="1788"/>
      <c r="F36" s="1789"/>
      <c r="G36" s="129"/>
      <c r="H36" s="129"/>
      <c r="I36" s="129"/>
    </row>
    <row r="37" spans="1:15" ht="15.75" thickBot="1">
      <c r="A37" s="3601"/>
      <c r="B37" s="1673" t="s">
        <v>1314</v>
      </c>
      <c r="C37" s="147"/>
      <c r="D37" s="1138"/>
      <c r="E37" s="1138"/>
      <c r="F37" s="1789"/>
      <c r="G37" s="129"/>
      <c r="H37" s="129"/>
      <c r="I37" s="129"/>
    </row>
    <row r="38" spans="1:15" ht="15.75" thickBot="1">
      <c r="A38" s="360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77" t="s">
        <v>1326</v>
      </c>
      <c r="B45" s="3578"/>
      <c r="C45" s="3579"/>
      <c r="D45" s="155">
        <f ca="1">ROUND(H101*F45,0)</f>
        <v>4314</v>
      </c>
      <c r="E45" s="156" t="s">
        <v>1327</v>
      </c>
      <c r="F45" s="157">
        <v>1</v>
      </c>
      <c r="G45" s="158" t="s">
        <v>1328</v>
      </c>
      <c r="H45" s="129"/>
      <c r="I45" s="129"/>
      <c r="J45" s="3655" t="s">
        <v>1329</v>
      </c>
      <c r="K45" s="3655"/>
      <c r="L45" s="3655"/>
      <c r="M45" s="3655"/>
      <c r="N45" s="3655"/>
      <c r="O45" s="3655"/>
    </row>
    <row r="46" spans="1:15" ht="14.25" hidden="1" customHeight="1">
      <c r="A46" s="3574" t="s">
        <v>1330</v>
      </c>
      <c r="B46" s="3575"/>
      <c r="C46" s="3575"/>
      <c r="D46" s="3575"/>
      <c r="E46" s="3575"/>
      <c r="F46" s="3575"/>
      <c r="G46" s="3576"/>
      <c r="H46" s="1805"/>
      <c r="I46" s="159"/>
      <c r="J46" s="2519">
        <v>1</v>
      </c>
      <c r="K46" s="3636" t="s">
        <v>1331</v>
      </c>
      <c r="L46" s="3636"/>
      <c r="M46" s="3656"/>
      <c r="N46" s="3656"/>
      <c r="O46" s="3656"/>
    </row>
    <row r="47" spans="1:15" ht="12" hidden="1" customHeight="1">
      <c r="A47" s="160" t="s">
        <v>1332</v>
      </c>
      <c r="B47" s="161"/>
      <c r="C47" s="162"/>
      <c r="D47" s="1086" t="s">
        <v>1333</v>
      </c>
      <c r="E47" s="302" t="s">
        <v>1334</v>
      </c>
      <c r="F47" s="163" t="s">
        <v>1335</v>
      </c>
      <c r="G47" s="2542" t="s">
        <v>1336</v>
      </c>
      <c r="H47" s="2543"/>
      <c r="I47" s="159"/>
      <c r="J47" s="2519">
        <v>2</v>
      </c>
      <c r="K47" s="3636" t="s">
        <v>1337</v>
      </c>
      <c r="L47" s="3636"/>
      <c r="M47" s="3657">
        <f>'数据-取费表'!B2</f>
        <v>45135</v>
      </c>
      <c r="N47" s="3657"/>
      <c r="O47" s="3657"/>
    </row>
    <row r="48" spans="1:15" ht="25.5" hidden="1">
      <c r="A48" s="3605" t="s">
        <v>1338</v>
      </c>
      <c r="B48" s="3588"/>
      <c r="C48" s="3588"/>
      <c r="D48" s="2321">
        <f ca="1">IF(H48="情况1",0,IF(H48="情况2",D52,IF(H48="情况3",D53,IF(H48="情况4",D54))))</f>
        <v>230</v>
      </c>
      <c r="E48" s="2331" t="str">
        <f>IF(H48="情况4","(销售额-原购置价)×税（费）率","销售额×税（费）率")</f>
        <v>销售额×税（费）率</v>
      </c>
      <c r="F48" s="2544">
        <f>IF(H48="情况1","免征",'数据-取费表'!B41)</f>
        <v>5.6000000000000001E-2</v>
      </c>
      <c r="G48" s="2545" t="s">
        <v>1339</v>
      </c>
      <c r="H48" s="2546" t="s">
        <v>3399</v>
      </c>
      <c r="I48" s="1805"/>
      <c r="J48" s="2519">
        <v>3</v>
      </c>
      <c r="K48" s="3636" t="s">
        <v>1340</v>
      </c>
      <c r="L48" s="3636"/>
      <c r="M48" s="3658">
        <f ca="1">H101</f>
        <v>4314</v>
      </c>
      <c r="N48" s="3658"/>
      <c r="O48" s="3658"/>
    </row>
    <row r="49" spans="1:35" ht="25.5" hidden="1" customHeight="1">
      <c r="A49" s="2330" t="s">
        <v>1341</v>
      </c>
      <c r="B49" s="3572" t="s">
        <v>1342</v>
      </c>
      <c r="C49" s="3572"/>
      <c r="D49" s="1589">
        <v>0</v>
      </c>
      <c r="E49" s="324" t="s">
        <v>1343</v>
      </c>
      <c r="F49" s="2420" t="s">
        <v>28</v>
      </c>
      <c r="G49" s="3642"/>
      <c r="H49" s="2307" t="s">
        <v>2134</v>
      </c>
      <c r="I49" s="2308"/>
      <c r="J49" s="2519">
        <v>4</v>
      </c>
      <c r="K49" s="3636" t="str">
        <f>IF(项目基本情况!E8="房地产抵押价值","房地产抵押价值","抵押担保权已注销时的房地产抵押价值")</f>
        <v>房地产抵押价值</v>
      </c>
      <c r="L49" s="3636"/>
      <c r="M49" s="3658">
        <f ca="1">IF(项目基本情况!E8="房地产抵押价值",H107,H109)</f>
        <v>4314</v>
      </c>
      <c r="N49" s="3658"/>
      <c r="O49" s="3658"/>
    </row>
    <row r="50" spans="1:35" ht="25.5" hidden="1" customHeight="1">
      <c r="A50" s="2547"/>
      <c r="B50" s="3572" t="s">
        <v>1344</v>
      </c>
      <c r="C50" s="3572"/>
      <c r="D50" s="2548"/>
      <c r="E50" s="332"/>
      <c r="F50" s="2420"/>
      <c r="G50" s="3643"/>
      <c r="H50" s="2309" t="s">
        <v>2135</v>
      </c>
      <c r="I50" s="2308"/>
      <c r="J50" s="3655" t="s">
        <v>1345</v>
      </c>
      <c r="K50" s="3655"/>
      <c r="L50" s="3655"/>
      <c r="M50" s="3655"/>
      <c r="N50" s="3655"/>
      <c r="O50" s="3655"/>
    </row>
    <row r="51" spans="1:35" ht="20.45" hidden="1" customHeight="1">
      <c r="A51" s="2549"/>
      <c r="B51" s="3572" t="s">
        <v>1346</v>
      </c>
      <c r="C51" s="3572"/>
      <c r="D51" s="1086"/>
      <c r="E51" s="327"/>
      <c r="F51" s="2420"/>
      <c r="G51" s="3644"/>
      <c r="H51" s="2309" t="s">
        <v>2136</v>
      </c>
      <c r="I51" s="2308"/>
      <c r="J51" s="2520" t="s">
        <v>1347</v>
      </c>
      <c r="K51" s="3636" t="s">
        <v>1348</v>
      </c>
      <c r="L51" s="3636"/>
      <c r="M51" s="2520" t="s">
        <v>1349</v>
      </c>
      <c r="N51" s="2520" t="s">
        <v>1350</v>
      </c>
      <c r="O51" s="2520" t="s">
        <v>1351</v>
      </c>
    </row>
    <row r="52" spans="1:35" ht="24" hidden="1" customHeight="1">
      <c r="A52" s="2332" t="s">
        <v>1352</v>
      </c>
      <c r="B52" s="3572" t="s">
        <v>1353</v>
      </c>
      <c r="C52" s="3572"/>
      <c r="D52" s="1086">
        <f ca="1">ROUND(D45*'数据-取费表'!B41/(1+'数据-取费表'!C42),0)</f>
        <v>230</v>
      </c>
      <c r="E52" s="2331" t="s">
        <v>1354</v>
      </c>
      <c r="F52" s="2550">
        <f>'数据-取费表'!B41</f>
        <v>5.6000000000000001E-2</v>
      </c>
      <c r="G52" s="2551"/>
      <c r="H52" s="2540"/>
      <c r="I52" s="1806"/>
      <c r="J52" s="2519">
        <v>1</v>
      </c>
      <c r="K52" s="3637" t="s">
        <v>1355</v>
      </c>
      <c r="L52" s="3637"/>
      <c r="M52" s="2521">
        <f ca="1">D48</f>
        <v>230</v>
      </c>
      <c r="N52" s="2519" t="str">
        <f>E48</f>
        <v>销售额×税（费）率</v>
      </c>
      <c r="O52" s="2522">
        <f>F48</f>
        <v>5.6000000000000001E-2</v>
      </c>
    </row>
    <row r="53" spans="1:35" ht="12" hidden="1" customHeight="1">
      <c r="A53" s="2332" t="s">
        <v>1356</v>
      </c>
      <c r="B53" s="3598" t="s">
        <v>2280</v>
      </c>
      <c r="C53" s="3599"/>
      <c r="D53" s="1086">
        <f ca="1">ROUND(D45*'数据-取费表'!B41/(1+'数据-取费表'!C42),0)</f>
        <v>230</v>
      </c>
      <c r="E53" s="2331" t="s">
        <v>1354</v>
      </c>
      <c r="F53" s="2550">
        <f>'数据-取费表'!B41</f>
        <v>5.6000000000000001E-2</v>
      </c>
      <c r="G53" s="2551"/>
      <c r="H53" s="2540"/>
      <c r="I53" s="1806"/>
      <c r="J53" s="2519">
        <v>2</v>
      </c>
      <c r="K53" s="3637" t="s">
        <v>1357</v>
      </c>
      <c r="L53" s="3637"/>
      <c r="M53" s="2521">
        <f t="shared" ref="M53:O54" ca="1" si="0">D55</f>
        <v>2</v>
      </c>
      <c r="N53" s="2519" t="str">
        <f t="shared" si="0"/>
        <v>销售额×税（费）率</v>
      </c>
      <c r="O53" s="2522">
        <f t="shared" si="0"/>
        <v>5.0000000000000001E-4</v>
      </c>
    </row>
    <row r="54" spans="1:35" ht="12" hidden="1" customHeight="1">
      <c r="A54" s="2332" t="s">
        <v>1358</v>
      </c>
      <c r="B54" s="3598" t="s">
        <v>2281</v>
      </c>
      <c r="C54" s="3599"/>
      <c r="D54" s="1086">
        <f ca="1">C68</f>
        <v>230</v>
      </c>
      <c r="E54" s="327" t="s">
        <v>1359</v>
      </c>
      <c r="F54" s="2550">
        <f>'数据-取费表'!B41</f>
        <v>5.6000000000000001E-2</v>
      </c>
      <c r="G54" s="2551"/>
      <c r="H54" s="2552"/>
      <c r="I54" s="1806"/>
      <c r="J54" s="2519">
        <v>3</v>
      </c>
      <c r="K54" s="3637" t="s">
        <v>1360</v>
      </c>
      <c r="L54" s="3637"/>
      <c r="M54" s="2521">
        <f t="shared" ca="1" si="0"/>
        <v>2442</v>
      </c>
      <c r="N54" s="2519" t="str">
        <f t="shared" si="0"/>
        <v>增值额×税（费）率</v>
      </c>
      <c r="O54" s="2523" t="str">
        <f t="shared" si="0"/>
        <v>——</v>
      </c>
    </row>
    <row r="55" spans="1:35" ht="24" hidden="1" customHeight="1">
      <c r="A55" s="3587" t="s">
        <v>1361</v>
      </c>
      <c r="B55" s="3588"/>
      <c r="C55" s="3588"/>
      <c r="D55" s="2321">
        <f ca="1">IF(H55="个人住宅",0,ROUND(D45*I55,0))</f>
        <v>2</v>
      </c>
      <c r="E55" s="2331" t="s">
        <v>1362</v>
      </c>
      <c r="F55" s="2550">
        <f>IF(H55="正常",I55,"免征")</f>
        <v>5.0000000000000001E-4</v>
      </c>
      <c r="G55" s="2551"/>
      <c r="H55" s="2546" t="s">
        <v>3400</v>
      </c>
      <c r="I55" s="165">
        <f>'数据-取费表'!B49</f>
        <v>5.0000000000000001E-4</v>
      </c>
      <c r="J55" s="2519" t="str">
        <f>IF(H59="非个人房产","",4)</f>
        <v/>
      </c>
      <c r="K55" s="3637" t="str">
        <f>IF(H59="非个人房产","——","个人所得税")</f>
        <v>——</v>
      </c>
      <c r="L55" s="3637"/>
      <c r="M55" s="2524" t="str">
        <f>D59</f>
        <v>——</v>
      </c>
      <c r="N55" s="2037" t="str">
        <f>E59</f>
        <v>——</v>
      </c>
      <c r="O55" s="2525" t="str">
        <f>F59</f>
        <v>——</v>
      </c>
    </row>
    <row r="56" spans="1:35" ht="24.75" hidden="1">
      <c r="A56" s="3587" t="s">
        <v>1363</v>
      </c>
      <c r="B56" s="3588"/>
      <c r="C56" s="3588"/>
      <c r="D56" s="2321">
        <f ca="1">IF(H56="个人住宅",D57,D58)</f>
        <v>2442</v>
      </c>
      <c r="E56" s="2331" t="s">
        <v>1364</v>
      </c>
      <c r="F56" s="2550" t="str">
        <f>IF(H56="正常",F58,"免征")</f>
        <v>——</v>
      </c>
      <c r="G56" s="2553" t="s">
        <v>1365</v>
      </c>
      <c r="H56" s="2554" t="s">
        <v>3400</v>
      </c>
      <c r="I56" s="1807"/>
      <c r="J56" s="2519" t="str">
        <f>IF(项目基本情况!K6="上海银行",IF(J55="",4,J55+1),"")</f>
        <v/>
      </c>
      <c r="K56" s="3660" t="str">
        <f>IF(项目基本情况!K6="上海银行","其他处置费用","")</f>
        <v/>
      </c>
      <c r="L56" s="3661"/>
      <c r="M56" s="2521" t="str">
        <f>IF(项目基本情况!K6="上海银行",M69,"")</f>
        <v/>
      </c>
      <c r="N56" s="3660" t="str">
        <f>IF(项目基本情况!K6="上海银行","包含处置中涉及的律师、诉讼、拍卖、评估等费用","")</f>
        <v/>
      </c>
      <c r="O56" s="3663"/>
    </row>
    <row r="57" spans="1:35" ht="12.75" hidden="1">
      <c r="A57" s="2332" t="s">
        <v>1341</v>
      </c>
      <c r="B57" s="3598" t="s">
        <v>1366</v>
      </c>
      <c r="C57" s="3599"/>
      <c r="D57" s="1589">
        <v>0</v>
      </c>
      <c r="E57" s="324" t="s">
        <v>1343</v>
      </c>
      <c r="F57" s="302"/>
      <c r="G57" s="2551"/>
      <c r="H57" s="2555"/>
      <c r="I57" s="1807"/>
      <c r="J57" s="3637">
        <f>IF(AND(J55="",J56=""),4,IF(项目基本情况!K6="上海银行",结果表!J56+1,结果表!J55+1))</f>
        <v>4</v>
      </c>
      <c r="K57" s="3637" t="s">
        <v>1367</v>
      </c>
      <c r="L57" s="2526" t="s">
        <v>1368</v>
      </c>
      <c r="M57" s="2527"/>
      <c r="N57" s="2528">
        <f ca="1">SUMIF(M52:M56,"&lt;9e307")</f>
        <v>2674</v>
      </c>
      <c r="O57" s="2529"/>
      <c r="P57" s="2686">
        <f ca="1">N57/M49</f>
        <v>0.61984237366713024</v>
      </c>
    </row>
    <row r="58" spans="1:35" ht="24.75" hidden="1">
      <c r="A58" s="2332" t="s">
        <v>1352</v>
      </c>
      <c r="B58" s="3598" t="s">
        <v>1369</v>
      </c>
      <c r="C58" s="3572"/>
      <c r="D58" s="2321">
        <f ca="1">IF(H58="转让取得",C81,C97)</f>
        <v>2442</v>
      </c>
      <c r="E58" s="2331" t="s">
        <v>1364</v>
      </c>
      <c r="F58" s="302" t="s">
        <v>28</v>
      </c>
      <c r="G58" s="2551"/>
      <c r="H58" s="2554" t="s">
        <v>3401</v>
      </c>
      <c r="I58" s="1807"/>
      <c r="J58" s="3637"/>
      <c r="K58" s="3637"/>
      <c r="L58" s="2526" t="s">
        <v>1370</v>
      </c>
      <c r="M58" s="2530"/>
      <c r="N58" s="2531" t="str">
        <f ca="1">NUMBERSTRING(INT(N57*10000),2)&amp;"元整"</f>
        <v>贰仟陆佰柒拾肆万元整</v>
      </c>
      <c r="O58" s="2532"/>
    </row>
    <row r="59" spans="1:35" ht="24.75" hidden="1" thickBot="1">
      <c r="A59" s="3640" t="s">
        <v>1371</v>
      </c>
      <c r="B59" s="3641"/>
      <c r="C59" s="3641"/>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1" t="s">
        <v>3402</v>
      </c>
      <c r="I59" s="2310" t="s">
        <v>2137</v>
      </c>
      <c r="J59" s="3638">
        <f>J57+1</f>
        <v>5</v>
      </c>
      <c r="K59" s="3637" t="s">
        <v>1372</v>
      </c>
      <c r="L59" s="2519" t="s">
        <v>1368</v>
      </c>
      <c r="M59" s="2533"/>
      <c r="N59" s="2534">
        <f ca="1">M49-N57</f>
        <v>1640</v>
      </c>
      <c r="O59" s="2535"/>
    </row>
    <row r="60" spans="1:35" ht="12" hidden="1" customHeight="1">
      <c r="A60" s="1808"/>
      <c r="B60" s="1746"/>
      <c r="C60" s="1746"/>
      <c r="D60" s="1746"/>
      <c r="E60" s="1577"/>
      <c r="F60" s="1807"/>
      <c r="G60" s="1807"/>
      <c r="H60" s="1809"/>
      <c r="I60" s="129"/>
      <c r="J60" s="3639"/>
      <c r="K60" s="3637"/>
      <c r="L60" s="2526" t="s">
        <v>1370</v>
      </c>
      <c r="M60" s="2530"/>
      <c r="N60" s="2531" t="str">
        <f ca="1">NUMBERSTRING(INT(N59*10000),2)&amp;"元整"</f>
        <v>壹仟陆佰肆拾万元整</v>
      </c>
      <c r="O60" s="2532"/>
    </row>
    <row r="61" spans="1:35" ht="13.5" hidden="1" thickBot="1">
      <c r="A61" s="3585" t="s">
        <v>1373</v>
      </c>
      <c r="B61" s="3585"/>
      <c r="C61" s="3585"/>
      <c r="D61" s="3585"/>
      <c r="E61" s="3585"/>
      <c r="F61" s="1807"/>
      <c r="G61" s="1807"/>
      <c r="H61" s="1809"/>
      <c r="I61" s="129"/>
      <c r="J61" s="2519">
        <f>J59+1</f>
        <v>6</v>
      </c>
      <c r="K61" s="3637" t="s">
        <v>1374</v>
      </c>
      <c r="L61" s="3637"/>
      <c r="M61" s="2536"/>
      <c r="N61" s="2537">
        <f ca="1">ROUND(N59*10000/'数据-汇总表'!E3,0)</f>
        <v>16172</v>
      </c>
      <c r="O61" s="2538"/>
    </row>
    <row r="62" spans="1:35" ht="12.75" hidden="1">
      <c r="A62" s="3603" t="s">
        <v>1375</v>
      </c>
      <c r="B62" s="3604"/>
      <c r="C62" s="2018"/>
      <c r="D62" s="2018" t="s">
        <v>1376</v>
      </c>
      <c r="E62" s="166" t="s">
        <v>1377</v>
      </c>
      <c r="F62" s="1807"/>
      <c r="G62" s="1807"/>
      <c r="H62" s="1809"/>
      <c r="I62" s="129"/>
    </row>
    <row r="63" spans="1:35" ht="12.75" hidden="1">
      <c r="A63" s="173" t="s">
        <v>330</v>
      </c>
      <c r="B63" s="167" t="s">
        <v>1378</v>
      </c>
      <c r="C63" s="2560">
        <f ca="1">ROUND((C64+C65)/(1+'数据-取费表'!C42),0)</f>
        <v>4109</v>
      </c>
      <c r="D63" s="167"/>
      <c r="E63" s="168"/>
      <c r="F63" s="1807"/>
      <c r="G63" s="1807"/>
      <c r="H63" s="1809"/>
      <c r="I63" s="129"/>
      <c r="J63" s="3662" t="s">
        <v>1379</v>
      </c>
      <c r="K63" s="1331" t="s">
        <v>1380</v>
      </c>
      <c r="L63" s="1331">
        <f ca="1">IF(M49&gt;10000,M49*0.5%,IF(AND(M49&gt;1000,M49&lt;=10000),M49*1%,IF(AND(M49&gt;100,M49&lt;=1000),M49*3%,IF(AND(M49&gt;10,M49&lt;=100),M49*5%,M49*8%))))</f>
        <v>43.14</v>
      </c>
      <c r="M63" s="302">
        <f ca="1">ROUND(L63,1)</f>
        <v>43.1</v>
      </c>
      <c r="N63" s="2539"/>
      <c r="Z63" s="1751"/>
      <c r="AI63" s="1752"/>
    </row>
    <row r="64" spans="1:35" ht="14.25" hidden="1" customHeight="1">
      <c r="A64" s="169" t="s">
        <v>325</v>
      </c>
      <c r="B64" s="170" t="s">
        <v>1381</v>
      </c>
      <c r="C64" s="2561">
        <f ca="1">D45</f>
        <v>4314</v>
      </c>
      <c r="D64" s="170" t="s">
        <v>26</v>
      </c>
      <c r="E64" s="172"/>
      <c r="F64" s="1807"/>
      <c r="G64" s="1807"/>
      <c r="H64" s="1809"/>
      <c r="I64" s="129"/>
      <c r="J64" s="3662"/>
      <c r="K64" s="1331" t="s">
        <v>1382</v>
      </c>
      <c r="L64" s="1331">
        <f ca="1">IF(M49&gt;2000,M49*0.5%,IF(AND(M49&gt;1000,M49&lt;=2000),M49*0.6%,IF(AND(M49&gt;500,M49&lt;=1000),M49*0.7%,IF(AND(M49&gt;200,M49&lt;=500),M49*0.8%,IF(AND(M49&gt;100,M49&lt;=200),M49*0.9%,IF(AND(M49&gt;50,M49&lt;=100),M49*1%,IF(AND(M49&gt;20,M49&lt;=50),M49*1.5%,IF(AND(M49&gt;10,M49&lt;=20),M49*2%,IF(AND(M49&gt;1,M49&lt;=10),M49*2.5%)))))))))</f>
        <v>21.57</v>
      </c>
      <c r="M64" s="302">
        <f t="shared" ref="M64:M65" ca="1" si="1">ROUND(L64,1)</f>
        <v>21.6</v>
      </c>
      <c r="N64" s="2540" t="s">
        <v>1383</v>
      </c>
      <c r="Z64" s="1751"/>
      <c r="AI64" s="1752"/>
    </row>
    <row r="65" spans="1:35" ht="14.25" hidden="1" customHeight="1">
      <c r="A65" s="169" t="s">
        <v>326</v>
      </c>
      <c r="B65" s="170" t="s">
        <v>1384</v>
      </c>
      <c r="C65" s="2562"/>
      <c r="D65" s="170"/>
      <c r="E65" s="172"/>
      <c r="F65" s="1807"/>
      <c r="G65" s="1807"/>
      <c r="H65" s="1809"/>
      <c r="I65" s="129"/>
      <c r="J65" s="3662"/>
      <c r="K65" s="1331" t="s">
        <v>1385</v>
      </c>
      <c r="L65" s="1331">
        <f ca="1">IF(M49&gt;1000,M49*0.1%,IF(AND(M49&gt;500,M49&lt;=1000),M49*0.5%,IF(AND(M49&gt;50,M49&lt;=500),M49*1%,IF(AND(M49&gt;1,M49&lt;=50),M49*1.5%))))</f>
        <v>4.3140000000000001</v>
      </c>
      <c r="M65" s="302">
        <f t="shared" ca="1" si="1"/>
        <v>4.3</v>
      </c>
      <c r="N65" s="2540" t="s">
        <v>1383</v>
      </c>
      <c r="Z65" s="1751"/>
      <c r="AI65" s="1752"/>
    </row>
    <row r="66" spans="1:35" ht="14.25" hidden="1" customHeight="1">
      <c r="A66" s="173" t="s">
        <v>327</v>
      </c>
      <c r="B66" s="174" t="s">
        <v>1386</v>
      </c>
      <c r="C66" s="2563">
        <f>C75/1.05</f>
        <v>0</v>
      </c>
      <c r="D66" s="174" t="s">
        <v>26</v>
      </c>
      <c r="E66" s="1337" t="s">
        <v>671</v>
      </c>
      <c r="F66" s="1807"/>
      <c r="G66" s="1807"/>
      <c r="H66" s="1809"/>
      <c r="I66" s="129"/>
      <c r="J66" s="3662"/>
      <c r="K66" s="1331" t="s">
        <v>1387</v>
      </c>
      <c r="L66" s="1331">
        <f ca="1">M49*0.5%</f>
        <v>21.57</v>
      </c>
      <c r="M66" s="302">
        <f ca="1">IF(L66&gt;0.5,0.5,ROUND(L66,0))</f>
        <v>0.5</v>
      </c>
      <c r="N66" s="2540" t="s">
        <v>1388</v>
      </c>
      <c r="Z66" s="1751"/>
      <c r="AI66" s="1752"/>
    </row>
    <row r="67" spans="1:35" ht="14.25" hidden="1" customHeight="1">
      <c r="A67" s="173" t="s">
        <v>328</v>
      </c>
      <c r="B67" s="174" t="s">
        <v>1389</v>
      </c>
      <c r="C67" s="2564">
        <f ca="1">C63-C66</f>
        <v>4109</v>
      </c>
      <c r="D67" s="170" t="s">
        <v>26</v>
      </c>
      <c r="E67" s="172"/>
      <c r="F67" s="1807"/>
      <c r="G67" s="1807"/>
      <c r="H67" s="1809"/>
      <c r="I67" s="129"/>
      <c r="J67" s="3662"/>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51"/>
      <c r="AI67" s="1752"/>
    </row>
    <row r="68" spans="1:35" ht="14.25" hidden="1" customHeight="1" thickBot="1">
      <c r="A68" s="176" t="s">
        <v>329</v>
      </c>
      <c r="B68" s="177" t="s">
        <v>1391</v>
      </c>
      <c r="C68" s="2565">
        <f ca="1">IF(C67&lt;=0,0,ROUND(C67*D68,0))</f>
        <v>230</v>
      </c>
      <c r="D68" s="2566">
        <f>'数据-取费表'!B41</f>
        <v>5.6000000000000001E-2</v>
      </c>
      <c r="E68" s="178"/>
      <c r="F68" s="1807"/>
      <c r="G68" s="1807"/>
      <c r="H68" s="1809"/>
      <c r="I68" s="129"/>
      <c r="J68" s="3662"/>
      <c r="K68" s="1331" t="s">
        <v>1392</v>
      </c>
      <c r="L68" s="1331">
        <f ca="1">IF(M49&gt;10000,M49*0.5%,IF(AND(M49&gt;5000,M49&lt;=10000),M49*1%,IF(AND(M49&gt;1000,M49&lt;=5000),M49*2%,IF(AND(M49&gt;200,M49&lt;=1000),M49*3%,M49*5%))))</f>
        <v>86.28</v>
      </c>
      <c r="M68" s="302">
        <f ca="1">ROUND(L68,1)</f>
        <v>86.3</v>
      </c>
      <c r="N68" s="2539"/>
      <c r="Z68" s="1751"/>
      <c r="AI68" s="1752"/>
    </row>
    <row r="69" spans="1:35" s="1771" customFormat="1" ht="16.5" hidden="1" customHeight="1">
      <c r="A69" s="1810"/>
      <c r="B69" s="1811"/>
      <c r="C69" s="1812"/>
      <c r="D69" s="1813"/>
      <c r="E69" s="1814"/>
      <c r="F69" s="1577"/>
      <c r="G69" s="1577"/>
      <c r="H69" s="1576"/>
      <c r="I69" s="1746"/>
      <c r="J69" s="3662"/>
      <c r="K69" s="1331" t="s">
        <v>1393</v>
      </c>
      <c r="L69" s="1331"/>
      <c r="M69" s="302">
        <f ca="1">ROUND(SUM(M63:M68),0)</f>
        <v>158</v>
      </c>
      <c r="N69" s="2541">
        <f ca="1">M69/M49</f>
        <v>3.662494204914233E-2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24" t="s">
        <v>1394</v>
      </c>
      <c r="B70" s="3625"/>
      <c r="C70" s="3625"/>
      <c r="D70" s="3625"/>
      <c r="E70" s="3625"/>
      <c r="F70" s="3625"/>
      <c r="G70" s="3625"/>
      <c r="H70" s="3625"/>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03" t="s">
        <v>1375</v>
      </c>
      <c r="B71" s="3604"/>
      <c r="C71" s="2018"/>
      <c r="D71" s="2018"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4">
        <f ca="1">ROUND(D45/(1+'数据-取费表'!C42),0)</f>
        <v>4109</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4">
        <f ca="1">C74+C78</f>
        <v>25</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7"/>
      <c r="D75" s="170" t="s">
        <v>26</v>
      </c>
      <c r="E75" s="184" t="s">
        <v>1399</v>
      </c>
      <c r="F75" s="2568" t="s">
        <v>3403</v>
      </c>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0">
        <v>0.05</v>
      </c>
      <c r="E76" s="3598" t="s">
        <v>1402</v>
      </c>
      <c r="F76" s="3572"/>
      <c r="G76" s="3572"/>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21" t="s">
        <v>3404</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2">
        <f ca="1">ROUND(D45*D78/(1+'数据-取费表'!C42),0)</f>
        <v>25</v>
      </c>
      <c r="D78" s="2573">
        <f>'数据-取费表'!B43</f>
        <v>6.000000000000001E-3</v>
      </c>
      <c r="E78" s="3582" t="s">
        <v>1406</v>
      </c>
      <c r="F78" s="3583"/>
      <c r="G78" s="3583"/>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4">
        <f ca="1">C72-C73</f>
        <v>4084</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4">
        <f ca="1">IF(C79&lt;=0,0,C79/C73)</f>
        <v>163.36000000000001</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5">
        <f ca="1">ROUND(IF(C79&lt;=0,0,IF(C80&gt;=200%,C79*60%-C73*35%,IF(C80&gt;=100%,C79*50%-C73*15%,IF(C80&gt;=50%,C79*40%-C73*5%,IF(C80&lt;50%,C79*30%,0))))),0)</f>
        <v>2442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24" t="s">
        <v>1410</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3" t="s">
        <v>1375</v>
      </c>
      <c r="B84" s="3604"/>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4">
        <f ca="1">ROUND(D45/(1+'数据-取费表'!C42),0)</f>
        <v>4109</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4">
        <f ca="1">IF(H88="仅含出让金",C87+C90+C91+C92+C93+C94,C87+C91+C92+C93+C94)</f>
        <v>25</v>
      </c>
      <c r="D86" s="2577"/>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2">
        <f>C88+C89</f>
        <v>0</v>
      </c>
      <c r="D87" s="2573"/>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8"/>
      <c r="D88" s="2573"/>
      <c r="E88" s="193" t="s">
        <v>1413</v>
      </c>
      <c r="F88" s="2324"/>
      <c r="G88" s="194" t="s">
        <v>1414</v>
      </c>
      <c r="H88" s="1823" t="s">
        <v>3405</v>
      </c>
      <c r="I88" s="1820"/>
      <c r="J88" s="2517" t="s">
        <v>2277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2">
        <f>ROUND(C88*D89,0)</f>
        <v>0</v>
      </c>
      <c r="D89" s="2573">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8"/>
      <c r="D90" s="2573"/>
      <c r="E90" s="193" t="str">
        <f>IF(H88="-","土地取得成本中已包含该笔费用"," ")</f>
        <v xml:space="preserve"> </v>
      </c>
      <c r="F90" s="2324"/>
      <c r="G90" s="3664" t="s">
        <v>2129</v>
      </c>
      <c r="H90" s="3665"/>
      <c r="I90" s="1820"/>
      <c r="J90" s="2517" t="s">
        <v>2278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2">
        <f>IF(H91="——",成本法!C33,I91)</f>
        <v>0</v>
      </c>
      <c r="D91" s="2573"/>
      <c r="E91" s="3582" t="s">
        <v>1419</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2">
        <f>ROUND((C87+C90+C91)*D92,0)</f>
        <v>0</v>
      </c>
      <c r="D92" s="2579"/>
      <c r="E92" s="3582" t="s">
        <v>1422</v>
      </c>
      <c r="F92" s="3583"/>
      <c r="G92" s="3583"/>
      <c r="H92" s="3592"/>
      <c r="I92" s="1820"/>
      <c r="J92" s="2518" t="s">
        <v>2279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2">
        <f ca="1">ROUND(D45*D93/(1+'数据-取费表'!C42),0)</f>
        <v>25</v>
      </c>
      <c r="D93" s="2573">
        <f>'数据-取费表'!B43</f>
        <v>6.000000000000001E-3</v>
      </c>
      <c r="E93" s="3582" t="s">
        <v>1406</v>
      </c>
      <c r="F93" s="3583"/>
      <c r="G93" s="3583"/>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8">
        <f>ROUND((C87+C90+C91)*D94,0)</f>
        <v>0</v>
      </c>
      <c r="D94" s="2573">
        <v>0.2</v>
      </c>
      <c r="E94" s="3593" t="s">
        <v>1426</v>
      </c>
      <c r="F94" s="3594"/>
      <c r="G94" s="3594"/>
      <c r="H94" s="35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4">
        <f ca="1">ROUND(C85-C86,0)</f>
        <v>4084</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4">
        <f ca="1">IF(C95&lt;=0,0,C95/C86)</f>
        <v>163.36000000000001</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5">
        <f ca="1">ROUND(IF(C95&lt;=0,0,IF(C96&gt;=200%,C95*60%-C86*35%,IF(C96&gt;=100%,C95*50%-C86*15%,IF(C96&gt;=50%,C95*40%-C86*5%,IF(C96&lt;50%,C95*30%,0))))),0)</f>
        <v>2442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1" t="str">
        <f>C4</f>
        <v>成本法</v>
      </c>
      <c r="D101" s="2582" t="str">
        <f>D4</f>
        <v>收益法</v>
      </c>
      <c r="E101" s="3659" t="s">
        <v>1431</v>
      </c>
      <c r="F101" s="3616"/>
      <c r="G101" s="1826" t="s">
        <v>1432</v>
      </c>
      <c r="H101" s="2591">
        <f ca="1">H118</f>
        <v>4314</v>
      </c>
      <c r="I101" s="129"/>
    </row>
    <row r="102" spans="1:35" ht="18.75" customHeight="1">
      <c r="A102" s="3618" t="s">
        <v>1433</v>
      </c>
      <c r="B102" s="2580" t="s">
        <v>1432</v>
      </c>
      <c r="C102" s="2581">
        <f ca="1">IF(D32="楼面单价",ROUND(C19,0),C19)</f>
        <v>4291</v>
      </c>
      <c r="D102" s="2582">
        <f ca="1">IF(D32="楼面单价",ROUND(D19,0),D19)</f>
        <v>4337</v>
      </c>
      <c r="E102" s="3659"/>
      <c r="F102" s="3616"/>
      <c r="G102" s="1826" t="s">
        <v>1434</v>
      </c>
      <c r="H102" s="2551">
        <f ca="1">I118</f>
        <v>42541</v>
      </c>
      <c r="I102" s="129"/>
    </row>
    <row r="103" spans="1:35" ht="42.75" customHeight="1">
      <c r="A103" s="3618"/>
      <c r="B103" s="2580" t="s">
        <v>1434</v>
      </c>
      <c r="C103" s="2583">
        <f ca="1">C20</f>
        <v>42315</v>
      </c>
      <c r="D103" s="2584">
        <f ca="1">D20</f>
        <v>42768</v>
      </c>
      <c r="E103" s="3653" t="s">
        <v>1435</v>
      </c>
      <c r="F103" s="3654"/>
      <c r="G103" s="1827" t="s">
        <v>1436</v>
      </c>
      <c r="H103" s="2591">
        <f>IF(D36="正常操作",H104+H105+H106,H105+H106)</f>
        <v>0</v>
      </c>
      <c r="I103" s="129"/>
    </row>
    <row r="104" spans="1:35" ht="18.75" customHeight="1">
      <c r="A104" s="3618" t="s">
        <v>1437</v>
      </c>
      <c r="B104" s="2585" t="s">
        <v>1432</v>
      </c>
      <c r="C104" s="2586">
        <f ca="1">H118</f>
        <v>4314</v>
      </c>
      <c r="D104" s="2587"/>
      <c r="E104" s="1673" t="s">
        <v>1438</v>
      </c>
      <c r="F104" s="1665"/>
      <c r="G104" s="1827" t="s">
        <v>1436</v>
      </c>
      <c r="H104" s="2592">
        <f>IF(D36="同一抵押权人同一抵押物续贷",C36&amp;"（续贷，未扣减，详见特别提示）",C36)</f>
        <v>0</v>
      </c>
      <c r="I104" s="129"/>
    </row>
    <row r="105" spans="1:35" ht="18.75" customHeight="1" thickBot="1">
      <c r="A105" s="3619"/>
      <c r="B105" s="2588" t="s">
        <v>1434</v>
      </c>
      <c r="C105" s="2589">
        <f ca="1">I118</f>
        <v>42541</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15" t="str">
        <f>IF(项目基本情况!E8="已注销","——","3.房地产抵押价值")</f>
        <v>3.房地产抵押价值</v>
      </c>
      <c r="F107" s="3616"/>
      <c r="G107" s="1826" t="s">
        <v>1432</v>
      </c>
      <c r="H107" s="2591">
        <f ca="1">IF(E107="——","——",H101-H103)</f>
        <v>4314</v>
      </c>
      <c r="I107" s="129"/>
    </row>
    <row r="108" spans="1:35" ht="18.75" customHeight="1">
      <c r="A108" s="129"/>
      <c r="B108" s="129"/>
      <c r="C108" s="129"/>
      <c r="D108" s="129"/>
      <c r="E108" s="3615"/>
      <c r="F108" s="3616"/>
      <c r="G108" s="1826" t="s">
        <v>1434</v>
      </c>
      <c r="H108" s="2551">
        <f ca="1">IF(H107=H101,H102,ROUND(H107*10000/'数据-汇总表'!E3,0))</f>
        <v>42541</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6" t="s">
        <v>1432</v>
      </c>
      <c r="H109" s="2594" t="str">
        <f>IF(E109="——","——",H101-H105-H106)</f>
        <v>——</v>
      </c>
      <c r="I109" s="129"/>
    </row>
    <row r="110" spans="1:35" ht="18.75" customHeight="1">
      <c r="A110" s="129"/>
      <c r="B110" s="129"/>
      <c r="C110" s="129"/>
      <c r="D110" s="129"/>
      <c r="E110" s="3615"/>
      <c r="F110" s="3616"/>
      <c r="G110" s="1826" t="s">
        <v>1434</v>
      </c>
      <c r="H110" s="2551"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6" t="s">
        <v>1432</v>
      </c>
      <c r="H111" s="2591" t="str">
        <f>IF(E111="——","——",N59)</f>
        <v>——</v>
      </c>
      <c r="I111" s="129"/>
    </row>
    <row r="112" spans="1:35" ht="18.75" customHeight="1" thickBot="1">
      <c r="A112" s="129"/>
      <c r="B112" s="129"/>
      <c r="C112" s="129"/>
      <c r="D112" s="129"/>
      <c r="E112" s="3648"/>
      <c r="F112" s="3649"/>
      <c r="G112" s="1829" t="s">
        <v>1434</v>
      </c>
      <c r="H112" s="2595" t="str">
        <f>IF(E111="——","——",N61)</f>
        <v>——</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6" t="s">
        <v>1449</v>
      </c>
      <c r="E117" s="2326" t="s">
        <v>1450</v>
      </c>
      <c r="F117" s="2326" t="s">
        <v>1449</v>
      </c>
      <c r="G117" s="2326" t="s">
        <v>1451</v>
      </c>
      <c r="H117" s="2326" t="s">
        <v>1449</v>
      </c>
      <c r="I117" s="2326" t="s">
        <v>1451</v>
      </c>
    </row>
    <row r="118" spans="1:27" ht="24.75" customHeight="1">
      <c r="A118" s="2596" t="str">
        <f>项目基本情况!S2</f>
        <v>北京市朝阳区樱花园东街1号楼1至2层1-7房地产</v>
      </c>
      <c r="B118" s="2326">
        <f>M18</f>
        <v>1014.0699999999999</v>
      </c>
      <c r="C118" s="2326">
        <f>M19</f>
        <v>0</v>
      </c>
      <c r="D118" s="2326">
        <f ca="1">ROUND(IF(D32="总价",C34,E118*B118/10000),0)</f>
        <v>3891</v>
      </c>
      <c r="E118" s="2326">
        <f ca="1">ROUND(IF(C33="自定义",IF(D32="楼面单价",C34,D118*10000/B118),I118-G118),0)</f>
        <v>38370</v>
      </c>
      <c r="F118" s="2326">
        <f ca="1">ROUND(IF(D32="总价",C35,G118*B118/10000),0)</f>
        <v>423</v>
      </c>
      <c r="G118" s="2326">
        <f ca="1">ROUND(IF(D32="楼面单价",C35,F118*10000/B118),0)</f>
        <v>4171</v>
      </c>
      <c r="H118" s="2326">
        <f ca="1">ROUND(IF(D32="总价",C32,I118*B118/10000),0)</f>
        <v>4314</v>
      </c>
      <c r="I118" s="2326">
        <f ca="1">ROUND(IF(D32="楼面单价",C32,H118*10000/B118),0)</f>
        <v>42541</v>
      </c>
    </row>
    <row r="119" spans="1:27" ht="18.75" customHeight="1">
      <c r="A119" s="3586" t="s">
        <v>1452</v>
      </c>
      <c r="B119" s="3586"/>
      <c r="C119" s="3586"/>
      <c r="D119" s="3626" t="str">
        <f ca="1">NUMBERSTRING(INT(D118*10000),2)&amp;"元整"</f>
        <v>叁仟捌佰玖拾壹万元整</v>
      </c>
      <c r="E119" s="3628"/>
      <c r="F119" s="3626" t="str">
        <f ca="1">NUMBERSTRING(INT(F118*10000),2)&amp;"元整"</f>
        <v>肆佰贰拾叁万元整</v>
      </c>
      <c r="G119" s="3628"/>
      <c r="H119" s="3626" t="str">
        <f ca="1">NUMBERSTRING(INT(H118*10000),2)&amp;"元整"</f>
        <v>肆仟叁佰壹拾肆万元整</v>
      </c>
      <c r="I119" s="3628"/>
    </row>
    <row r="120" spans="1:27" ht="18.75" customHeight="1">
      <c r="A120" s="3650" t="str">
        <f>IF(项目基本情况!B9="房地产市场价值","",MID(E103,3,LEN(E103)-2))</f>
        <v/>
      </c>
      <c r="B120" s="3651"/>
      <c r="C120" s="3652"/>
      <c r="D120" s="3650">
        <f>H103</f>
        <v>0</v>
      </c>
      <c r="E120" s="3651"/>
      <c r="F120" s="3651"/>
      <c r="G120" s="3651"/>
      <c r="H120" s="3651"/>
      <c r="I120" s="365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6" t="s">
        <v>1452</v>
      </c>
      <c r="B121" s="3627"/>
      <c r="C121" s="3628"/>
      <c r="D121" s="3626" t="str">
        <f>IF(D120=0,"零元整",NUMBERSTRING(INT(D120*10000),2)&amp;"元整")</f>
        <v>零元整</v>
      </c>
      <c r="E121" s="3627"/>
      <c r="F121" s="3627"/>
      <c r="G121" s="3627"/>
      <c r="H121" s="3627"/>
      <c r="I121" s="3628"/>
      <c r="AA121" s="724"/>
    </row>
    <row r="122" spans="1:27" ht="18.75" customHeight="1">
      <c r="A122" s="3617" t="str">
        <f>IF(项目基本情况!B9="房地产市场价值","",MID(E107,3,LEN(E107)-2))</f>
        <v/>
      </c>
      <c r="B122" s="3617"/>
      <c r="C122" s="3617"/>
      <c r="D122" s="3650">
        <f ca="1">H107</f>
        <v>4314</v>
      </c>
      <c r="E122" s="3651"/>
      <c r="F122" s="3651"/>
      <c r="G122" s="3651"/>
      <c r="H122" s="3651"/>
      <c r="I122" s="3652"/>
      <c r="AA122" s="724"/>
    </row>
    <row r="123" spans="1:27" ht="18.75" customHeight="1">
      <c r="A123" s="3586" t="s">
        <v>1452</v>
      </c>
      <c r="B123" s="3586"/>
      <c r="C123" s="3586"/>
      <c r="D123" s="3626" t="str">
        <f ca="1">NUMBERSTRING(INT(D122*10000),2)&amp;"元整"</f>
        <v>肆仟叁佰壹拾肆万元整</v>
      </c>
      <c r="E123" s="3627"/>
      <c r="F123" s="3627"/>
      <c r="G123" s="3627"/>
      <c r="H123" s="3627"/>
      <c r="I123" s="3628"/>
      <c r="AA123" s="724"/>
    </row>
    <row r="124" spans="1:27" ht="18.75" customHeight="1">
      <c r="A124" s="3617" t="str">
        <f>IF(项目基本情况!B9="房地产市场价值","",MID(E109,3,LEN(E109)-2))</f>
        <v/>
      </c>
      <c r="B124" s="3617"/>
      <c r="C124" s="3617"/>
      <c r="D124" s="3650" t="str">
        <f>H109</f>
        <v>——</v>
      </c>
      <c r="E124" s="3651"/>
      <c r="F124" s="3651"/>
      <c r="G124" s="3651"/>
      <c r="H124" s="3651"/>
      <c r="I124" s="3652"/>
      <c r="AA124" s="724"/>
    </row>
    <row r="125" spans="1:27" ht="18.75" customHeight="1">
      <c r="A125" s="3586" t="s">
        <v>1452</v>
      </c>
      <c r="B125" s="3586"/>
      <c r="C125" s="3586"/>
      <c r="D125" s="3626" t="e">
        <f>NUMBERSTRING(INT(D124*10000),2)&amp;"元整"</f>
        <v>#VALUE!</v>
      </c>
      <c r="E125" s="3627"/>
      <c r="F125" s="3627"/>
      <c r="G125" s="3627"/>
      <c r="H125" s="3627"/>
      <c r="I125" s="3628"/>
      <c r="AA125" s="724"/>
    </row>
    <row r="126" spans="1:27" ht="18.75" customHeight="1">
      <c r="A126" s="3617" t="str">
        <f>IF(项目基本情况!B9="房地产市场价值","",MID(E111,3,LEN(E111)-2))</f>
        <v/>
      </c>
      <c r="B126" s="3617"/>
      <c r="C126" s="3617"/>
      <c r="D126" s="3650" t="str">
        <f>H111</f>
        <v>——</v>
      </c>
      <c r="E126" s="3651"/>
      <c r="F126" s="3651"/>
      <c r="G126" s="3651"/>
      <c r="H126" s="3651"/>
      <c r="I126" s="3652"/>
      <c r="AA126" s="724"/>
    </row>
    <row r="127" spans="1:27" ht="18.75" customHeight="1">
      <c r="A127" s="3586" t="s">
        <v>1452</v>
      </c>
      <c r="B127" s="3586"/>
      <c r="C127" s="3586"/>
      <c r="D127" s="3626" t="e">
        <f>NUMBERSTRING(INT(D126*10000),2)&amp;"元整"</f>
        <v>#VALUE!</v>
      </c>
      <c r="E127" s="3627"/>
      <c r="F127" s="3627"/>
      <c r="G127" s="3627"/>
      <c r="H127" s="3627"/>
      <c r="I127" s="3628"/>
      <c r="AA127" s="724"/>
    </row>
    <row r="128" spans="1:27" ht="21.75" customHeight="1">
      <c r="A128" s="3633" t="s">
        <v>1453</v>
      </c>
      <c r="B128" s="3633"/>
      <c r="C128" s="3633"/>
      <c r="D128" s="3633"/>
      <c r="E128" s="3633"/>
      <c r="F128" s="3633"/>
      <c r="G128" s="3633"/>
      <c r="H128" s="3633"/>
      <c r="I128" s="363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4291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42315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2868</v>
      </c>
      <c r="D5" s="211" t="s">
        <v>1469</v>
      </c>
      <c r="E5" s="212" t="s">
        <v>1470</v>
      </c>
      <c r="F5" s="212" t="s">
        <v>1471</v>
      </c>
      <c r="G5" s="213"/>
    </row>
    <row r="6" spans="1:9" s="214" customFormat="1" ht="13.5" customHeight="1">
      <c r="A6" s="777" t="s">
        <v>1472</v>
      </c>
      <c r="B6" s="215" t="s">
        <v>1473</v>
      </c>
      <c r="C6" s="216">
        <f>基准地价修正!B2</f>
        <v>2783</v>
      </c>
      <c r="D6" s="217"/>
      <c r="E6" s="218"/>
      <c r="F6" s="218"/>
      <c r="G6" s="219"/>
    </row>
    <row r="7" spans="1:9" s="214" customFormat="1" ht="13.5" customHeight="1">
      <c r="A7" s="777" t="s">
        <v>1474</v>
      </c>
      <c r="B7" s="215" t="s">
        <v>1475</v>
      </c>
      <c r="C7" s="220">
        <f>ROUND(C6*F7,0)</f>
        <v>85</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t="s">
        <v>3406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20</v>
      </c>
      <c r="D10" s="844">
        <f ca="1">IF(B1="",'数据-汇总表'!E6,IF(INDIRECT("'数据-取费表'!c"&amp;$G$1)="住宅",INDIRECT("'数据-取费表'!s"&amp;$G$1),INDIRECT("'数据-取费表'!k"&amp;$G$1)+INDIRECT("'数据-取费表'!s"&amp;$G$1)))</f>
        <v>1014.0699999999999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1014.0699999999999</v>
      </c>
      <c r="E19" s="211">
        <f>'数据-取费表'!B31</f>
        <v>150</v>
      </c>
      <c r="F19" s="231"/>
      <c r="G19" s="1855" t="s">
        <v>3407</v>
      </c>
    </row>
    <row r="20" spans="1:7" s="214" customFormat="1" ht="13.5" customHeight="1">
      <c r="A20" s="255" t="s">
        <v>1493</v>
      </c>
      <c r="B20" s="210" t="s">
        <v>1494</v>
      </c>
      <c r="C20" s="232">
        <f>ROUND((C5+C19)*F20,0)</f>
        <v>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103</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102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585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585</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355</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15</v>
      </c>
      <c r="D37" s="217">
        <f ca="1">D19</f>
        <v>1014.0699999999999</v>
      </c>
      <c r="E37" s="249">
        <f>'数据-取费表'!B35</f>
        <v>150</v>
      </c>
      <c r="F37" s="259"/>
      <c r="G37" s="261" t="s">
        <v>1532</v>
      </c>
    </row>
    <row r="38" spans="1:7" ht="13.5" customHeight="1">
      <c r="A38" s="779"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v>
      </c>
      <c r="D41" s="235">
        <f ca="1">C44</f>
        <v>4.0000000000000002E-4</v>
      </c>
      <c r="E41" s="236" t="s">
        <v>1539</v>
      </c>
      <c r="F41" s="237">
        <f ca="1">F22</f>
        <v>3.5499999999999997E-2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7</v>
      </c>
      <c r="D42" s="238"/>
      <c r="E42" s="238"/>
      <c r="F42" s="239"/>
      <c r="G42" s="3666" t="s">
        <v>1544</v>
      </c>
    </row>
    <row r="43" spans="1:7" ht="13.5" customHeight="1">
      <c r="A43" s="779" t="s">
        <v>347</v>
      </c>
      <c r="B43" s="215" t="s">
        <v>1545</v>
      </c>
      <c r="C43" s="238">
        <f ca="1">ROUND(IF('数据-取费表'!B22&lt;=1,C39*F22*'数据-取费表'!B21/2,C39*(POWER((1+F22),'数据-取费表'!B21/2)-1)),0)</f>
        <v>0</v>
      </c>
      <c r="D43" s="238"/>
      <c r="E43" s="238"/>
      <c r="F43" s="239"/>
      <c r="G43" s="3667"/>
    </row>
    <row r="44" spans="1:7" ht="13.5" customHeight="1">
      <c r="A44" s="779" t="s">
        <v>348</v>
      </c>
      <c r="B44" s="215" t="s">
        <v>1546</v>
      </c>
      <c r="C44" s="238">
        <f ca="1">ROUND(IF('数据-取费表'!B22&lt;=1,C40*F22*'数据-取费表'!B21/2,C40*(POWER((1+F22),'数据-取费表'!B21/2)-1)),4)</f>
        <v>4.0000000000000002E-4</v>
      </c>
      <c r="D44" s="238"/>
      <c r="E44" s="238"/>
      <c r="F44" s="239"/>
      <c r="G44" s="3668"/>
    </row>
    <row r="45" spans="1:7" s="214" customFormat="1" ht="13.5" customHeight="1">
      <c r="A45" s="255" t="s">
        <v>1547</v>
      </c>
      <c r="B45" s="244" t="s">
        <v>1513</v>
      </c>
      <c r="C45" s="245">
        <f ca="1">C46</f>
        <v>79</v>
      </c>
      <c r="D45" s="235">
        <f ca="1">C47</f>
        <v>4.0000000000000001E-3</v>
      </c>
      <c r="E45" s="236" t="s">
        <v>1539</v>
      </c>
      <c r="F45" s="246">
        <f ca="1">F27</f>
        <v>0.2</v>
      </c>
      <c r="G45" s="247" t="s">
        <v>1548</v>
      </c>
    </row>
    <row r="46" spans="1:7" s="214" customFormat="1" ht="13.5" customHeight="1">
      <c r="A46" s="779" t="s">
        <v>346</v>
      </c>
      <c r="B46" s="248" t="s">
        <v>1549</v>
      </c>
      <c r="C46" s="249">
        <f ca="1">ROUND((C33+C39)*F27,0)</f>
        <v>79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520</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374</v>
      </c>
      <c r="D51" s="232"/>
      <c r="E51" s="232"/>
      <c r="F51" s="264"/>
      <c r="G51" s="234" t="s">
        <v>1560</v>
      </c>
    </row>
    <row r="52" spans="1:7" s="208" customFormat="1" ht="16.5" thickBot="1">
      <c r="A52" s="265" t="s">
        <v>1561</v>
      </c>
      <c r="B52" s="266"/>
      <c r="C52" s="267">
        <f ca="1">C31+C51</f>
        <v>4291</v>
      </c>
      <c r="D52" s="266"/>
      <c r="E52" s="266"/>
      <c r="F52" s="266"/>
      <c r="G52" s="268"/>
    </row>
    <row r="55" spans="1:7" ht="15">
      <c r="B55" s="270" t="s">
        <v>1562</v>
      </c>
      <c r="C55" s="271"/>
    </row>
    <row r="56" spans="1:7">
      <c r="B56" s="273" t="s">
        <v>802</v>
      </c>
      <c r="C56" s="275">
        <f ca="1">1-C57</f>
        <v>0.91300000000000003</v>
      </c>
    </row>
    <row r="57" spans="1:7">
      <c r="B57" s="273" t="s">
        <v>803</v>
      </c>
      <c r="C57" s="274">
        <f ca="1">ROUND(C51/C52,3)</f>
        <v>8.6999999999999994E-2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北京市朝阳区樱花园东街1号楼1至2层1-7房地产市场价值预评估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402.09609999999998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3965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202814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202814</v>
      </c>
      <c r="D8" s="222"/>
      <c r="E8" s="220"/>
      <c r="F8" s="221"/>
      <c r="G8" s="1855" t="s">
        <v>3406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202814</v>
      </c>
      <c r="D10" s="844">
        <f ca="1">IF(B1="",'数据-汇总表'!E6,IF(INDIRECT("'数据-取费表'!c"&amp;$G$1)="住宅",INDIRECT("'数据-取费表'!s"&amp;$G$1),INDIRECT("'数据-取费表'!k"&amp;$G$1)+INDIRECT("'数据-取费表'!s"&amp;$G$1)))</f>
        <v>1014.0699999999999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1014.0699999999999</v>
      </c>
      <c r="E19" s="211">
        <f>'数据-取费表'!B31</f>
        <v>150</v>
      </c>
      <c r="F19" s="231"/>
      <c r="G19" s="1855" t="s">
        <v>3407</v>
      </c>
    </row>
    <row r="20" spans="1:7" s="214" customFormat="1" ht="13.5" customHeight="1">
      <c r="A20" s="255" t="s">
        <v>1574</v>
      </c>
      <c r="B20" s="210" t="s">
        <v>1575</v>
      </c>
      <c r="C20" s="232">
        <f ca="1">ROUND((C5+C19)*F20,0)</f>
        <v>4056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7272</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7200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72</v>
      </c>
      <c r="D25" s="238"/>
      <c r="E25" s="241"/>
      <c r="F25" s="239"/>
      <c r="G25" s="242" t="s">
        <v>1588</v>
      </c>
    </row>
    <row r="26" spans="1:7" s="214" customFormat="1">
      <c r="A26" s="779"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41374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41374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277042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3861072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3549245</v>
      </c>
      <c r="D34" s="217"/>
      <c r="E34" s="220"/>
      <c r="F34" s="257"/>
      <c r="G34" s="219"/>
    </row>
    <row r="35" spans="1:7" ht="13.5" customHeight="1">
      <c r="A35" s="779" t="s">
        <v>351</v>
      </c>
      <c r="B35" s="215" t="s">
        <v>1527</v>
      </c>
      <c r="C35" s="220">
        <f ca="1">ROUND(C34*F35,0)</f>
        <v>106477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152111</v>
      </c>
      <c r="D37" s="217">
        <f ca="1">D19</f>
        <v>1014.0699999999999</v>
      </c>
      <c r="E37" s="249">
        <f>'数据-取费表'!B35</f>
        <v>150</v>
      </c>
      <c r="F37" s="259"/>
      <c r="G37" s="261"/>
    </row>
    <row r="38" spans="1:7" ht="13.5" customHeight="1">
      <c r="A38" s="779" t="s">
        <v>354</v>
      </c>
      <c r="B38" s="215" t="s">
        <v>1533</v>
      </c>
      <c r="C38" s="220">
        <f ca="1">ROUND(C34*F38,0)</f>
        <v>53239</v>
      </c>
      <c r="D38" s="220"/>
      <c r="E38" s="220"/>
      <c r="F38" s="259">
        <f>'数据-取费表'!B36</f>
        <v>1.4999999999999999E-2</v>
      </c>
      <c r="G38" s="219" t="s">
        <v>1528</v>
      </c>
    </row>
    <row r="39" spans="1:7" s="214" customFormat="1" ht="13.5" customHeight="1">
      <c r="A39" s="255" t="s">
        <v>1534</v>
      </c>
      <c r="B39" s="210" t="s">
        <v>1535</v>
      </c>
      <c r="C39" s="232">
        <f ca="1">ROUND(C33*F20,0)</f>
        <v>77221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69905</v>
      </c>
      <c r="D41" s="235">
        <f ca="1">C44</f>
        <v>4.0000000000000002E-4</v>
      </c>
      <c r="E41" s="236" t="s">
        <v>1539</v>
      </c>
      <c r="F41" s="237">
        <f ca="1">F22</f>
        <v>3.5499999999999997E-2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68534</v>
      </c>
      <c r="D42" s="238"/>
      <c r="E42" s="238"/>
      <c r="F42" s="239"/>
      <c r="G42" s="3666" t="s">
        <v>1591</v>
      </c>
    </row>
    <row r="43" spans="1:7" ht="13.5" customHeight="1">
      <c r="A43" s="779" t="s">
        <v>347</v>
      </c>
      <c r="B43" s="215" t="s">
        <v>1545</v>
      </c>
      <c r="C43" s="238">
        <f ca="1">ROUND(IF('数据-取费表'!B22&lt;=1,C39*F22*'数据-取费表'!B20/2,C39*(POWER((1+F22),'数据-取费表'!B20/2)-1)),0)</f>
        <v>1371</v>
      </c>
      <c r="D43" s="238"/>
      <c r="E43" s="238"/>
      <c r="F43" s="239"/>
      <c r="G43" s="3667"/>
    </row>
    <row r="44" spans="1:7" ht="13.5" customHeight="1">
      <c r="A44" s="779" t="s">
        <v>348</v>
      </c>
      <c r="B44" s="215" t="s">
        <v>1546</v>
      </c>
      <c r="C44" s="238">
        <f ca="1">ROUND(IF('数据-取费表'!B22&lt;=1,C40*F22*'数据-取费表'!B20/2,C40*(POWER((1+F22),'数据-取费表'!B20/2)-1)),4)</f>
        <v>4.0000000000000002E-4</v>
      </c>
      <c r="D44" s="238"/>
      <c r="E44" s="238"/>
      <c r="F44" s="239"/>
      <c r="G44" s="3668"/>
    </row>
    <row r="45" spans="1:7" s="214" customFormat="1" ht="13.5" customHeight="1">
      <c r="A45" s="255" t="s">
        <v>1547</v>
      </c>
      <c r="B45" s="244" t="s">
        <v>1513</v>
      </c>
      <c r="C45" s="245">
        <f ca="1">C46</f>
        <v>787659</v>
      </c>
      <c r="D45" s="235">
        <f ca="1">C47</f>
        <v>4.0000000000000001E-3</v>
      </c>
      <c r="E45" s="236" t="s">
        <v>1539</v>
      </c>
      <c r="F45" s="246">
        <f ca="1">F27</f>
        <v>0.2</v>
      </c>
      <c r="G45" s="247" t="s">
        <v>1548</v>
      </c>
    </row>
    <row r="46" spans="1:7" s="214" customFormat="1" ht="13.5" customHeight="1">
      <c r="A46" s="779" t="s">
        <v>346</v>
      </c>
      <c r="B46" s="248" t="s">
        <v>1549</v>
      </c>
      <c r="C46" s="249">
        <f ca="1">ROUND((C33+C39)*F27,0)</f>
        <v>787659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5199888</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3743919</v>
      </c>
      <c r="D51" s="232"/>
      <c r="E51" s="232"/>
      <c r="F51" s="264"/>
      <c r="G51" s="234" t="s">
        <v>1560</v>
      </c>
    </row>
    <row r="52" spans="1:7" s="208" customFormat="1" ht="16.5" thickBot="1">
      <c r="A52" s="265" t="s">
        <v>1561</v>
      </c>
      <c r="B52" s="266"/>
      <c r="C52" s="267">
        <f ca="1">C31+C51</f>
        <v>4020961</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-23</v>
      </c>
      <c r="C2" s="276" t="s">
        <v>1595</v>
      </c>
      <c r="D2" s="276"/>
      <c r="E2" s="2802"/>
      <c r="F2" s="2802"/>
      <c r="G2" s="2802"/>
      <c r="H2" s="2802"/>
      <c r="I2" s="2802"/>
      <c r="J2" s="2802"/>
      <c r="K2" s="2802"/>
    </row>
    <row r="3" spans="1:33" ht="18" customHeight="1" thickBot="1">
      <c r="A3" s="203" t="s">
        <v>1464</v>
      </c>
      <c r="B3" s="204">
        <f ca="1">ROUND(B2*10000/IF(C1="",'数据-汇总表'!E3,INDIRECT("'数据-取费表'!K"&amp;$K$1)),0)</f>
        <v>-227</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1014.0699999999999</v>
      </c>
      <c r="E14" s="21">
        <f>'数据-取费表'!B35</f>
        <v>150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1014.0699999999999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20</v>
      </c>
      <c r="D18" s="845"/>
      <c r="E18" s="21"/>
      <c r="F18" s="803"/>
      <c r="G18" s="1861" t="s">
        <v>3408</v>
      </c>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20</v>
      </c>
      <c r="D20" s="845">
        <f ca="1">IF(C1="",'数据-汇总表'!E6,IF(INDIRECT("'数据-取费表'!c"&amp;$K$1)="住宅",INDIRECT("'数据-取费表'!s"&amp;$K$1),INDIRECT("'数据-取费表'!k"&amp;$K$1)+INDIRECT("'数据-取费表'!s"&amp;$K$1)))</f>
        <v>1014.0699999999999</v>
      </c>
      <c r="E20" s="21">
        <f>'数据-取费表'!B28</f>
        <v>200</v>
      </c>
      <c r="F20" s="803"/>
      <c r="G20" s="12"/>
      <c r="H20" s="808"/>
      <c r="I20" s="808"/>
      <c r="J20" s="808"/>
      <c r="K20" s="809"/>
    </row>
    <row r="21" spans="1:33" s="802" customFormat="1" ht="13.5" customHeight="1">
      <c r="A21" s="789" t="s">
        <v>357</v>
      </c>
      <c r="B21" s="812" t="s">
        <v>1628</v>
      </c>
      <c r="C21" s="813">
        <f ca="1">C16+C17+C18</f>
        <v>20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4</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90" zoomScaleNormal="80" zoomScaleSheetLayoutView="90" workbookViewId="0">
      <selection activeCell="V2" sqref="V2:V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8"/>
      <c r="L1" s="1993" t="s">
        <v>1928</v>
      </c>
      <c r="M1" s="862">
        <f>SUMPRODUCT((区片价!B5:B9=I2)*(区片价!C3:G3=E2)*(区片价!C5:G9))</f>
        <v>0</v>
      </c>
      <c r="N1" s="865">
        <f>SUMPRODUCT((因素修正幅度!B5:B9=I2)*(因素修正幅度!C3:G3=E2)*(因素修正幅度!C5:G9))</f>
        <v>0</v>
      </c>
      <c r="O1" s="1994"/>
      <c r="P1" s="1994"/>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2783</v>
      </c>
      <c r="C2" s="1996" t="s">
        <v>1935</v>
      </c>
      <c r="D2" s="1997" t="s">
        <v>1936</v>
      </c>
      <c r="E2" s="3418" t="s">
        <v>673</v>
      </c>
      <c r="F2" s="1997" t="s">
        <v>1937</v>
      </c>
      <c r="G2" s="1998" t="str">
        <f>IF(E2="商业",项目基本情况!B37,IF(E2="办公",项目基本情况!C37,IF(E2="住宅",项目基本情况!D37,IF(E2="工业",项目基本情况!E37,项目基本情况!F37))))</f>
        <v>三级</v>
      </c>
      <c r="H2" s="1997" t="s">
        <v>1938</v>
      </c>
      <c r="I2" s="1998" t="str">
        <f>IF(E2="商业",项目基本情况!B38,IF(E2="办公",项目基本情况!C38,IF(E2="住宅",项目基本情况!D38,IF(E2="工业",项目基本情况!E38,项目基本情况!F38))))</f>
        <v>Ⅲ—24</v>
      </c>
      <c r="J2" s="1999"/>
      <c r="K2" s="1118"/>
      <c r="L2" s="2000" t="s">
        <v>1939</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31766</v>
      </c>
      <c r="U2" s="1212">
        <f>'数据-基础表'!I13</f>
        <v>361.57</v>
      </c>
      <c r="V2" s="3357">
        <f>ROUND(T2*U2/10000,0)</f>
        <v>1149</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6" t="s">
        <v>2432</v>
      </c>
      <c r="F3" s="2001" t="s">
        <v>3563</v>
      </c>
      <c r="G3" s="751">
        <f>IF(F3="宗地容积率",'数据-汇总表'!I4,IF(F3="估价对象容积率",'数据-汇总表'!I6,'数据-汇总表'!I7))</f>
        <v>2.5</v>
      </c>
      <c r="H3" s="170" t="s">
        <v>1943</v>
      </c>
      <c r="I3" s="774">
        <v>1</v>
      </c>
      <c r="J3" s="1999" t="s">
        <v>1944</v>
      </c>
      <c r="K3" s="1118"/>
      <c r="L3" s="2000" t="s">
        <v>1945</v>
      </c>
      <c r="M3" s="863">
        <f>SUMPRODUCT((区片价!B30:B54=I2)*(区片价!C3:G3=E2)*(区片价!C30:G54))</f>
        <v>23580</v>
      </c>
      <c r="N3" s="865">
        <f>SUMPRODUCT((因素修正幅度!B30:B54=I2)*(因素修正幅度!C3:G3=E2)*(因素修正幅度!C30:G54))</f>
        <v>8.5999999999999993E-2</v>
      </c>
      <c r="O3" s="1118"/>
      <c r="P3" s="1118"/>
      <c r="Q3" s="1118"/>
      <c r="R3" s="1211">
        <v>2</v>
      </c>
      <c r="S3" s="3357">
        <f>ROUND(SUMPRODUCT((B106:B110=R3)*(C105:N105=G2)*(C106:N110)),4)</f>
        <v>1.1838</v>
      </c>
      <c r="T3" s="3357">
        <f t="shared" si="0"/>
        <v>25038</v>
      </c>
      <c r="U3" s="1212">
        <f>'数据-基础表'!I14</f>
        <v>652.5</v>
      </c>
      <c r="V3" s="3357">
        <f t="shared" ref="V3:V16" si="1">ROUND(T3*U3/10000,0)</f>
        <v>1634</v>
      </c>
      <c r="W3" s="1215"/>
      <c r="X3" s="1215"/>
      <c r="Y3" s="1215"/>
      <c r="Z3" s="1215"/>
      <c r="AA3" s="1215"/>
      <c r="AB3" s="1215"/>
      <c r="AC3" s="1216"/>
      <c r="AD3" s="1217"/>
      <c r="AE3" s="1217"/>
      <c r="AF3" s="1217"/>
      <c r="AG3" s="1217"/>
      <c r="AH3" s="1217"/>
      <c r="AI3" s="1217"/>
      <c r="AJ3" s="1218"/>
    </row>
    <row r="4" spans="1:36" ht="15.75">
      <c r="A4" s="3676"/>
      <c r="B4" s="3677"/>
      <c r="C4" s="3677"/>
      <c r="D4" s="3678"/>
      <c r="E4" s="3678"/>
      <c r="F4" s="3678"/>
      <c r="G4" s="3678"/>
      <c r="H4" s="3678"/>
      <c r="I4" s="3678"/>
      <c r="J4" s="3679"/>
      <c r="K4" s="1118"/>
      <c r="L4" s="2000" t="s">
        <v>1946</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21161</v>
      </c>
      <c r="U4" s="1212"/>
      <c r="V4" s="3357">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2">
        <f>ROUND(IF(E2="商业",C6*C7*C17+C20,(IF(E2="住宅",C6*C13*C17+C20,IF(E2="办公",C6*C12*C17+C20,C6+C20)))),0)</f>
        <v>23560</v>
      </c>
      <c r="D5" s="1338">
        <f>ROUND(C6*C17+C20,0)</f>
        <v>23560</v>
      </c>
      <c r="E5" s="1338"/>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18663</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3">
        <f>SUMIF(L1:L12,G2,M1:M12)</f>
        <v>23580</v>
      </c>
      <c r="D6" s="2014"/>
      <c r="E6" s="2015"/>
      <c r="F6" s="2015"/>
      <c r="G6" s="2016"/>
      <c r="H6" s="2016"/>
      <c r="I6" s="2016"/>
      <c r="J6" s="2017"/>
      <c r="K6" s="1383"/>
      <c r="L6" s="2000" t="s">
        <v>1951</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17935</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3232</v>
      </c>
      <c r="B7" s="2018" t="s">
        <v>1952</v>
      </c>
      <c r="C7" s="754">
        <f>IF(C8="不临65条商业街",1,ROUND(1+(1.6*E8+1.2*E9+0.8*E10+0.4*E11)*C9,4))</f>
        <v>1</v>
      </c>
      <c r="D7" s="2019" t="s">
        <v>1953</v>
      </c>
      <c r="E7" s="775">
        <v>16</v>
      </c>
      <c r="F7" s="2020"/>
      <c r="G7" s="2021"/>
      <c r="H7" s="2021"/>
      <c r="I7" s="2021"/>
      <c r="J7" s="2022"/>
      <c r="K7" s="1383"/>
      <c r="L7" s="2000" t="s">
        <v>1954</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1955</v>
      </c>
      <c r="X7" s="1213" t="str">
        <f>G2</f>
        <v>三级</v>
      </c>
      <c r="Y7" s="1213" t="s">
        <v>1956</v>
      </c>
      <c r="Z7" s="1214">
        <f>G3</f>
        <v>2.5</v>
      </c>
      <c r="AA7" s="1215"/>
      <c r="AB7" s="1215"/>
      <c r="AC7" s="1216"/>
      <c r="AD7" s="1217"/>
      <c r="AE7" s="1217"/>
      <c r="AF7" s="1217"/>
      <c r="AG7" s="1217"/>
      <c r="AH7" s="1217"/>
      <c r="AI7" s="1217"/>
      <c r="AJ7" s="1218"/>
    </row>
    <row r="8" spans="1:36" ht="25.5">
      <c r="A8" s="3295"/>
      <c r="B8" s="170" t="s">
        <v>1957</v>
      </c>
      <c r="C8" s="2023" t="s">
        <v>3497</v>
      </c>
      <c r="D8" s="755" t="s">
        <v>112</v>
      </c>
      <c r="E8" s="756">
        <f>ROUND(C11/E7,4)</f>
        <v>0</v>
      </c>
      <c r="F8" s="2024" t="s">
        <v>1958</v>
      </c>
      <c r="G8" s="2025"/>
      <c r="H8" s="2025"/>
      <c r="I8" s="2025"/>
      <c r="J8" s="2026"/>
      <c r="K8" s="1118"/>
      <c r="L8" s="2000" t="s">
        <v>1959</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673" t="s">
        <v>1960</v>
      </c>
      <c r="X8" s="36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7">
        <f>SUMIF(修正!C71:C138,C8,修正!E71:E138)</f>
        <v>0</v>
      </c>
      <c r="D9" s="171" t="s">
        <v>113</v>
      </c>
      <c r="E9" s="171">
        <f>ROUND(C11/E7,4)</f>
        <v>0</v>
      </c>
      <c r="F9" s="2024" t="s">
        <v>1974</v>
      </c>
      <c r="G9" s="2025"/>
      <c r="H9" s="2025"/>
      <c r="I9" s="2025"/>
      <c r="J9" s="2026"/>
      <c r="K9" s="1118"/>
      <c r="L9" s="2000" t="s">
        <v>1975</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675"/>
      <c r="X9" s="3358" t="s">
        <v>3263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f>ROUND(C11/E7,4)</f>
        <v>0</v>
      </c>
      <c r="F10" s="2024" t="s">
        <v>1977</v>
      </c>
      <c r="G10" s="2025"/>
      <c r="H10" s="2025"/>
      <c r="I10" s="2025"/>
      <c r="J10" s="2026"/>
      <c r="K10" s="1118"/>
      <c r="L10" s="2000"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6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8">
        <f>C10/4</f>
        <v>0</v>
      </c>
      <c r="D11" s="758" t="s">
        <v>115</v>
      </c>
      <c r="E11" s="758">
        <f>ROUND(C11/E7,4)</f>
        <v>0</v>
      </c>
      <c r="F11" s="2028" t="s">
        <v>1980</v>
      </c>
      <c r="G11" s="2029"/>
      <c r="H11" s="2029"/>
      <c r="I11" s="2029"/>
      <c r="J11" s="2030"/>
      <c r="K11" s="1118"/>
      <c r="L11" s="2000"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3233</v>
      </c>
      <c r="B12" s="3301" t="s">
        <v>3234</v>
      </c>
      <c r="C12" s="3302">
        <v>1</v>
      </c>
      <c r="D12" s="3303" t="s">
        <v>3235</v>
      </c>
      <c r="E12" s="3304" t="s">
        <v>3236</v>
      </c>
      <c r="F12" s="3305"/>
      <c r="G12" s="3306"/>
      <c r="H12" s="3306"/>
      <c r="I12" s="3306"/>
      <c r="J12" s="3307"/>
      <c r="K12" s="1118"/>
      <c r="L12" s="2036"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3237</v>
      </c>
      <c r="B13" s="2031" t="s">
        <v>1982</v>
      </c>
      <c r="C13" s="754">
        <f>ROUND(C16*D16*E16*F16*G16*H16*I16*J16,4)</f>
        <v>0</v>
      </c>
      <c r="D13" s="2032" t="s">
        <v>1983</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1985</v>
      </c>
      <c r="C14" s="2038" t="s">
        <v>1986</v>
      </c>
      <c r="D14" s="1349" t="s">
        <v>1987</v>
      </c>
      <c r="E14" s="27" t="s">
        <v>1988</v>
      </c>
      <c r="F14" s="3308" t="s">
        <v>3238</v>
      </c>
      <c r="G14" s="3308" t="s">
        <v>3238</v>
      </c>
      <c r="H14" s="3308" t="s">
        <v>3238</v>
      </c>
      <c r="I14" s="3308" t="s">
        <v>3238</v>
      </c>
      <c r="J14" s="3308" t="s">
        <v>3238</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c r="D15" s="2041"/>
      <c r="E15" s="2042"/>
      <c r="F15" s="3309" t="s">
        <v>3239</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3240</v>
      </c>
      <c r="B17" s="3317" t="s">
        <v>3241</v>
      </c>
      <c r="C17" s="3327">
        <f>ROUND(IF(OR(E2="工业",E2="公共服务"),1,IF(AND(E18=0,E19=0),1,IF(AND(E18=J24,E19=G19),0.8,IF(E19=0,1+E17*(-0.2),1+E17*G17*(-0.2))))),4)</f>
        <v>1</v>
      </c>
      <c r="D17" s="3318" t="s">
        <v>3242</v>
      </c>
      <c r="E17" s="3327">
        <f>ROUND(G18/I18,2)</f>
        <v>0</v>
      </c>
      <c r="F17" s="3318" t="s">
        <v>3245</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3243</v>
      </c>
      <c r="E18" s="3325"/>
      <c r="F18" s="3320" t="s">
        <v>3246</v>
      </c>
      <c r="G18" s="3324">
        <f>ROUND(1-(1/(POWER(1+G24,E18))),4)</f>
        <v>0</v>
      </c>
      <c r="H18" s="3320" t="s">
        <v>3248</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3244</v>
      </c>
      <c r="E19" s="3334"/>
      <c r="F19" s="3335" t="s">
        <v>3247</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680" t="s">
        <v>3249</v>
      </c>
      <c r="B20" s="167" t="s">
        <v>1994</v>
      </c>
      <c r="C20" s="3321">
        <f>ROUND(IF(F21="与级别开发程度一致",0,(G21-E21)/C21),0)</f>
        <v>-20</v>
      </c>
      <c r="D20" s="3337" t="s">
        <v>1998</v>
      </c>
      <c r="E20" s="3338"/>
      <c r="F20" s="3686" t="s">
        <v>1995</v>
      </c>
      <c r="G20" s="3687"/>
      <c r="H20" s="3322" t="s">
        <v>3379</v>
      </c>
      <c r="I20" s="3322" t="s">
        <v>3380</v>
      </c>
      <c r="J20" s="3323" t="s">
        <v>3381</v>
      </c>
      <c r="K20" s="2044" t="s">
        <v>3382</v>
      </c>
      <c r="L20" s="2044" t="s">
        <v>3383</v>
      </c>
      <c r="M20" s="2044" t="s">
        <v>3384</v>
      </c>
      <c r="N20" s="2044" t="s">
        <v>3701</v>
      </c>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681"/>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3564</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40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2002</v>
      </c>
      <c r="E23" s="760">
        <v>44197</v>
      </c>
      <c r="F23" s="2051" t="s">
        <v>2003</v>
      </c>
      <c r="G23" s="761">
        <f>'数据-取费表'!B2</f>
        <v>45135</v>
      </c>
      <c r="H23" s="3339" t="s">
        <v>3251</v>
      </c>
      <c r="I23" s="3340" t="str">
        <f>IF(H23="季度增幅（自定义）",SUMIF(N25:N28,E2,O25:O28),"")</f>
        <v/>
      </c>
      <c r="J23" s="3442" t="s">
        <v>3250</v>
      </c>
      <c r="K23" s="1124"/>
      <c r="L23" s="2052" t="s">
        <v>2004</v>
      </c>
      <c r="M23" s="1327">
        <f>ROUND(SUMIF(地价!B2:G2,E2,地价!B16:G16),0)</f>
        <v>350</v>
      </c>
      <c r="N23" s="2053" t="s">
        <v>2005</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2006</v>
      </c>
      <c r="C24" s="763">
        <f>ROUND(POWER(1+G24,J24-I24)*(POWER(1+G24,I24)-1)/(POWER(1+G24,J24)-1),4)</f>
        <v>0.8387</v>
      </c>
      <c r="D24" s="2057" t="s">
        <v>2007</v>
      </c>
      <c r="E24" s="1334">
        <f>存贷款利率!E23/100</f>
        <v>4.3499999999999997E-2</v>
      </c>
      <c r="F24" s="2057" t="s">
        <v>1999</v>
      </c>
      <c r="G24" s="767">
        <f>SUMIF(M30:Q30,E2,M33:Q33)</f>
        <v>5.5E-2</v>
      </c>
      <c r="H24" s="2057" t="s">
        <v>2008</v>
      </c>
      <c r="I24" s="768">
        <f>SUMIF('数据-取费表'!C6:C15,E2,'数据-取费表'!F6:F15)/COUNTIF('数据-取费表'!C6:C15,E2)</f>
        <v>25.17</v>
      </c>
      <c r="J24" s="769">
        <f>IF(E2="住宅",70,IF(E2="商业",40,50))</f>
        <v>40</v>
      </c>
      <c r="K24" s="1124"/>
      <c r="L24" s="2058" t="s">
        <v>2009</v>
      </c>
      <c r="M24" s="1328">
        <f>ROUND(SUMPRODUCT((地价!A4:A16=YEAR(G23)&amp;"-"&amp;ROUNDUP(MONTH(G23)/3,0))*(地价!B2:G2=E2)*(地价!B4:G16)),0)</f>
        <v>0</v>
      </c>
      <c r="N24" s="2059" t="s">
        <v>2010</v>
      </c>
      <c r="O24" s="2060" t="s">
        <v>2011</v>
      </c>
      <c r="P24" s="2061" t="s">
        <v>2012</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3565</v>
      </c>
      <c r="C25" s="770">
        <f>IF(B25="容积率修正",IF(G3&lt;10,D26,J26),C27)</f>
        <v>1.5019</v>
      </c>
      <c r="D25" s="2064"/>
      <c r="E25" s="2064"/>
      <c r="F25" s="2064"/>
      <c r="G25" s="2064"/>
      <c r="H25" s="2064"/>
      <c r="I25" s="2064"/>
      <c r="J25" s="2065"/>
      <c r="K25" s="1124"/>
      <c r="L25" s="2784"/>
      <c r="M25" s="2784"/>
      <c r="N25" s="2066" t="s">
        <v>2013</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2014</v>
      </c>
      <c r="B26" s="2067" t="s">
        <v>2015</v>
      </c>
      <c r="C26" s="3341" t="s">
        <v>3252</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3253</v>
      </c>
      <c r="J26" s="771" t="str">
        <f>IF(G3&gt;=10,D115,"——")</f>
        <v>——</v>
      </c>
      <c r="K26" s="1124"/>
      <c r="L26" s="2784"/>
      <c r="M26" s="2784"/>
      <c r="N26" s="2066" t="s">
        <v>2016</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2017</v>
      </c>
      <c r="B27" s="2068" t="s">
        <v>2018</v>
      </c>
      <c r="C27" s="840">
        <f>ROUND(IF(I3&lt;6,SUMPRODUCT((B106:B110=I3)*(C105:N105=G2)*(C106:N110)),SUMIF(C105:N105,G2,C112:N112)),4)</f>
        <v>1.5019</v>
      </c>
      <c r="D27" s="2043"/>
      <c r="E27" s="2043"/>
      <c r="F27" s="2069"/>
      <c r="G27" s="2070"/>
      <c r="H27" s="2071"/>
      <c r="I27" s="2072"/>
      <c r="J27" s="2073"/>
      <c r="K27" s="1118"/>
      <c r="L27" s="1994"/>
      <c r="M27" s="1994"/>
      <c r="N27" s="2066" t="s">
        <v>2019</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2020</v>
      </c>
      <c r="C28" s="759">
        <f>SUMIF(A47:A101,E2,B47:B101)</f>
        <v>1.0297000000000001</v>
      </c>
      <c r="D28" s="2049"/>
      <c r="E28" s="2074"/>
      <c r="F28" s="2074"/>
      <c r="G28" s="2074"/>
      <c r="H28" s="2074"/>
      <c r="I28" s="2074"/>
      <c r="J28" s="2075"/>
      <c r="K28" s="1124"/>
      <c r="L28" s="2784"/>
      <c r="M28" s="2784"/>
      <c r="N28" s="2076"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2022</v>
      </c>
      <c r="C29" s="764"/>
      <c r="D29" s="2021"/>
      <c r="E29" s="2021"/>
      <c r="F29" s="2078"/>
      <c r="G29" s="2021"/>
      <c r="H29" s="2021"/>
      <c r="I29" s="2021"/>
      <c r="J29" s="2022"/>
      <c r="K29" s="1118"/>
      <c r="L29" s="1994"/>
      <c r="M29" s="1994"/>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2024</v>
      </c>
      <c r="C30" s="2318">
        <f>IF(B25="容积率修正",E33+SUM(E37:E42),SUM(V2:V16)+SUM(E37:E42))</f>
        <v>2783</v>
      </c>
      <c r="D30" s="2080"/>
      <c r="E30" s="2043"/>
      <c r="F30" s="2081"/>
      <c r="G30" s="2043"/>
      <c r="H30" s="2043"/>
      <c r="I30" s="2043"/>
      <c r="J30" s="2082"/>
      <c r="K30" s="1118"/>
      <c r="L30" s="3347" t="s">
        <v>1936</v>
      </c>
      <c r="M30" s="3348" t="s">
        <v>1990</v>
      </c>
      <c r="N30" s="3348" t="s">
        <v>1991</v>
      </c>
      <c r="O30" s="3348" t="s">
        <v>1992</v>
      </c>
      <c r="P30" s="3348" t="s">
        <v>1993</v>
      </c>
      <c r="Q30" s="3351" t="s">
        <v>3257</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2025</v>
      </c>
      <c r="C31" s="765">
        <f>E34+SUM(I37:I42)</f>
        <v>0</v>
      </c>
      <c r="D31" s="2084"/>
      <c r="E31" s="2085"/>
      <c r="F31" s="2086"/>
      <c r="G31" s="2085"/>
      <c r="H31" s="2085"/>
      <c r="I31" s="2085"/>
      <c r="J31" s="2087"/>
      <c r="K31" s="1118"/>
      <c r="L31" s="3349" t="s">
        <v>1996</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8"/>
      <c r="L32" s="3350" t="s">
        <v>1999</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2030</v>
      </c>
      <c r="C33" s="175">
        <f>ROUND(C5*C22*C23*C24*C25*C28,0)</f>
        <v>31766</v>
      </c>
      <c r="D33" s="2095"/>
      <c r="E33" s="772">
        <f>ROUND(C33*D33/10000,0)</f>
        <v>0</v>
      </c>
      <c r="F33" s="3342" t="s">
        <v>3255</v>
      </c>
      <c r="G33" s="2096"/>
      <c r="H33" s="2096"/>
      <c r="I33" s="2096"/>
      <c r="J33" s="2097"/>
      <c r="K33" s="1118"/>
      <c r="L33" s="3345" t="s">
        <v>3258</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2031</v>
      </c>
      <c r="C34" s="187" t="e">
        <f>ROUND(IF(E2="工业",C33*M42,IF(B25="楼层修正",SUM(V2:V16)*M41*10000/D34,C33*M41)),0)</f>
        <v>#DIV/0!</v>
      </c>
      <c r="D34" s="2100"/>
      <c r="E34" s="772">
        <f>ROUND(IF(B25="楼层修正",SUM(V2:V16)*M40,C34*D34/10000),0)</f>
        <v>0</v>
      </c>
      <c r="F34" s="2101" t="s">
        <v>2032</v>
      </c>
      <c r="G34" s="2102"/>
      <c r="H34" s="2102"/>
      <c r="I34" s="2102"/>
      <c r="J34" s="2103"/>
      <c r="K34" s="1118"/>
      <c r="L34" s="3345" t="s">
        <v>3259</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2033</v>
      </c>
      <c r="C35" s="3343" t="s">
        <v>3256</v>
      </c>
      <c r="D35" s="2034"/>
      <c r="E35" s="2106"/>
      <c r="F35" s="2106"/>
      <c r="G35" s="2032" t="s">
        <v>2034</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3260</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684"/>
      <c r="B37" s="2110" t="s">
        <v>2036</v>
      </c>
      <c r="C37" s="175">
        <f>ROUND(D5*C22*C23*C24*C28*F37,0)</f>
        <v>12690</v>
      </c>
      <c r="D37" s="2095"/>
      <c r="E37" s="171">
        <f>ROUND(C37*D37/10000,0)</f>
        <v>0</v>
      </c>
      <c r="F37" s="171">
        <f>SUMIF(修正!A57:A68,G2,修正!B57:B68)</f>
        <v>0.6</v>
      </c>
      <c r="G37" s="171">
        <f>ROUND(IF(E2="工业",C37*$M$42,C37*$M$41),0)</f>
        <v>3173</v>
      </c>
      <c r="H37" s="171">
        <f>D37</f>
        <v>0</v>
      </c>
      <c r="I37" s="171">
        <f>ROUND(G37*H37/10000,0)</f>
        <v>0</v>
      </c>
      <c r="J37" s="3008"/>
      <c r="K37" s="3355" t="s">
        <v>3261</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685"/>
      <c r="B38" s="2038" t="s">
        <v>2037</v>
      </c>
      <c r="C38" s="175">
        <f>ROUND(D5*C22*C23*C24*C28*F38,0)</f>
        <v>6345</v>
      </c>
      <c r="D38" s="2095"/>
      <c r="E38" s="171">
        <f t="shared" ref="E38:E42" si="4">ROUND(C38*D38/10000,0)</f>
        <v>0</v>
      </c>
      <c r="F38" s="171">
        <f>SUMIF(修正!A57:A68,G2,修正!C57:C68)</f>
        <v>0.3</v>
      </c>
      <c r="G38" s="171">
        <f>ROUND(IF(E2="工业",C38*$M$42,C38*$M$41),0)</f>
        <v>1586</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685"/>
      <c r="B39" s="2038" t="s">
        <v>3254</v>
      </c>
      <c r="C39" s="175">
        <f>ROUND(D5*C22*C23*C24*C28*F39,0)</f>
        <v>5288</v>
      </c>
      <c r="D39" s="2095"/>
      <c r="E39" s="171">
        <f t="shared" si="4"/>
        <v>0</v>
      </c>
      <c r="F39" s="171">
        <f>SUMIF(修正!A57:A68,G2,修正!D57:D68)</f>
        <v>0.25</v>
      </c>
      <c r="G39" s="171">
        <f>ROUND(IF(E2="工业",C39*$M$42,C39*$M$41),0)</f>
        <v>1322</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2038</v>
      </c>
      <c r="C40" s="171">
        <f>ROUND(D5*C22*C23*C24*C28*F40,0)</f>
        <v>5288</v>
      </c>
      <c r="D40" s="2095"/>
      <c r="E40" s="171">
        <f t="shared" si="4"/>
        <v>0</v>
      </c>
      <c r="F40" s="175">
        <f>SUMIF(修正!A57:A68,G2,修正!E57:E68)</f>
        <v>0.25</v>
      </c>
      <c r="G40" s="171">
        <f>ROUND(IF(E2="工业",C40*$M$42,C40*$M$41),0)</f>
        <v>1322</v>
      </c>
      <c r="H40" s="171">
        <f t="shared" si="5"/>
        <v>0</v>
      </c>
      <c r="I40" s="171">
        <f t="shared" si="6"/>
        <v>0</v>
      </c>
      <c r="J40" s="2111"/>
      <c r="L40" s="2113" t="s">
        <v>2039</v>
      </c>
      <c r="M40" s="2114"/>
      <c r="Z40" s="1119"/>
      <c r="AA40" s="1119"/>
      <c r="AB40" s="1119"/>
      <c r="AC40" s="1119"/>
      <c r="AD40" s="1119"/>
      <c r="AE40" s="1119"/>
      <c r="AF40" s="1119"/>
      <c r="AG40" s="1119"/>
      <c r="AH40" s="1119"/>
      <c r="AI40" s="1119"/>
      <c r="AJ40" s="1119"/>
    </row>
    <row r="41" spans="1:37" s="1118"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3262</v>
      </c>
      <c r="M41" s="2115">
        <v>0.25</v>
      </c>
      <c r="Z41" s="1119"/>
      <c r="AA41" s="1119"/>
      <c r="AB41" s="1119"/>
      <c r="AC41" s="1119"/>
      <c r="AD41" s="1119"/>
      <c r="AE41" s="1119"/>
      <c r="AF41" s="1119"/>
      <c r="AG41" s="1119"/>
      <c r="AH41" s="1119"/>
      <c r="AI41" s="1119"/>
      <c r="AJ41" s="1119"/>
    </row>
    <row r="42" spans="1:37" s="1118" customFormat="1" ht="13.5" thickBot="1">
      <c r="A42" s="2098"/>
      <c r="B42" s="2116" t="s">
        <v>2041</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1993</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2122</v>
      </c>
      <c r="C44" s="342">
        <f>ROUND(POWER(1+E44,H44-G44)*(POWER(1+E44,G44)-1)/(POWER(1+E44,H44)-1),4)</f>
        <v>0</v>
      </c>
      <c r="D44" s="171" t="s">
        <v>1999</v>
      </c>
      <c r="E44" s="2150">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2042</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2043</v>
      </c>
      <c r="B48" s="2124">
        <f>1+E50</f>
        <v>1.0297000000000001</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2044</v>
      </c>
      <c r="B49" s="1350" t="s">
        <v>2045</v>
      </c>
      <c r="C49" s="1350" t="s">
        <v>2046</v>
      </c>
      <c r="D49" s="1350" t="s">
        <v>2047</v>
      </c>
      <c r="E49" s="742" t="s">
        <v>2048</v>
      </c>
      <c r="F49" s="2128" t="s">
        <v>2049</v>
      </c>
      <c r="G49" s="1350" t="s">
        <v>310</v>
      </c>
      <c r="H49" s="2129"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7" t="s">
        <v>2052</v>
      </c>
      <c r="B50" s="2130" t="str">
        <f>估价对象房地状况!C4</f>
        <v>一般</v>
      </c>
      <c r="C50" s="2041" t="s">
        <v>3498</v>
      </c>
      <c r="D50" s="1064">
        <f t="shared" ref="D50:D58" si="7">SUMIF($J$49:$N$49,C50,J50:N50)</f>
        <v>0</v>
      </c>
      <c r="E50" s="743">
        <f>ROUND(SUM(D50:D58),4)</f>
        <v>2.9700000000000001E-2</v>
      </c>
      <c r="F50" s="1813">
        <f>IF(E2="商业",SUMIF(L1:L12,G2,N1:N12),"——")</f>
        <v>8.5999999999999993E-2</v>
      </c>
      <c r="G50" s="1062">
        <f t="shared" ref="G50:G58" si="8">H50</f>
        <v>1.29E-2</v>
      </c>
      <c r="H50" s="1065">
        <f t="shared" ref="H50:H58" si="9">IFERROR(ROUNDDOWN($F$50*I50/2,4),"——")</f>
        <v>1.29E-2</v>
      </c>
      <c r="I50" s="3363">
        <v>0.3</v>
      </c>
      <c r="J50" s="1063">
        <f t="shared" ref="J50:J58" si="10">K50+$G50</f>
        <v>2.58E-2</v>
      </c>
      <c r="K50" s="1063">
        <f t="shared" ref="K50:K58" si="11">$L50+$G50</f>
        <v>1.29E-2</v>
      </c>
      <c r="L50" s="1063">
        <v>0</v>
      </c>
      <c r="M50" s="1063">
        <f t="shared" ref="M50:N58" si="12">L50-$G50</f>
        <v>-1.29E-2</v>
      </c>
      <c r="N50" s="1063">
        <f t="shared" si="12"/>
        <v>-2.58E-2</v>
      </c>
      <c r="AA50" s="1119"/>
      <c r="AB50" s="1119"/>
      <c r="AC50" s="1119"/>
      <c r="AD50" s="1119"/>
      <c r="AE50" s="1119"/>
      <c r="AF50" s="1119"/>
      <c r="AG50" s="1119"/>
      <c r="AH50" s="1119"/>
      <c r="AI50" s="1119"/>
      <c r="AJ50" s="1119"/>
      <c r="AK50" s="1119"/>
    </row>
    <row r="51" spans="1:37" s="1118" customFormat="1" ht="14.25">
      <c r="A51" s="2127" t="s">
        <v>2053</v>
      </c>
      <c r="B51" s="2131" t="str">
        <f>估价对象房地状况!C18</f>
        <v>较好</v>
      </c>
      <c r="C51" s="2041" t="s">
        <v>3393</v>
      </c>
      <c r="D51" s="1064">
        <f t="shared" si="7"/>
        <v>9.4000000000000004E-3</v>
      </c>
      <c r="E51" s="744"/>
      <c r="F51" s="1813"/>
      <c r="G51" s="1062">
        <f t="shared" si="8"/>
        <v>9.4000000000000004E-3</v>
      </c>
      <c r="H51" s="1065">
        <f t="shared" si="9"/>
        <v>9.4000000000000004E-3</v>
      </c>
      <c r="I51" s="3363">
        <v>0.22</v>
      </c>
      <c r="J51" s="1063">
        <f t="shared" si="10"/>
        <v>1.8800000000000001E-2</v>
      </c>
      <c r="K51" s="1063">
        <f t="shared" si="11"/>
        <v>9.4000000000000004E-3</v>
      </c>
      <c r="L51" s="1063">
        <v>0</v>
      </c>
      <c r="M51" s="1063">
        <f t="shared" si="12"/>
        <v>-9.4000000000000004E-3</v>
      </c>
      <c r="N51" s="1063">
        <f t="shared" si="12"/>
        <v>-1.8800000000000001E-2</v>
      </c>
      <c r="AA51" s="1119"/>
      <c r="AB51" s="1119"/>
      <c r="AC51" s="1119"/>
      <c r="AD51" s="1119"/>
      <c r="AE51" s="1119"/>
      <c r="AF51" s="1119"/>
      <c r="AG51" s="1119"/>
      <c r="AH51" s="1119"/>
      <c r="AI51" s="1119"/>
      <c r="AJ51" s="1119"/>
      <c r="AK51" s="1119"/>
    </row>
    <row r="52" spans="1:37" s="1118" customFormat="1" ht="36">
      <c r="A52" s="3365" t="s">
        <v>3264</v>
      </c>
      <c r="B52" s="2131" t="str">
        <f>估价对象房地状况!C19</f>
        <v>较好</v>
      </c>
      <c r="C52" s="2041" t="s">
        <v>3393</v>
      </c>
      <c r="D52" s="1064">
        <f t="shared" si="7"/>
        <v>5.1000000000000004E-3</v>
      </c>
      <c r="E52" s="744"/>
      <c r="F52" s="1813"/>
      <c r="G52" s="1062">
        <f t="shared" si="8"/>
        <v>5.1000000000000004E-3</v>
      </c>
      <c r="H52" s="1065">
        <f t="shared" si="9"/>
        <v>5.1000000000000004E-3</v>
      </c>
      <c r="I52" s="3363">
        <v>0.12</v>
      </c>
      <c r="J52" s="1063">
        <f t="shared" si="10"/>
        <v>1.0200000000000001E-2</v>
      </c>
      <c r="K52" s="1063">
        <f t="shared" si="11"/>
        <v>5.1000000000000004E-3</v>
      </c>
      <c r="L52" s="1063">
        <v>0</v>
      </c>
      <c r="M52" s="1063">
        <f t="shared" si="12"/>
        <v>-5.1000000000000004E-3</v>
      </c>
      <c r="N52" s="1063">
        <f t="shared" si="12"/>
        <v>-1.0200000000000001E-2</v>
      </c>
      <c r="AA52" s="1119"/>
      <c r="AB52" s="1119"/>
      <c r="AC52" s="1119"/>
      <c r="AD52" s="1119"/>
      <c r="AE52" s="1119"/>
      <c r="AF52" s="1119"/>
      <c r="AG52" s="1119"/>
      <c r="AH52" s="1119"/>
      <c r="AI52" s="1119"/>
      <c r="AJ52" s="1119"/>
      <c r="AK52" s="1119"/>
    </row>
    <row r="53" spans="1:37" s="1118" customFormat="1" ht="36.75">
      <c r="A53" s="2127" t="s">
        <v>2054</v>
      </c>
      <c r="B53" s="2132" t="s">
        <v>2055</v>
      </c>
      <c r="C53" s="2041" t="s">
        <v>3393</v>
      </c>
      <c r="D53" s="1064">
        <f t="shared" si="7"/>
        <v>2.0999999999999999E-3</v>
      </c>
      <c r="E53" s="744"/>
      <c r="F53" s="1813"/>
      <c r="G53" s="1062">
        <f t="shared" si="8"/>
        <v>2.0999999999999999E-3</v>
      </c>
      <c r="H53" s="1065">
        <f t="shared" si="9"/>
        <v>2.0999999999999999E-3</v>
      </c>
      <c r="I53" s="3363">
        <v>0.05</v>
      </c>
      <c r="J53" s="1063">
        <f t="shared" si="10"/>
        <v>4.1999999999999997E-3</v>
      </c>
      <c r="K53" s="1063">
        <f t="shared" si="11"/>
        <v>2.0999999999999999E-3</v>
      </c>
      <c r="L53" s="1063">
        <v>0</v>
      </c>
      <c r="M53" s="1063">
        <f t="shared" si="12"/>
        <v>-2.0999999999999999E-3</v>
      </c>
      <c r="N53" s="1063">
        <f t="shared" si="12"/>
        <v>-4.1999999999999997E-3</v>
      </c>
      <c r="AA53" s="1119"/>
      <c r="AB53" s="1119"/>
      <c r="AC53" s="1119"/>
      <c r="AD53" s="1119"/>
      <c r="AE53" s="1119"/>
      <c r="AF53" s="1119"/>
      <c r="AG53" s="1119"/>
      <c r="AH53" s="1119"/>
      <c r="AI53" s="1119"/>
      <c r="AJ53" s="1119"/>
      <c r="AK53" s="1119"/>
    </row>
    <row r="54" spans="1:37" s="1118" customFormat="1" ht="24">
      <c r="A54" s="2127" t="s">
        <v>2056</v>
      </c>
      <c r="B54" s="2131">
        <f>估价对象房地状况!C24</f>
        <v>0</v>
      </c>
      <c r="C54" s="2041" t="s">
        <v>3498</v>
      </c>
      <c r="D54" s="1064">
        <f t="shared" si="7"/>
        <v>0</v>
      </c>
      <c r="E54" s="744"/>
      <c r="F54" s="1813"/>
      <c r="G54" s="1062">
        <f t="shared" si="8"/>
        <v>3.3999999999999998E-3</v>
      </c>
      <c r="H54" s="1065">
        <f t="shared" si="9"/>
        <v>3.3999999999999998E-3</v>
      </c>
      <c r="I54" s="3363">
        <v>0.08</v>
      </c>
      <c r="J54" s="1063">
        <f t="shared" si="10"/>
        <v>6.7999999999999996E-3</v>
      </c>
      <c r="K54" s="1063">
        <f t="shared" si="11"/>
        <v>3.3999999999999998E-3</v>
      </c>
      <c r="L54" s="1063">
        <v>0</v>
      </c>
      <c r="M54" s="1063">
        <f t="shared" si="12"/>
        <v>-3.3999999999999998E-3</v>
      </c>
      <c r="N54" s="1063">
        <f t="shared" si="12"/>
        <v>-6.7999999999999996E-3</v>
      </c>
      <c r="AA54" s="1119"/>
      <c r="AB54" s="1119"/>
      <c r="AC54" s="1119"/>
      <c r="AD54" s="1119"/>
      <c r="AE54" s="1119"/>
      <c r="AF54" s="1119"/>
      <c r="AG54" s="1119"/>
      <c r="AH54" s="1119"/>
      <c r="AI54" s="1119"/>
      <c r="AJ54" s="1119"/>
      <c r="AK54" s="1119"/>
    </row>
    <row r="55" spans="1:37" s="1118" customFormat="1" ht="24">
      <c r="A55" s="2127" t="s">
        <v>2057</v>
      </c>
      <c r="B55" s="2133" t="s">
        <v>2058</v>
      </c>
      <c r="C55" s="2041" t="s">
        <v>3393</v>
      </c>
      <c r="D55" s="1064">
        <f t="shared" si="7"/>
        <v>2.0999999999999999E-3</v>
      </c>
      <c r="E55" s="744"/>
      <c r="F55" s="1813"/>
      <c r="G55" s="1062">
        <f t="shared" si="8"/>
        <v>2.0999999999999999E-3</v>
      </c>
      <c r="H55" s="1065">
        <f t="shared" si="9"/>
        <v>2.0999999999999999E-3</v>
      </c>
      <c r="I55" s="3363">
        <v>0.05</v>
      </c>
      <c r="J55" s="1063">
        <f t="shared" si="10"/>
        <v>4.1999999999999997E-3</v>
      </c>
      <c r="K55" s="1063">
        <f t="shared" si="11"/>
        <v>2.0999999999999999E-3</v>
      </c>
      <c r="L55" s="1063">
        <v>0</v>
      </c>
      <c r="M55" s="1063">
        <f t="shared" si="12"/>
        <v>-2.0999999999999999E-3</v>
      </c>
      <c r="N55" s="1063">
        <f t="shared" si="12"/>
        <v>-4.1999999999999997E-3</v>
      </c>
      <c r="AA55" s="1119"/>
      <c r="AB55" s="1119"/>
      <c r="AC55" s="1119"/>
      <c r="AD55" s="1119"/>
      <c r="AE55" s="1119"/>
      <c r="AF55" s="1119"/>
      <c r="AG55" s="1119"/>
      <c r="AH55" s="1119"/>
      <c r="AI55" s="1119"/>
      <c r="AJ55" s="1119"/>
      <c r="AK55" s="1119"/>
    </row>
    <row r="56" spans="1:37" s="1118" customFormat="1" ht="24">
      <c r="A56" s="2134" t="s">
        <v>2059</v>
      </c>
      <c r="B56" s="1325" t="str">
        <f>估价对象房地状况!C21</f>
        <v>较好</v>
      </c>
      <c r="C56" s="2041" t="s">
        <v>3393</v>
      </c>
      <c r="D56" s="1064">
        <f t="shared" si="7"/>
        <v>2.0999999999999999E-3</v>
      </c>
      <c r="E56" s="744"/>
      <c r="F56" s="1813"/>
      <c r="G56" s="1062">
        <f t="shared" si="8"/>
        <v>2.0999999999999999E-3</v>
      </c>
      <c r="H56" s="1065">
        <f t="shared" si="9"/>
        <v>2.0999999999999999E-3</v>
      </c>
      <c r="I56" s="3363">
        <v>0.05</v>
      </c>
      <c r="J56" s="1063">
        <f t="shared" si="10"/>
        <v>4.1999999999999997E-3</v>
      </c>
      <c r="K56" s="1063">
        <f t="shared" si="11"/>
        <v>2.0999999999999999E-3</v>
      </c>
      <c r="L56" s="1063">
        <v>0</v>
      </c>
      <c r="M56" s="1063">
        <f t="shared" si="12"/>
        <v>-2.0999999999999999E-3</v>
      </c>
      <c r="N56" s="1063">
        <f t="shared" si="12"/>
        <v>-4.1999999999999997E-3</v>
      </c>
      <c r="AA56" s="1119"/>
      <c r="AB56" s="1119"/>
      <c r="AC56" s="1119"/>
      <c r="AD56" s="1119"/>
      <c r="AE56" s="1119"/>
      <c r="AF56" s="1119"/>
      <c r="AG56" s="1119"/>
      <c r="AH56" s="1119"/>
      <c r="AI56" s="1119"/>
      <c r="AJ56" s="1119"/>
      <c r="AK56" s="1119"/>
    </row>
    <row r="57" spans="1:37" s="1118" customFormat="1" ht="24">
      <c r="A57" s="2134" t="s">
        <v>2060</v>
      </c>
      <c r="B57" s="2131" t="str">
        <f>估价对象房地状况!C22</f>
        <v>七通</v>
      </c>
      <c r="C57" s="2041" t="s">
        <v>3499</v>
      </c>
      <c r="D57" s="1064">
        <f t="shared" si="7"/>
        <v>6.7999999999999996E-3</v>
      </c>
      <c r="E57" s="744"/>
      <c r="F57" s="1813"/>
      <c r="G57" s="1062">
        <f t="shared" si="8"/>
        <v>3.3999999999999998E-3</v>
      </c>
      <c r="H57" s="1065">
        <f t="shared" si="9"/>
        <v>3.3999999999999998E-3</v>
      </c>
      <c r="I57" s="3363">
        <v>0.08</v>
      </c>
      <c r="J57" s="1063">
        <f t="shared" si="10"/>
        <v>6.7999999999999996E-3</v>
      </c>
      <c r="K57" s="1063">
        <f t="shared" si="11"/>
        <v>3.3999999999999998E-3</v>
      </c>
      <c r="L57" s="1063">
        <v>0</v>
      </c>
      <c r="M57" s="1063">
        <f t="shared" si="12"/>
        <v>-3.3999999999999998E-3</v>
      </c>
      <c r="N57" s="1063">
        <f t="shared" si="12"/>
        <v>-6.7999999999999996E-3</v>
      </c>
      <c r="AA57" s="1119"/>
      <c r="AB57" s="1119"/>
      <c r="AC57" s="1119"/>
      <c r="AD57" s="1119"/>
      <c r="AE57" s="1119"/>
      <c r="AF57" s="1119"/>
      <c r="AG57" s="1119"/>
      <c r="AH57" s="1119"/>
      <c r="AI57" s="1119"/>
      <c r="AJ57" s="1119"/>
      <c r="AK57" s="1119"/>
    </row>
    <row r="58" spans="1:37" s="1118" customFormat="1" ht="24.75" thickBot="1">
      <c r="A58" s="2135" t="s">
        <v>2061</v>
      </c>
      <c r="B58" s="2136" t="str">
        <f>估价对象房地状况!C20</f>
        <v>较好</v>
      </c>
      <c r="C58" s="2041" t="s">
        <v>3393</v>
      </c>
      <c r="D58" s="1064">
        <f t="shared" si="7"/>
        <v>2.0999999999999999E-3</v>
      </c>
      <c r="E58" s="745"/>
      <c r="F58" s="1813"/>
      <c r="G58" s="1062">
        <f t="shared" si="8"/>
        <v>2.0999999999999999E-3</v>
      </c>
      <c r="H58" s="1065">
        <f t="shared" si="9"/>
        <v>2.0999999999999999E-3</v>
      </c>
      <c r="I58" s="3364">
        <v>0.05</v>
      </c>
      <c r="J58" s="1063">
        <f t="shared" si="10"/>
        <v>4.1999999999999997E-3</v>
      </c>
      <c r="K58" s="1063">
        <f t="shared" si="11"/>
        <v>2.0999999999999999E-3</v>
      </c>
      <c r="L58" s="1063">
        <v>0</v>
      </c>
      <c r="M58" s="1063">
        <f t="shared" si="12"/>
        <v>-2.0999999999999999E-3</v>
      </c>
      <c r="N58" s="1063">
        <f t="shared" si="12"/>
        <v>-4.1999999999999997E-3</v>
      </c>
      <c r="AA58" s="1119"/>
      <c r="AB58" s="1119"/>
      <c r="AC58" s="1119"/>
      <c r="AD58" s="1119"/>
      <c r="AE58" s="1119"/>
      <c r="AF58" s="1119"/>
      <c r="AG58" s="1119"/>
      <c r="AH58" s="1119"/>
      <c r="AI58" s="1119"/>
      <c r="AJ58" s="1119"/>
      <c r="AK58" s="1119"/>
    </row>
    <row r="59" spans="1:37" s="1118" customFormat="1" ht="15">
      <c r="A59" s="2123" t="s">
        <v>2062</v>
      </c>
      <c r="B59" s="2124" t="e">
        <f>1+E61</f>
        <v>#VALUE!</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2044</v>
      </c>
      <c r="B60" s="1350"/>
      <c r="C60" s="1350" t="s">
        <v>2046</v>
      </c>
      <c r="D60" s="1350" t="s">
        <v>2047</v>
      </c>
      <c r="E60" s="742" t="s">
        <v>2048</v>
      </c>
      <c r="F60" s="2128" t="s">
        <v>2063</v>
      </c>
      <c r="G60" s="1350" t="s">
        <v>310</v>
      </c>
      <c r="H60" s="2129"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7" t="s">
        <v>2064</v>
      </c>
      <c r="B61" s="2130" t="str">
        <f>估价对象房地状况!C17</f>
        <v>一般</v>
      </c>
      <c r="C61" s="2041" t="s">
        <v>3393</v>
      </c>
      <c r="D61" s="1064" t="e">
        <f t="shared" ref="D61:D69" si="13">SUMIF($J$60:$N$60,C61,J61:N61)</f>
        <v>#VALUE!</v>
      </c>
      <c r="E61" s="743" t="e">
        <f>ROUND(SUM(D61:D69),4)</f>
        <v>#VALUE!</v>
      </c>
      <c r="F61" s="1813" t="str">
        <f>IF(E2="办公",SUMIF(L1:L12,G2,N1:N12),"——")</f>
        <v>——</v>
      </c>
      <c r="G61" s="1062" t="str">
        <f t="shared" ref="G61:G69" si="14">H61</f>
        <v>——</v>
      </c>
      <c r="H61" s="1065" t="str">
        <f t="shared" ref="H61:H69" si="15">IFERROR(ROUNDDOWN($F$61*I61/2,4),"——")</f>
        <v>——</v>
      </c>
      <c r="I61" s="3363">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7" t="s">
        <v>2053</v>
      </c>
      <c r="B62" s="2131" t="str">
        <f>估价对象房地状况!C18</f>
        <v>较好</v>
      </c>
      <c r="C62" s="2041" t="s">
        <v>3393</v>
      </c>
      <c r="D62" s="1064" t="e">
        <f t="shared" si="13"/>
        <v>#VALUE!</v>
      </c>
      <c r="E62" s="744"/>
      <c r="F62" s="1813"/>
      <c r="G62" s="1062" t="str">
        <f t="shared" si="14"/>
        <v>——</v>
      </c>
      <c r="H62" s="1065" t="str">
        <f t="shared" si="15"/>
        <v>——</v>
      </c>
      <c r="I62" s="3363">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5" t="s">
        <v>3264</v>
      </c>
      <c r="B63" s="2131" t="str">
        <f>估价对象房地状况!C19</f>
        <v>较好</v>
      </c>
      <c r="C63" s="2041" t="s">
        <v>3393</v>
      </c>
      <c r="D63" s="1064" t="e">
        <f t="shared" si="13"/>
        <v>#VALUE!</v>
      </c>
      <c r="E63" s="744"/>
      <c r="F63" s="1813"/>
      <c r="G63" s="1062" t="str">
        <f t="shared" si="14"/>
        <v>——</v>
      </c>
      <c r="H63" s="1065" t="str">
        <f t="shared" si="15"/>
        <v>——</v>
      </c>
      <c r="I63" s="3363">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7" t="s">
        <v>2054</v>
      </c>
      <c r="B64" s="2132" t="s">
        <v>2055</v>
      </c>
      <c r="C64" s="2041" t="s">
        <v>3393</v>
      </c>
      <c r="D64" s="1064" t="e">
        <f t="shared" si="13"/>
        <v>#VALUE!</v>
      </c>
      <c r="E64" s="744"/>
      <c r="F64" s="1813"/>
      <c r="G64" s="1062" t="str">
        <f t="shared" si="14"/>
        <v>——</v>
      </c>
      <c r="H64" s="1065" t="str">
        <f t="shared" si="15"/>
        <v>——</v>
      </c>
      <c r="I64" s="3363">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7" t="s">
        <v>2056</v>
      </c>
      <c r="B65" s="2131">
        <f>估价对象房地状况!C24</f>
        <v>0</v>
      </c>
      <c r="C65" s="2041" t="s">
        <v>3498</v>
      </c>
      <c r="D65" s="1064">
        <f t="shared" si="13"/>
        <v>0</v>
      </c>
      <c r="E65" s="744"/>
      <c r="F65" s="1813"/>
      <c r="G65" s="1062" t="str">
        <f t="shared" si="14"/>
        <v>——</v>
      </c>
      <c r="H65" s="1065" t="str">
        <f t="shared" si="15"/>
        <v>——</v>
      </c>
      <c r="I65" s="3363">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7" t="s">
        <v>2057</v>
      </c>
      <c r="B66" s="2133" t="s">
        <v>2058</v>
      </c>
      <c r="C66" s="2041" t="s">
        <v>3393</v>
      </c>
      <c r="D66" s="1064" t="e">
        <f t="shared" si="13"/>
        <v>#VALUE!</v>
      </c>
      <c r="E66" s="744"/>
      <c r="F66" s="1813"/>
      <c r="G66" s="1062" t="str">
        <f t="shared" si="14"/>
        <v>——</v>
      </c>
      <c r="H66" s="1065" t="str">
        <f t="shared" si="15"/>
        <v>——</v>
      </c>
      <c r="I66" s="3363">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7" t="s">
        <v>2059</v>
      </c>
      <c r="B67" s="1325" t="str">
        <f>估价对象房地状况!C21</f>
        <v>较好</v>
      </c>
      <c r="C67" s="2041" t="s">
        <v>3393</v>
      </c>
      <c r="D67" s="1064" t="e">
        <f t="shared" si="13"/>
        <v>#VALUE!</v>
      </c>
      <c r="E67" s="744"/>
      <c r="F67" s="1813"/>
      <c r="G67" s="1062" t="str">
        <f t="shared" si="14"/>
        <v>——</v>
      </c>
      <c r="H67" s="1065" t="str">
        <f t="shared" si="15"/>
        <v>——</v>
      </c>
      <c r="I67" s="3363">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7" t="s">
        <v>2060</v>
      </c>
      <c r="B68" s="1325" t="str">
        <f>估价对象房地状况!C22</f>
        <v>七通</v>
      </c>
      <c r="C68" s="2041" t="s">
        <v>3499</v>
      </c>
      <c r="D68" s="1064" t="e">
        <f t="shared" si="13"/>
        <v>#VALUE!</v>
      </c>
      <c r="E68" s="744"/>
      <c r="F68" s="1813"/>
      <c r="G68" s="1062" t="str">
        <f t="shared" si="14"/>
        <v>——</v>
      </c>
      <c r="H68" s="1065" t="str">
        <f t="shared" si="15"/>
        <v>——</v>
      </c>
      <c r="I68" s="3363">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5" t="s">
        <v>2061</v>
      </c>
      <c r="B69" s="2137" t="str">
        <f>估价对象房地状况!C20</f>
        <v>较好</v>
      </c>
      <c r="C69" s="2041" t="s">
        <v>3393</v>
      </c>
      <c r="D69" s="1064" t="e">
        <f t="shared" si="13"/>
        <v>#VALUE!</v>
      </c>
      <c r="E69" s="745"/>
      <c r="F69" s="1813"/>
      <c r="G69" s="1062" t="str">
        <f t="shared" si="14"/>
        <v>——</v>
      </c>
      <c r="H69" s="1065" t="str">
        <f t="shared" si="15"/>
        <v>——</v>
      </c>
      <c r="I69" s="3364">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3" t="s">
        <v>2065</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2044</v>
      </c>
      <c r="B71" s="1350"/>
      <c r="C71" s="1350" t="s">
        <v>2046</v>
      </c>
      <c r="D71" s="1350" t="s">
        <v>2047</v>
      </c>
      <c r="E71" s="742" t="s">
        <v>2048</v>
      </c>
      <c r="F71" s="2128" t="s">
        <v>2063</v>
      </c>
      <c r="G71" s="1350" t="s">
        <v>310</v>
      </c>
      <c r="H71" s="2129"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7" t="s">
        <v>2066</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2053</v>
      </c>
      <c r="B73" s="2131" t="str">
        <f>估价对象房地状况!C18</f>
        <v>较好</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3264</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2067</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2059</v>
      </c>
      <c r="B76" s="1325" t="str">
        <f>估价对象房地状况!C21</f>
        <v>较好</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2060</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2057</v>
      </c>
      <c r="B78" s="2133" t="s">
        <v>2058</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2061</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2068</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2069</v>
      </c>
      <c r="B81" s="2124" t="e">
        <f>1+E83</f>
        <v>#VALUE!</v>
      </c>
      <c r="C81" s="740"/>
      <c r="D81" s="740"/>
      <c r="E81" s="741"/>
      <c r="F81" s="2126"/>
      <c r="G81" s="3"/>
      <c r="H81" s="3"/>
      <c r="I81" s="3"/>
      <c r="J81" s="4"/>
      <c r="K81" s="4"/>
      <c r="L81" s="4"/>
      <c r="M81" s="4"/>
      <c r="N81" s="4"/>
      <c r="Z81" s="1995"/>
      <c r="AA81" s="2050"/>
      <c r="AG81" s="1120"/>
      <c r="AK81" s="2050"/>
    </row>
    <row r="82" spans="1:37" ht="24.75">
      <c r="A82" s="2127" t="s">
        <v>2044</v>
      </c>
      <c r="B82" s="1350"/>
      <c r="C82" s="1350" t="s">
        <v>2046</v>
      </c>
      <c r="D82" s="1350" t="s">
        <v>2047</v>
      </c>
      <c r="E82" s="742" t="s">
        <v>2048</v>
      </c>
      <c r="F82" s="2128" t="s">
        <v>2063</v>
      </c>
      <c r="G82" s="1350" t="s">
        <v>310</v>
      </c>
      <c r="H82" s="2129" t="s">
        <v>2050</v>
      </c>
      <c r="I82" s="1350" t="s">
        <v>2051</v>
      </c>
      <c r="J82" s="552" t="s">
        <v>1721</v>
      </c>
      <c r="K82" s="552" t="s">
        <v>1722</v>
      </c>
      <c r="L82" s="552" t="s">
        <v>1723</v>
      </c>
      <c r="M82" s="552" t="s">
        <v>1724</v>
      </c>
      <c r="N82" s="552" t="s">
        <v>1725</v>
      </c>
      <c r="Z82" s="1995"/>
      <c r="AA82" s="2050"/>
      <c r="AG82" s="1120"/>
      <c r="AK82" s="2050"/>
    </row>
    <row r="83" spans="1:37" ht="24">
      <c r="A83" s="2127" t="s">
        <v>2070</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2053</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3265</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2067</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2059</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2060</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2057</v>
      </c>
      <c r="B89" s="2133" t="s">
        <v>2071</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2072</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2605</v>
      </c>
      <c r="B91" s="3374" t="e">
        <f>1+E93</f>
        <v>#VALUE!</v>
      </c>
      <c r="C91" s="3367"/>
      <c r="D91" s="3368"/>
      <c r="E91" s="1813"/>
      <c r="F91" s="1813"/>
      <c r="G91" s="3369"/>
      <c r="H91" s="3370"/>
      <c r="I91" s="3371"/>
      <c r="J91" s="3372"/>
      <c r="K91" s="3372"/>
      <c r="L91" s="3372"/>
      <c r="M91" s="3372"/>
      <c r="N91" s="3372"/>
    </row>
    <row r="92" spans="1:37" ht="24.75">
      <c r="A92" s="3375" t="s">
        <v>3266</v>
      </c>
      <c r="B92" s="3362"/>
      <c r="C92" s="3362" t="s">
        <v>3275</v>
      </c>
      <c r="D92" s="3362" t="s">
        <v>3276</v>
      </c>
      <c r="E92" s="3344" t="s">
        <v>3277</v>
      </c>
      <c r="F92" s="3377" t="s">
        <v>3278</v>
      </c>
      <c r="G92" s="3362" t="s">
        <v>3279</v>
      </c>
      <c r="H92" s="3384" t="s">
        <v>3282</v>
      </c>
      <c r="I92" s="3362" t="s">
        <v>3283</v>
      </c>
      <c r="J92" s="3385" t="s">
        <v>3284</v>
      </c>
      <c r="K92" s="3385" t="s">
        <v>3285</v>
      </c>
      <c r="L92" s="3385" t="s">
        <v>3286</v>
      </c>
      <c r="M92" s="3385" t="s">
        <v>3287</v>
      </c>
      <c r="N92" s="3385" t="s">
        <v>3288</v>
      </c>
    </row>
    <row r="93" spans="1:37" ht="24">
      <c r="A93" s="3365" t="s">
        <v>3267</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3268</v>
      </c>
      <c r="B94" s="3366" t="str">
        <f>估价对象房地状况!C18</f>
        <v>较好</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3264</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3269</v>
      </c>
      <c r="B96" s="3381" t="s">
        <v>3280</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3270</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3271</v>
      </c>
      <c r="B98" s="3382" t="s">
        <v>3281</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3272</v>
      </c>
      <c r="B99" s="3366" t="str">
        <f>估价对象房地状况!C21</f>
        <v>较好</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3273</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3274</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682" t="s">
        <v>3289</v>
      </c>
      <c r="B103" s="3682"/>
      <c r="C103" s="3682"/>
      <c r="D103" s="3682"/>
      <c r="E103" s="3682"/>
      <c r="F103" s="3682"/>
      <c r="G103" s="3682"/>
      <c r="H103" s="3682"/>
      <c r="I103" s="3682"/>
      <c r="J103" s="3682"/>
      <c r="K103" s="3386"/>
      <c r="L103" s="3386"/>
      <c r="M103" s="3386"/>
      <c r="N103" s="3386"/>
    </row>
    <row r="104" spans="1:14">
      <c r="A104" s="3683" t="s">
        <v>3290</v>
      </c>
      <c r="B104" s="3683" t="s">
        <v>3291</v>
      </c>
      <c r="C104" s="3387" t="s">
        <v>3292</v>
      </c>
      <c r="D104" s="3388"/>
      <c r="E104" s="3388"/>
      <c r="F104" s="3388"/>
      <c r="G104" s="3388"/>
      <c r="H104" s="3388"/>
      <c r="I104" s="3388"/>
      <c r="J104" s="3389"/>
      <c r="K104" s="3390"/>
      <c r="L104" s="3390"/>
      <c r="M104" s="3390"/>
      <c r="N104" s="3390"/>
    </row>
    <row r="105" spans="1:14">
      <c r="A105" s="3683"/>
      <c r="B105" s="3683"/>
      <c r="C105" s="3391" t="s">
        <v>3293</v>
      </c>
      <c r="D105" s="3391" t="s">
        <v>3294</v>
      </c>
      <c r="E105" s="3391" t="s">
        <v>3295</v>
      </c>
      <c r="F105" s="3391" t="s">
        <v>3296</v>
      </c>
      <c r="G105" s="3391" t="s">
        <v>3297</v>
      </c>
      <c r="H105" s="3391" t="s">
        <v>3298</v>
      </c>
      <c r="I105" s="3391" t="s">
        <v>3299</v>
      </c>
      <c r="J105" s="3391" t="s">
        <v>3300</v>
      </c>
      <c r="K105" s="3391" t="s">
        <v>3301</v>
      </c>
      <c r="L105" s="3391" t="s">
        <v>3302</v>
      </c>
      <c r="M105" s="3391" t="s">
        <v>3303</v>
      </c>
      <c r="N105" s="3391" t="s">
        <v>3304</v>
      </c>
    </row>
    <row r="106" spans="1:14">
      <c r="A106" s="3669" t="s">
        <v>3305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7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7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7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7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70"/>
      <c r="B111" s="3391" t="s">
        <v>3263</v>
      </c>
      <c r="C111" s="3392">
        <f>$I$3</f>
        <v>1</v>
      </c>
      <c r="D111" s="3392">
        <f t="shared" ref="D111:M111" si="37">$I$3</f>
        <v>1</v>
      </c>
      <c r="E111" s="3392">
        <f t="shared" si="37"/>
        <v>1</v>
      </c>
      <c r="F111" s="3392">
        <f t="shared" si="37"/>
        <v>1</v>
      </c>
      <c r="G111" s="3392">
        <f t="shared" si="37"/>
        <v>1</v>
      </c>
      <c r="H111" s="3392">
        <f t="shared" si="37"/>
        <v>1</v>
      </c>
      <c r="I111" s="3392">
        <f t="shared" si="37"/>
        <v>1</v>
      </c>
      <c r="J111" s="3392">
        <f t="shared" si="37"/>
        <v>1</v>
      </c>
      <c r="K111" s="3392">
        <f t="shared" si="37"/>
        <v>1</v>
      </c>
      <c r="L111" s="3392">
        <f t="shared" si="37"/>
        <v>1</v>
      </c>
      <c r="M111" s="3392">
        <f t="shared" si="37"/>
        <v>1</v>
      </c>
      <c r="N111" s="3392">
        <f>$I$3</f>
        <v>1</v>
      </c>
    </row>
    <row r="112" spans="1:14">
      <c r="A112" s="3671"/>
      <c r="B112" s="3391">
        <v>6</v>
      </c>
      <c r="C112" s="3384">
        <f>(-0.5556*(C111^2)-0.2719*C111+8944)*(10^(-4))</f>
        <v>0.89431725000000006</v>
      </c>
      <c r="D112" s="3384">
        <f>(-0.5556*(D111^2)-0.2719*D111+8944)*(10^(-4))</f>
        <v>0.89431725000000006</v>
      </c>
      <c r="E112" s="3384">
        <f>(-0.7912*(E111^2)-11.3794*E111+8482)*(10^(-4))</f>
        <v>0.84698294000000007</v>
      </c>
      <c r="F112" s="3384">
        <f t="shared" ref="F112:I112" si="38">(-0.7912*(F111^2)-11.3794*F111+8482)*(10^(-4))</f>
        <v>0.84698294000000007</v>
      </c>
      <c r="G112" s="3384">
        <f t="shared" si="38"/>
        <v>0.84698294000000007</v>
      </c>
      <c r="H112" s="3384">
        <f t="shared" si="38"/>
        <v>0.84698294000000007</v>
      </c>
      <c r="I112" s="3384">
        <f t="shared" si="38"/>
        <v>0.84698294000000007</v>
      </c>
      <c r="J112" s="3384">
        <f>(-0.989*(J111^2)-63.78*J111+7771)*(10^(-4))</f>
        <v>0.77062310000000001</v>
      </c>
      <c r="K112" s="3384">
        <f t="shared" ref="K112:N112" si="39">(-0.989*(K111^2)-63.78*K111+7771)*(10^(-4))</f>
        <v>0.77062310000000001</v>
      </c>
      <c r="L112" s="3384">
        <f t="shared" si="39"/>
        <v>0.77062310000000001</v>
      </c>
      <c r="M112" s="3384">
        <f t="shared" si="39"/>
        <v>0.77062310000000001</v>
      </c>
      <c r="N112" s="3384">
        <f t="shared" si="39"/>
        <v>0.77062310000000001</v>
      </c>
    </row>
    <row r="113" spans="1:14">
      <c r="A113" s="3672" t="s">
        <v>3306</v>
      </c>
      <c r="B113" s="3672"/>
      <c r="C113" s="3672"/>
      <c r="D113" s="3672"/>
      <c r="E113" s="3672"/>
      <c r="F113" s="3672"/>
      <c r="G113" s="3672"/>
      <c r="H113" s="3672"/>
      <c r="I113" s="3672"/>
      <c r="J113" s="367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3307</v>
      </c>
      <c r="B116" s="3412">
        <f>G3</f>
        <v>2.5</v>
      </c>
      <c r="C116" s="3396" t="s">
        <v>3308</v>
      </c>
      <c r="D116" s="3397">
        <f>SUMPRODUCT((A118:A122=F116)*(B117:M117=H116)*B118:M122)</f>
        <v>0.91400000000000003</v>
      </c>
      <c r="E116" s="1997" t="s">
        <v>3309</v>
      </c>
      <c r="F116" s="3398" t="str">
        <f>E2</f>
        <v>商业</v>
      </c>
      <c r="G116" s="1997" t="s">
        <v>3310</v>
      </c>
      <c r="H116" s="3398" t="str">
        <f>G2</f>
        <v>三级</v>
      </c>
      <c r="I116" s="1997"/>
      <c r="J116" s="3399"/>
      <c r="K116" s="3399"/>
      <c r="L116" s="3399"/>
      <c r="M116" s="3399"/>
      <c r="N116" s="3394"/>
    </row>
    <row r="117" spans="1:14">
      <c r="A117" s="3400"/>
      <c r="B117" s="3401" t="s">
        <v>3311</v>
      </c>
      <c r="C117" s="3401" t="s">
        <v>3312</v>
      </c>
      <c r="D117" s="3401" t="s">
        <v>3313</v>
      </c>
      <c r="E117" s="3402" t="s">
        <v>3314</v>
      </c>
      <c r="F117" s="3402" t="s">
        <v>3315</v>
      </c>
      <c r="G117" s="3402" t="s">
        <v>3316</v>
      </c>
      <c r="H117" s="3403" t="s">
        <v>3317</v>
      </c>
      <c r="I117" s="3403" t="s">
        <v>3318</v>
      </c>
      <c r="J117" s="3404" t="s">
        <v>3319</v>
      </c>
      <c r="K117" s="3404" t="s">
        <v>3320</v>
      </c>
      <c r="L117" s="3404" t="s">
        <v>3321</v>
      </c>
      <c r="M117" s="3405" t="s">
        <v>3322</v>
      </c>
      <c r="N117" s="3394"/>
    </row>
    <row r="118" spans="1:14">
      <c r="A118" s="3406" t="s">
        <v>3323</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40">I118</f>
        <v>0.80359999999999998</v>
      </c>
      <c r="K118" s="3384">
        <f t="shared" si="40"/>
        <v>0.80359999999999998</v>
      </c>
      <c r="L118" s="3384">
        <f t="shared" si="40"/>
        <v>0.80359999999999998</v>
      </c>
      <c r="M118" s="3407">
        <f t="shared" si="40"/>
        <v>0.80359999999999998</v>
      </c>
      <c r="N118" s="3394"/>
    </row>
    <row r="119" spans="1:14">
      <c r="A119" s="3406" t="s">
        <v>3324</v>
      </c>
      <c r="B119" s="3384">
        <f>ROUND(0.993-0.0112*B116,4)</f>
        <v>0.96499999999999997</v>
      </c>
      <c r="C119" s="3384">
        <f>B119</f>
        <v>0.96499999999999997</v>
      </c>
      <c r="D119" s="3384">
        <f>ROUND(0.9415-0.0142*B116,4)</f>
        <v>0.90600000000000003</v>
      </c>
      <c r="E119" s="3384">
        <f t="shared" ref="E119:H120" si="41">D119</f>
        <v>0.90600000000000003</v>
      </c>
      <c r="F119" s="3384">
        <f t="shared" si="41"/>
        <v>0.90600000000000003</v>
      </c>
      <c r="G119" s="3384">
        <f t="shared" si="41"/>
        <v>0.90600000000000003</v>
      </c>
      <c r="H119" s="3384">
        <f t="shared" si="41"/>
        <v>0.90600000000000003</v>
      </c>
      <c r="I119" s="3384">
        <f>ROUND(0.838-0.0182*B116,4)</f>
        <v>0.79249999999999998</v>
      </c>
      <c r="J119" s="3384">
        <f t="shared" si="40"/>
        <v>0.79249999999999998</v>
      </c>
      <c r="K119" s="3384">
        <f t="shared" si="40"/>
        <v>0.79249999999999998</v>
      </c>
      <c r="L119" s="3384">
        <f t="shared" si="40"/>
        <v>0.79249999999999998</v>
      </c>
      <c r="M119" s="3407">
        <f t="shared" si="40"/>
        <v>0.79249999999999998</v>
      </c>
      <c r="N119" s="3394"/>
    </row>
    <row r="120" spans="1:14">
      <c r="A120" s="3406" t="s">
        <v>3325</v>
      </c>
      <c r="B120" s="3384">
        <f>ROUND(0.9448-0.0115*B116,4)</f>
        <v>0.91610000000000003</v>
      </c>
      <c r="C120" s="3384">
        <f>B120</f>
        <v>0.91610000000000003</v>
      </c>
      <c r="D120" s="3384">
        <f>ROUND(0.937-0.0145*B116,4)</f>
        <v>0.90080000000000005</v>
      </c>
      <c r="E120" s="3384">
        <f t="shared" si="41"/>
        <v>0.90080000000000005</v>
      </c>
      <c r="F120" s="3384">
        <f t="shared" si="41"/>
        <v>0.90080000000000005</v>
      </c>
      <c r="G120" s="3384">
        <f t="shared" si="41"/>
        <v>0.90080000000000005</v>
      </c>
      <c r="H120" s="3384">
        <f t="shared" si="41"/>
        <v>0.90080000000000005</v>
      </c>
      <c r="I120" s="3384">
        <f>ROUND(0.7965-0.0185*B116,4)</f>
        <v>0.75029999999999997</v>
      </c>
      <c r="J120" s="3384">
        <f t="shared" si="40"/>
        <v>0.75029999999999997</v>
      </c>
      <c r="K120" s="3384">
        <f t="shared" si="40"/>
        <v>0.75029999999999997</v>
      </c>
      <c r="L120" s="3384">
        <f t="shared" si="40"/>
        <v>0.75029999999999997</v>
      </c>
      <c r="M120" s="3407">
        <f t="shared" si="40"/>
        <v>0.75029999999999997</v>
      </c>
      <c r="N120" s="3394"/>
    </row>
    <row r="121" spans="1:14" ht="13.5" thickBot="1">
      <c r="A121" s="3408" t="s">
        <v>3326</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40"/>
        <v>0.54300000000000004</v>
      </c>
      <c r="K121" s="3409">
        <f t="shared" si="40"/>
        <v>0.54300000000000004</v>
      </c>
      <c r="L121" s="3409">
        <f t="shared" si="40"/>
        <v>0.54300000000000004</v>
      </c>
      <c r="M121" s="3410">
        <f t="shared" si="40"/>
        <v>0.54300000000000004</v>
      </c>
      <c r="N121" s="3394"/>
    </row>
    <row r="122" spans="1:14">
      <c r="A122" s="3411" t="s">
        <v>2605</v>
      </c>
      <c r="B122" s="3384">
        <f>ROUND(0.9404-0.0106*B116,4)</f>
        <v>0.91390000000000005</v>
      </c>
      <c r="C122" s="3384">
        <f>B122</f>
        <v>0.91390000000000005</v>
      </c>
      <c r="D122" s="3384">
        <f>ROUND(0.8955-0.0135*B116,4)</f>
        <v>0.86180000000000001</v>
      </c>
      <c r="E122" s="3384">
        <f t="shared" ref="E122:H122" si="42">D122</f>
        <v>0.86180000000000001</v>
      </c>
      <c r="F122" s="3384">
        <f t="shared" si="42"/>
        <v>0.86180000000000001</v>
      </c>
      <c r="G122" s="3384">
        <f t="shared" si="42"/>
        <v>0.86180000000000001</v>
      </c>
      <c r="H122" s="3384">
        <f t="shared" si="42"/>
        <v>0.86180000000000001</v>
      </c>
      <c r="I122" s="3384">
        <f>ROUND(0.7632-0.0166*B116,4)</f>
        <v>0.72170000000000001</v>
      </c>
      <c r="J122" s="3384">
        <f t="shared" si="40"/>
        <v>0.72170000000000001</v>
      </c>
      <c r="K122" s="3384">
        <f t="shared" si="40"/>
        <v>0.72170000000000001</v>
      </c>
      <c r="L122" s="3384">
        <f t="shared" si="40"/>
        <v>0.72170000000000001</v>
      </c>
      <c r="M122" s="3407">
        <f t="shared" si="40"/>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88" t="s">
        <v>694</v>
      </c>
      <c r="C6" s="1073">
        <f ca="1">ROUND(F6*F8*F7*(1-F9),0)</f>
        <v>0</v>
      </c>
      <c r="D6" s="155" t="s">
        <v>2106</v>
      </c>
      <c r="E6" s="302" t="s">
        <v>696</v>
      </c>
      <c r="F6" s="303">
        <f ca="1">INDIRECT("'数据-取费表'!u"&amp;$G$1)</f>
        <v>0</v>
      </c>
      <c r="G6" s="1383"/>
      <c r="H6" s="1068" t="s">
        <v>398</v>
      </c>
      <c r="I6" s="3688" t="s">
        <v>694</v>
      </c>
      <c r="J6" s="301">
        <f ca="1">ROUND(M6*M8*M7*(1-M9),0)</f>
        <v>0</v>
      </c>
      <c r="K6" s="1375" t="s">
        <v>2107</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0</v>
      </c>
      <c r="G7" s="1383"/>
      <c r="H7" s="304"/>
      <c r="I7" s="3689"/>
      <c r="J7" s="306"/>
      <c r="K7" s="307"/>
      <c r="L7" s="302" t="s">
        <v>697</v>
      </c>
      <c r="M7" s="303">
        <f ca="1">F7</f>
        <v>0</v>
      </c>
    </row>
    <row r="8" spans="1:37" ht="18" customHeight="1">
      <c r="A8" s="304"/>
      <c r="B8" s="3689"/>
      <c r="C8" s="306"/>
      <c r="D8" s="307"/>
      <c r="E8" s="302" t="s">
        <v>698</v>
      </c>
      <c r="F8" s="303">
        <f ca="1">INDIRECT("'数据-取费表'!ai"&amp;$G$1)</f>
        <v>0</v>
      </c>
      <c r="G8" s="1383"/>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3"/>
      <c r="H9" s="304"/>
      <c r="I9" s="369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3409</v>
      </c>
      <c r="G10" s="1383"/>
      <c r="H10" s="1068" t="s">
        <v>402</v>
      </c>
      <c r="I10" s="1364" t="s">
        <v>700</v>
      </c>
      <c r="J10" s="301">
        <f ca="1">ROUND(IF(M10="押一",J6/12*M11,IF(M10="押二",J6/12*2*M11,IF(M10="押三",J6/12*3*M11,J11*M11))),0)</f>
        <v>0</v>
      </c>
      <c r="K10" s="1376" t="s">
        <v>2118</v>
      </c>
      <c r="L10" s="313" t="s">
        <v>701</v>
      </c>
      <c r="M10" s="1115" t="s">
        <v>3409</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150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4" t="s">
        <v>2299</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0</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t="e">
        <f ca="1">ROUND((C68-C40)/10000,4)</f>
        <v>#DIV/0!</v>
      </c>
      <c r="D45" s="3428"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1998</v>
      </c>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0.58299999999999996</v>
      </c>
      <c r="R50" s="1419"/>
    </row>
    <row r="51" spans="1:18" s="1383" customFormat="1" ht="13.5" thickBot="1">
      <c r="A51" s="976"/>
      <c r="B51" s="978"/>
      <c r="C51" s="979"/>
      <c r="D51" s="952"/>
      <c r="E51" s="980" t="s">
        <v>698</v>
      </c>
      <c r="F51" s="303">
        <f ca="1">F8</f>
        <v>0</v>
      </c>
      <c r="I51" s="1431" t="s">
        <v>829</v>
      </c>
      <c r="J51" s="1432">
        <f>IF(J49="",J50,J49+J50-YEAR('数据-取费表'!B2))</f>
        <v>35</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5">
        <f ca="1">IF(M47="住宅",IF(D1="——",MAX(J51,L48),MAX(J51,L48-'数据-取费表'!B24)),IF(D1="——",MIN(J51,L48),MIN(J51,L48-'数据-取费表'!B24)))</f>
        <v>0</v>
      </c>
      <c r="K53" s="3691" t="s">
        <v>837</v>
      </c>
      <c r="L53" s="3692"/>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0.58299999999999996</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t="s">
        <v>3377</v>
      </c>
      <c r="K56" s="1420" t="s">
        <v>843</v>
      </c>
      <c r="L56" s="1423" t="str">
        <f ca="1">IF(L48&lt;J51,"——",L48-J51)</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35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0</v>
      </c>
      <c r="D58" s="959" t="s">
        <v>715</v>
      </c>
      <c r="E58" s="960"/>
      <c r="F58" s="961"/>
      <c r="I58" s="1454" t="s">
        <v>848</v>
      </c>
      <c r="J58" s="1456">
        <f ca="1">IF(J55&lt;0.4,0.4,J55)</f>
        <v>0.58299999999999996</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2428</v>
      </c>
      <c r="B1" s="2828"/>
      <c r="C1" s="2840"/>
      <c r="D1" s="2840"/>
      <c r="E1" s="2829"/>
      <c r="F1" s="2830"/>
      <c r="G1" s="2831"/>
      <c r="J1" s="2834" t="s">
        <v>2307</v>
      </c>
      <c r="K1" s="2835"/>
      <c r="L1" s="2835"/>
      <c r="M1" s="2835"/>
      <c r="N1" s="2835"/>
      <c r="O1" s="2835"/>
      <c r="P1" s="2835"/>
      <c r="Q1" s="2835"/>
      <c r="R1" s="2836"/>
      <c r="S1" s="2837"/>
      <c r="T1" s="2837"/>
      <c r="U1" s="2837"/>
    </row>
    <row r="2" spans="1:22" s="2849" customFormat="1" ht="13.15" customHeight="1">
      <c r="A2" s="1384" t="s">
        <v>2308</v>
      </c>
      <c r="B2" s="2839" t="e">
        <f>IF(D2="——",C40,C40+E2)</f>
        <v>#DIV/0!</v>
      </c>
      <c r="C2" s="2840" t="s">
        <v>2309</v>
      </c>
      <c r="D2" s="3439" t="s">
        <v>3353</v>
      </c>
      <c r="E2" s="3440"/>
      <c r="F2" s="2842"/>
      <c r="G2" s="2843"/>
      <c r="H2" s="2844"/>
      <c r="I2" s="2845"/>
      <c r="J2" s="3699" t="s">
        <v>2310</v>
      </c>
      <c r="K2" s="3700"/>
      <c r="L2" s="2846" t="s">
        <v>2311</v>
      </c>
      <c r="M2" s="2846" t="s">
        <v>2312</v>
      </c>
      <c r="N2" s="2846" t="s">
        <v>2313</v>
      </c>
      <c r="O2" s="2846" t="s">
        <v>2314</v>
      </c>
      <c r="P2" s="2846" t="s">
        <v>2315</v>
      </c>
      <c r="Q2" s="2847" t="s">
        <v>2316</v>
      </c>
      <c r="R2" s="2848" t="s">
        <v>2317</v>
      </c>
      <c r="S2" s="2837"/>
      <c r="T2" s="2837"/>
      <c r="U2" s="2837"/>
      <c r="V2" s="2845"/>
    </row>
    <row r="3" spans="1:22" s="2849" customFormat="1" ht="13.15" customHeight="1">
      <c r="A3" s="2850" t="s">
        <v>2318</v>
      </c>
      <c r="B3" s="2851" t="e">
        <f>ROUND(B2*10000/B4,0)</f>
        <v>#DIV/0!</v>
      </c>
      <c r="C3" s="2840" t="s">
        <v>2319</v>
      </c>
      <c r="D3" s="2840"/>
      <c r="E3" s="2841"/>
      <c r="F3" s="2842"/>
      <c r="G3" s="2843"/>
      <c r="H3" s="2844"/>
      <c r="I3" s="2845"/>
      <c r="J3" s="3701" t="s">
        <v>2320</v>
      </c>
      <c r="K3" s="3702"/>
      <c r="L3" s="2852"/>
      <c r="M3" s="2852"/>
      <c r="N3" s="2852"/>
      <c r="O3" s="2852"/>
      <c r="P3" s="2852"/>
      <c r="Q3" s="2853"/>
      <c r="R3" s="2854">
        <f>SUM(L3:Q3)</f>
        <v>0</v>
      </c>
      <c r="S3" s="2837"/>
      <c r="T3" s="2837"/>
      <c r="U3" s="2837"/>
      <c r="V3" s="2845"/>
    </row>
    <row r="4" spans="1:22" s="2849" customFormat="1" ht="13.15" customHeight="1">
      <c r="A4" s="2855" t="s">
        <v>2321</v>
      </c>
      <c r="B4" s="2856"/>
      <c r="C4" s="2840"/>
      <c r="D4" s="2840"/>
      <c r="E4" s="2841"/>
      <c r="F4" s="2842"/>
      <c r="G4" s="2843"/>
      <c r="H4" s="2844"/>
      <c r="I4" s="2845"/>
      <c r="J4" s="3701" t="s">
        <v>2322</v>
      </c>
      <c r="K4" s="3702"/>
      <c r="L4" s="2857"/>
      <c r="M4" s="2857"/>
      <c r="N4" s="2857"/>
      <c r="O4" s="2857"/>
      <c r="P4" s="2857"/>
      <c r="Q4" s="2858"/>
      <c r="R4" s="2859">
        <f>SUM(L4:Q4)</f>
        <v>0</v>
      </c>
      <c r="S4" s="2837"/>
      <c r="T4" s="2837"/>
      <c r="U4" s="2837"/>
      <c r="V4" s="2845"/>
    </row>
    <row r="5" spans="1:22" s="2849" customFormat="1" ht="13.15" customHeight="1" thickBot="1">
      <c r="A5" s="2860" t="s">
        <v>2323</v>
      </c>
      <c r="B5" s="2861"/>
      <c r="C5" s="2840"/>
      <c r="D5" s="2862"/>
      <c r="E5" s="2842"/>
      <c r="F5" s="2842"/>
      <c r="G5" s="2843"/>
      <c r="H5" s="2844"/>
      <c r="I5" s="2845"/>
      <c r="J5" s="2863" t="s">
        <v>2324</v>
      </c>
      <c r="K5" s="2864"/>
      <c r="L5" s="2864"/>
      <c r="M5" s="2865"/>
      <c r="N5" s="2865"/>
      <c r="O5" s="2865"/>
      <c r="P5" s="2865"/>
      <c r="Q5" s="2865"/>
      <c r="R5" s="2848">
        <f>SUM(R14,R19,R24,R25,R27,R28)</f>
        <v>0</v>
      </c>
      <c r="S5" s="2837"/>
      <c r="T5" s="2837" t="s">
        <v>2325</v>
      </c>
      <c r="U5" s="2837" t="e">
        <f>ROUND(R5*10000/365/R3,1)</f>
        <v>#DIV/0!</v>
      </c>
      <c r="V5" s="2845"/>
    </row>
    <row r="6" spans="1:22" s="2849" customFormat="1" ht="13.15" customHeight="1" thickBot="1">
      <c r="A6" s="3707" t="s">
        <v>2326</v>
      </c>
      <c r="B6" s="3708"/>
      <c r="C6" s="3709"/>
      <c r="D6" s="2866"/>
      <c r="E6" s="2867"/>
      <c r="F6" s="2868"/>
      <c r="G6" s="2869"/>
      <c r="H6" s="2844"/>
      <c r="I6" s="2845"/>
      <c r="J6" s="3693">
        <v>1</v>
      </c>
      <c r="K6" s="3694" t="s">
        <v>2327</v>
      </c>
      <c r="L6" s="2870" t="s">
        <v>2328</v>
      </c>
      <c r="M6" s="2871" t="s">
        <v>2329</v>
      </c>
      <c r="N6" s="2871" t="s">
        <v>2330</v>
      </c>
      <c r="O6" s="2871" t="s">
        <v>2331</v>
      </c>
      <c r="P6" s="2871" t="s">
        <v>2332</v>
      </c>
      <c r="Q6" s="2871" t="s">
        <v>2333</v>
      </c>
      <c r="R6" s="2854" t="s">
        <v>2334</v>
      </c>
      <c r="S6" s="2837"/>
      <c r="T6" s="2837" t="s">
        <v>2335</v>
      </c>
      <c r="U6" s="2837"/>
      <c r="V6" s="2845"/>
    </row>
    <row r="7" spans="1:22" s="2849" customFormat="1" ht="13.15" customHeight="1">
      <c r="A7" s="2872" t="s">
        <v>2336</v>
      </c>
      <c r="B7" s="2873"/>
      <c r="C7" s="2874"/>
      <c r="D7" s="2875">
        <f>SUM(D9,D10,D11,D17,0)</f>
        <v>0</v>
      </c>
      <c r="E7" s="2876" t="e">
        <f>E9+E10+E11+E17</f>
        <v>#DIV/0!</v>
      </c>
      <c r="F7" s="2877"/>
      <c r="G7" s="2878"/>
      <c r="H7" s="2844"/>
      <c r="I7" s="2845"/>
      <c r="J7" s="3693"/>
      <c r="K7" s="3695"/>
      <c r="L7" s="2879" t="s">
        <v>2337</v>
      </c>
      <c r="M7" s="2880"/>
      <c r="N7" s="2856"/>
      <c r="O7" s="2881"/>
      <c r="P7" s="2881"/>
      <c r="Q7" s="2882">
        <v>365</v>
      </c>
      <c r="R7" s="2883">
        <f>ROUND(M7*N7*O7*P7*Q7/10000,0)</f>
        <v>0</v>
      </c>
      <c r="S7" s="2837"/>
      <c r="T7" s="2837" t="s">
        <v>2338</v>
      </c>
      <c r="U7" s="2837"/>
      <c r="V7" s="2845"/>
    </row>
    <row r="8" spans="1:22" s="2849" customFormat="1" ht="13.15" customHeight="1">
      <c r="A8" s="2884" t="s">
        <v>2339</v>
      </c>
      <c r="B8" s="3710" t="s">
        <v>2340</v>
      </c>
      <c r="C8" s="3711"/>
      <c r="D8" s="2885" t="s">
        <v>2341</v>
      </c>
      <c r="E8" s="2886" t="s">
        <v>2342</v>
      </c>
      <c r="F8" s="2887" t="s">
        <v>2343</v>
      </c>
      <c r="G8" s="2888"/>
      <c r="H8" s="2844"/>
      <c r="I8" s="2845"/>
      <c r="J8" s="3693"/>
      <c r="K8" s="3695"/>
      <c r="L8" s="2879" t="s">
        <v>2344</v>
      </c>
      <c r="M8" s="2880"/>
      <c r="N8" s="2856"/>
      <c r="O8" s="2881"/>
      <c r="P8" s="2881"/>
      <c r="Q8" s="2882">
        <v>365</v>
      </c>
      <c r="R8" s="2883">
        <f t="shared" ref="R8:R13" si="0">ROUND(M8*N8*O8*P8*Q8/10000,0)</f>
        <v>0</v>
      </c>
      <c r="S8" s="2837"/>
      <c r="T8" s="2837" t="s">
        <v>2345</v>
      </c>
      <c r="U8" s="2837"/>
      <c r="V8" s="2845"/>
    </row>
    <row r="9" spans="1:22" s="2849" customFormat="1" ht="13.15" customHeight="1">
      <c r="A9" s="2884">
        <v>1</v>
      </c>
      <c r="B9" s="3710" t="s">
        <v>2346</v>
      </c>
      <c r="C9" s="3711"/>
      <c r="D9" s="2885">
        <f>ROUND(D6*E9,0)</f>
        <v>0</v>
      </c>
      <c r="E9" s="2889"/>
      <c r="F9" s="2890" t="s">
        <v>2347</v>
      </c>
      <c r="G9" s="2869"/>
      <c r="H9" s="2844"/>
      <c r="I9" s="2845"/>
      <c r="J9" s="3693"/>
      <c r="K9" s="3695"/>
      <c r="L9" s="2879" t="s">
        <v>2348</v>
      </c>
      <c r="M9" s="2880"/>
      <c r="N9" s="2856"/>
      <c r="O9" s="2881"/>
      <c r="P9" s="2881"/>
      <c r="Q9" s="2882">
        <v>365</v>
      </c>
      <c r="R9" s="2883">
        <f t="shared" si="0"/>
        <v>0</v>
      </c>
      <c r="S9" s="2837"/>
      <c r="T9" s="2837"/>
      <c r="U9" s="2837"/>
      <c r="V9" s="2845"/>
    </row>
    <row r="10" spans="1:22" s="2849" customFormat="1" ht="13.15" customHeight="1">
      <c r="A10" s="2884">
        <v>2</v>
      </c>
      <c r="B10" s="3710" t="s">
        <v>2349</v>
      </c>
      <c r="C10" s="3711"/>
      <c r="D10" s="2885">
        <f>ROUND(D6*E10,0)</f>
        <v>0</v>
      </c>
      <c r="E10" s="2889"/>
      <c r="F10" s="2890" t="s">
        <v>2350</v>
      </c>
      <c r="G10" s="2869"/>
      <c r="H10" s="2844"/>
      <c r="I10" s="2845"/>
      <c r="J10" s="3693"/>
      <c r="K10" s="3695"/>
      <c r="L10" s="2879" t="s">
        <v>2351</v>
      </c>
      <c r="M10" s="2880"/>
      <c r="N10" s="2856"/>
      <c r="O10" s="2881"/>
      <c r="P10" s="2881"/>
      <c r="Q10" s="2882">
        <v>365</v>
      </c>
      <c r="R10" s="2883">
        <f t="shared" si="0"/>
        <v>0</v>
      </c>
      <c r="S10" s="2837"/>
      <c r="T10" s="2837"/>
      <c r="U10" s="2837"/>
      <c r="V10" s="2845"/>
    </row>
    <row r="11" spans="1:22" s="2849" customFormat="1" ht="13.15" customHeight="1">
      <c r="A11" s="2884">
        <v>3</v>
      </c>
      <c r="B11" s="3710" t="s">
        <v>2352</v>
      </c>
      <c r="C11" s="3711"/>
      <c r="D11" s="2885">
        <f>D12+D14+D15+D16</f>
        <v>0</v>
      </c>
      <c r="E11" s="2891" t="e">
        <f>D11/D6</f>
        <v>#DIV/0!</v>
      </c>
      <c r="F11" s="2887"/>
      <c r="G11" s="2888"/>
      <c r="H11" s="2844"/>
      <c r="I11" s="2845"/>
      <c r="J11" s="3693"/>
      <c r="K11" s="3695"/>
      <c r="L11" s="2879" t="s">
        <v>2353</v>
      </c>
      <c r="M11" s="2880"/>
      <c r="N11" s="2856"/>
      <c r="O11" s="2881"/>
      <c r="P11" s="2881"/>
      <c r="Q11" s="2882">
        <v>365</v>
      </c>
      <c r="R11" s="2883">
        <f t="shared" si="0"/>
        <v>0</v>
      </c>
      <c r="S11" s="2837"/>
      <c r="T11" s="2837"/>
      <c r="U11" s="2837"/>
      <c r="V11" s="2845"/>
    </row>
    <row r="12" spans="1:22" s="2849" customFormat="1" ht="13.15" customHeight="1">
      <c r="A12" s="2892" t="s">
        <v>2354</v>
      </c>
      <c r="B12" s="3703" t="s">
        <v>2355</v>
      </c>
      <c r="C12" s="3704"/>
      <c r="D12" s="2893">
        <f>ROUND(D13*1.2%*(1-30%),0)</f>
        <v>0</v>
      </c>
      <c r="E12" s="2894">
        <v>1.2E-2</v>
      </c>
      <c r="F12" s="2887" t="s">
        <v>2356</v>
      </c>
      <c r="G12" s="2888"/>
      <c r="H12" s="2844"/>
      <c r="I12" s="2845"/>
      <c r="J12" s="3693"/>
      <c r="K12" s="3695"/>
      <c r="L12" s="2879" t="s">
        <v>2357</v>
      </c>
      <c r="M12" s="2880"/>
      <c r="N12" s="2856"/>
      <c r="O12" s="2881"/>
      <c r="P12" s="2881"/>
      <c r="Q12" s="2882">
        <v>365</v>
      </c>
      <c r="R12" s="2883">
        <f t="shared" si="0"/>
        <v>0</v>
      </c>
      <c r="S12" s="2837"/>
      <c r="T12" s="2837"/>
      <c r="U12" s="2837"/>
      <c r="V12" s="2845"/>
    </row>
    <row r="13" spans="1:22" s="2849" customFormat="1" ht="13.15" customHeight="1">
      <c r="A13" s="2892"/>
      <c r="B13" s="2895"/>
      <c r="C13" s="2896" t="s">
        <v>2358</v>
      </c>
      <c r="D13" s="2897"/>
      <c r="E13" s="2898"/>
      <c r="F13" s="2887"/>
      <c r="G13" s="2888"/>
      <c r="H13" s="2844"/>
      <c r="I13" s="2845"/>
      <c r="J13" s="3693"/>
      <c r="K13" s="3695"/>
      <c r="L13" s="2879" t="s">
        <v>2359</v>
      </c>
      <c r="M13" s="2880"/>
      <c r="N13" s="2856"/>
      <c r="O13" s="2881"/>
      <c r="P13" s="2881"/>
      <c r="Q13" s="2882">
        <v>365</v>
      </c>
      <c r="R13" s="2883">
        <f t="shared" si="0"/>
        <v>0</v>
      </c>
      <c r="S13" s="2837"/>
      <c r="T13" s="2837"/>
      <c r="U13" s="2837"/>
      <c r="V13" s="2845"/>
    </row>
    <row r="14" spans="1:22" s="2849" customFormat="1" ht="13.15" customHeight="1">
      <c r="A14" s="2892" t="s">
        <v>2360</v>
      </c>
      <c r="B14" s="3703" t="s">
        <v>2361</v>
      </c>
      <c r="C14" s="3704"/>
      <c r="D14" s="2893">
        <f>ROUND(E14*B5/10000,0)</f>
        <v>0</v>
      </c>
      <c r="E14" s="2882"/>
      <c r="F14" s="2887" t="s">
        <v>2362</v>
      </c>
      <c r="G14" s="2888"/>
      <c r="H14" s="2844"/>
      <c r="I14" s="2845"/>
      <c r="J14" s="3693"/>
      <c r="K14" s="3696"/>
      <c r="L14" s="2899" t="s">
        <v>2363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2364</v>
      </c>
      <c r="B15" s="3703" t="s">
        <v>2365</v>
      </c>
      <c r="C15" s="3704"/>
      <c r="D15" s="2893">
        <f>ROUND(D6*E15,0)</f>
        <v>0</v>
      </c>
      <c r="E15" s="2894">
        <v>5.5E-2</v>
      </c>
      <c r="F15" s="2887" t="s">
        <v>2366</v>
      </c>
      <c r="G15" s="2869"/>
      <c r="H15" s="2844"/>
      <c r="I15" s="2845"/>
      <c r="J15" s="3693">
        <v>2</v>
      </c>
      <c r="K15" s="3694" t="s">
        <v>2367</v>
      </c>
      <c r="L15" s="2879" t="s">
        <v>2368</v>
      </c>
      <c r="M15" s="2880" t="s">
        <v>2369</v>
      </c>
      <c r="N15" s="2880" t="s">
        <v>2370</v>
      </c>
      <c r="O15" s="2881" t="s">
        <v>2371</v>
      </c>
      <c r="P15" s="2881" t="s">
        <v>2333</v>
      </c>
      <c r="Q15" s="2856" t="s">
        <v>2372</v>
      </c>
      <c r="R15" s="2903" t="s">
        <v>2334</v>
      </c>
      <c r="S15" s="2837"/>
      <c r="T15" s="2837"/>
      <c r="U15" s="2837"/>
      <c r="V15" s="2845"/>
    </row>
    <row r="16" spans="1:22" s="2849" customFormat="1" ht="13.15" customHeight="1">
      <c r="A16" s="2892" t="s">
        <v>2373</v>
      </c>
      <c r="B16" s="3703" t="s">
        <v>2374</v>
      </c>
      <c r="C16" s="3704"/>
      <c r="D16" s="2904">
        <f>D6*E16</f>
        <v>0</v>
      </c>
      <c r="E16" s="2905"/>
      <c r="F16" s="2890" t="s">
        <v>2375</v>
      </c>
      <c r="G16" s="2869"/>
      <c r="H16" s="2844"/>
      <c r="I16" s="2845"/>
      <c r="J16" s="3693"/>
      <c r="K16" s="3695"/>
      <c r="L16" s="2879" t="s">
        <v>2376</v>
      </c>
      <c r="M16" s="2880"/>
      <c r="N16" s="2880"/>
      <c r="O16" s="2881"/>
      <c r="P16" s="2882">
        <v>365</v>
      </c>
      <c r="Q16" s="2856"/>
      <c r="R16" s="2903">
        <f>ROUND(M16*N16*O16*P16/10000,0)</f>
        <v>0</v>
      </c>
      <c r="S16" s="2837"/>
      <c r="T16" s="2837"/>
      <c r="U16" s="2837"/>
      <c r="V16" s="2845"/>
    </row>
    <row r="17" spans="1:22" s="2849" customFormat="1" ht="13.15" customHeight="1" thickBot="1">
      <c r="A17" s="2906">
        <v>4</v>
      </c>
      <c r="B17" s="3705" t="s">
        <v>2377</v>
      </c>
      <c r="C17" s="3706"/>
      <c r="D17" s="2907">
        <f>ROUND(D6*E17,0)</f>
        <v>0</v>
      </c>
      <c r="E17" s="2908"/>
      <c r="F17" s="2909" t="s">
        <v>2378</v>
      </c>
      <c r="G17" s="2869"/>
      <c r="H17" s="2844"/>
      <c r="I17" s="2845"/>
      <c r="J17" s="3693"/>
      <c r="K17" s="3695"/>
      <c r="L17" s="2879" t="s">
        <v>2379</v>
      </c>
      <c r="M17" s="2880"/>
      <c r="N17" s="2880"/>
      <c r="O17" s="2881"/>
      <c r="P17" s="2882">
        <v>365</v>
      </c>
      <c r="Q17" s="2856"/>
      <c r="R17" s="2903">
        <f>ROUND(M17*N17*O17*P17/10000,0)</f>
        <v>0</v>
      </c>
      <c r="S17" s="2837"/>
      <c r="T17" s="2837"/>
      <c r="U17" s="2837"/>
      <c r="V17" s="2845"/>
    </row>
    <row r="18" spans="1:22" s="2849" customFormat="1" ht="13.15" customHeight="1" thickBot="1">
      <c r="A18" s="2872" t="s">
        <v>2380</v>
      </c>
      <c r="B18" s="2873"/>
      <c r="C18" s="2873"/>
      <c r="D18" s="2910">
        <f>ROUND(D6*E18,0)</f>
        <v>0</v>
      </c>
      <c r="E18" s="2911"/>
      <c r="F18" s="2912" t="s">
        <v>2381</v>
      </c>
      <c r="G18" s="2869"/>
      <c r="H18" s="2844"/>
      <c r="I18" s="2845"/>
      <c r="J18" s="3693"/>
      <c r="K18" s="3695"/>
      <c r="L18" s="2879" t="s">
        <v>2382</v>
      </c>
      <c r="M18" s="2880"/>
      <c r="N18" s="2880"/>
      <c r="O18" s="2881"/>
      <c r="P18" s="2882">
        <v>365</v>
      </c>
      <c r="Q18" s="2856"/>
      <c r="R18" s="2903">
        <f>ROUND(M18*N18*O18*P18/10000,0)</f>
        <v>0</v>
      </c>
      <c r="S18" s="2837"/>
      <c r="T18" s="2837"/>
      <c r="U18" s="2837"/>
      <c r="V18" s="2845"/>
    </row>
    <row r="19" spans="1:22" s="2849" customFormat="1" ht="13.15" customHeight="1" thickBot="1">
      <c r="A19" s="2913" t="s">
        <v>2383</v>
      </c>
      <c r="B19" s="2867"/>
      <c r="C19" s="2867"/>
      <c r="D19" s="2867"/>
      <c r="E19" s="2867"/>
      <c r="F19" s="2868"/>
      <c r="G19" s="2888"/>
      <c r="H19" s="2844"/>
      <c r="I19" s="2845"/>
      <c r="J19" s="3693"/>
      <c r="K19" s="3696"/>
      <c r="L19" s="2899" t="s">
        <v>2363</v>
      </c>
      <c r="M19" s="2900"/>
      <c r="N19" s="2900">
        <f>SUM(N16:N18)</f>
        <v>0</v>
      </c>
      <c r="O19" s="2901"/>
      <c r="P19" s="2914" t="s">
        <v>2427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3">
        <v>3</v>
      </c>
      <c r="K20" s="3694" t="s">
        <v>2384</v>
      </c>
      <c r="L20" s="2879" t="s">
        <v>2385</v>
      </c>
      <c r="M20" s="2880" t="s">
        <v>2386</v>
      </c>
      <c r="N20" s="2917" t="s">
        <v>2387</v>
      </c>
      <c r="O20" s="2881" t="s">
        <v>2388</v>
      </c>
      <c r="P20" s="2882" t="s">
        <v>2389</v>
      </c>
      <c r="Q20" s="2856" t="s">
        <v>2390</v>
      </c>
      <c r="R20" s="2903" t="s">
        <v>2391</v>
      </c>
      <c r="S20" s="2918"/>
      <c r="T20" s="2918"/>
      <c r="U20" s="2918"/>
      <c r="V20" s="2845"/>
    </row>
    <row r="21" spans="1:22" s="2849" customFormat="1" ht="13.15" customHeight="1">
      <c r="A21" s="2872"/>
      <c r="B21" s="2873"/>
      <c r="C21" s="2919" t="s">
        <v>2392</v>
      </c>
      <c r="D21" s="2920" t="s">
        <v>2393</v>
      </c>
      <c r="E21" s="2921" t="s">
        <v>2394</v>
      </c>
      <c r="F21" s="2916"/>
      <c r="G21" s="2888"/>
      <c r="H21" s="2844"/>
      <c r="I21" s="2845"/>
      <c r="J21" s="3693"/>
      <c r="K21" s="3695"/>
      <c r="L21" s="2879" t="s">
        <v>2395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2396</v>
      </c>
      <c r="D22" s="2924" t="s">
        <v>2397</v>
      </c>
      <c r="E22" s="2925" t="s">
        <v>2398</v>
      </c>
      <c r="F22" s="2916"/>
      <c r="G22" s="2926"/>
      <c r="H22" s="2844"/>
      <c r="I22" s="2845"/>
      <c r="J22" s="3693"/>
      <c r="K22" s="3695"/>
      <c r="L22" s="2879" t="s">
        <v>2399</v>
      </c>
      <c r="M22" s="2880"/>
      <c r="N22" s="2880"/>
      <c r="O22" s="2881"/>
      <c r="P22" s="2882">
        <v>365</v>
      </c>
      <c r="Q22" s="2856"/>
      <c r="R22" s="2922">
        <f>ROUND(M22*N22*O22*P22/10000,0)</f>
        <v>0</v>
      </c>
      <c r="S22" s="2918"/>
      <c r="T22" s="2918"/>
      <c r="U22" s="2918"/>
      <c r="V22" s="2845"/>
    </row>
    <row r="23" spans="1:22" s="2849" customFormat="1" ht="13.15" customHeight="1">
      <c r="A23" s="2927">
        <v>1</v>
      </c>
      <c r="B23" s="2928" t="s">
        <v>2400</v>
      </c>
      <c r="C23" s="2929">
        <f>D6</f>
        <v>0</v>
      </c>
      <c r="D23" s="2930">
        <f>C23*(1+D24)</f>
        <v>0</v>
      </c>
      <c r="E23" s="2931">
        <f>D23*(1+E24)</f>
        <v>0</v>
      </c>
      <c r="F23" s="2932"/>
      <c r="G23" s="2933"/>
      <c r="H23" s="2844"/>
      <c r="I23" s="2845"/>
      <c r="J23" s="3693"/>
      <c r="K23" s="3695"/>
      <c r="L23" s="2879" t="s">
        <v>2401</v>
      </c>
      <c r="M23" s="2880"/>
      <c r="N23" s="2880"/>
      <c r="O23" s="2881"/>
      <c r="P23" s="2882">
        <v>365</v>
      </c>
      <c r="Q23" s="2856"/>
      <c r="R23" s="2922">
        <f>ROUND(M23*N23*O23*P23/10000,0)</f>
        <v>0</v>
      </c>
      <c r="S23" s="2837"/>
      <c r="T23" s="2837"/>
      <c r="U23" s="2837"/>
      <c r="V23" s="2845"/>
    </row>
    <row r="24" spans="1:22" s="2849" customFormat="1" ht="13.15" customHeight="1">
      <c r="A24" s="2934"/>
      <c r="B24" s="2935" t="s">
        <v>2402</v>
      </c>
      <c r="C24" s="2936"/>
      <c r="D24" s="2937"/>
      <c r="E24" s="2938"/>
      <c r="F24" s="2939"/>
      <c r="G24" s="2933"/>
      <c r="H24" s="2844"/>
      <c r="I24" s="2845"/>
      <c r="J24" s="3693"/>
      <c r="K24" s="3696"/>
      <c r="L24" s="2899" t="s">
        <v>2363</v>
      </c>
      <c r="M24" s="2900">
        <f>SUM(M21:M23)</f>
        <v>0</v>
      </c>
      <c r="N24" s="2900"/>
      <c r="O24" s="2901"/>
      <c r="P24" s="2914" t="s">
        <v>2427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2403</v>
      </c>
      <c r="L25" s="2942"/>
      <c r="M25" s="2942"/>
      <c r="N25" s="2942"/>
      <c r="O25" s="2942"/>
      <c r="P25" s="2943"/>
      <c r="Q25" s="2944">
        <v>0</v>
      </c>
      <c r="R25" s="2915">
        <f>ROUND(R14*Q25,0)</f>
        <v>0</v>
      </c>
      <c r="S25" s="2837"/>
      <c r="T25" s="2837"/>
      <c r="U25" s="2837"/>
      <c r="V25" s="2945"/>
    </row>
    <row r="26" spans="1:22" s="2946" customFormat="1" ht="13.15" customHeight="1">
      <c r="A26" s="2927">
        <v>2</v>
      </c>
      <c r="B26" s="2928" t="s">
        <v>2404</v>
      </c>
      <c r="C26" s="2929">
        <f>D7</f>
        <v>0</v>
      </c>
      <c r="D26" s="2930">
        <f>D23*D27</f>
        <v>0</v>
      </c>
      <c r="E26" s="2931">
        <f>E23*E27</f>
        <v>0</v>
      </c>
      <c r="F26" s="2932"/>
      <c r="G26" s="2933"/>
      <c r="H26" s="2844"/>
      <c r="I26" s="2845"/>
      <c r="J26" s="3697">
        <v>5</v>
      </c>
      <c r="K26" s="2947" t="s">
        <v>2405</v>
      </c>
      <c r="L26" s="2948"/>
      <c r="M26" s="2949"/>
      <c r="N26" s="2950" t="s">
        <v>2406</v>
      </c>
      <c r="O26" s="2950" t="s">
        <v>2407</v>
      </c>
      <c r="P26" s="2951" t="s">
        <v>2408</v>
      </c>
      <c r="Q26" s="2951" t="s">
        <v>2409</v>
      </c>
      <c r="R26" s="2854" t="s">
        <v>2334</v>
      </c>
      <c r="S26" s="2952"/>
      <c r="T26" s="2952"/>
      <c r="U26" s="2952"/>
      <c r="V26" s="2945"/>
    </row>
    <row r="27" spans="1:22" s="2849" customFormat="1" ht="13.15" customHeight="1">
      <c r="A27" s="2934"/>
      <c r="B27" s="2935" t="s">
        <v>2410</v>
      </c>
      <c r="C27" s="2953" t="e">
        <f>E7</f>
        <v>#DIV/0!</v>
      </c>
      <c r="D27" s="2937"/>
      <c r="E27" s="2938"/>
      <c r="F27" s="2939"/>
      <c r="G27" s="2933"/>
      <c r="H27" s="2954"/>
      <c r="I27" s="2945"/>
      <c r="J27" s="369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2411</v>
      </c>
      <c r="F28" s="2939"/>
      <c r="G28" s="2926"/>
      <c r="H28" s="2954"/>
      <c r="I28" s="2945"/>
      <c r="J28" s="2960">
        <v>6</v>
      </c>
      <c r="K28" s="2961" t="s">
        <v>2412</v>
      </c>
      <c r="L28" s="2962" t="s">
        <v>2413</v>
      </c>
      <c r="M28" s="2963"/>
      <c r="N28" s="2962" t="s">
        <v>2414</v>
      </c>
      <c r="O28" s="2964"/>
      <c r="P28" s="2962" t="s">
        <v>2415</v>
      </c>
      <c r="Q28" s="2965">
        <v>1.4999999999999999E-2</v>
      </c>
      <c r="R28" s="2966"/>
      <c r="S28" s="2918"/>
      <c r="T28" s="2918"/>
      <c r="U28" s="2918"/>
      <c r="V28" s="2945"/>
    </row>
    <row r="29" spans="1:22" s="2946" customFormat="1" ht="13.15" customHeight="1">
      <c r="A29" s="2927">
        <v>3</v>
      </c>
      <c r="B29" s="2928" t="s">
        <v>2416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2417</v>
      </c>
      <c r="K31" s="2835"/>
      <c r="L31" s="2835"/>
      <c r="M31" s="2835"/>
      <c r="N31" s="2835"/>
      <c r="O31" s="2835"/>
      <c r="P31" s="2835"/>
      <c r="Q31" s="2835"/>
      <c r="R31" s="2836"/>
      <c r="S31" s="2918"/>
      <c r="T31" s="2837"/>
      <c r="U31" s="2837"/>
      <c r="V31" s="2945"/>
    </row>
    <row r="32" spans="1:22" s="2946" customFormat="1" ht="13.15" customHeight="1">
      <c r="A32" s="2927">
        <v>4</v>
      </c>
      <c r="B32" s="2928" t="s">
        <v>2418</v>
      </c>
      <c r="C32" s="2929">
        <f>C23-C26-C29</f>
        <v>0</v>
      </c>
      <c r="D32" s="2930">
        <f>D23-D26-D29</f>
        <v>0</v>
      </c>
      <c r="E32" s="2931">
        <f>E23-E26-E29</f>
        <v>0</v>
      </c>
      <c r="F32" s="2932"/>
      <c r="G32" s="2926"/>
      <c r="H32" s="2844"/>
      <c r="I32" s="2845"/>
      <c r="J32" s="3699" t="s">
        <v>2310</v>
      </c>
      <c r="K32" s="3700"/>
      <c r="L32" s="2846" t="s">
        <v>2311</v>
      </c>
      <c r="M32" s="2846" t="s">
        <v>2312</v>
      </c>
      <c r="N32" s="2846" t="s">
        <v>2313</v>
      </c>
      <c r="O32" s="2846" t="s">
        <v>2314</v>
      </c>
      <c r="P32" s="2846" t="s">
        <v>2315</v>
      </c>
      <c r="Q32" s="2847" t="s">
        <v>2316</v>
      </c>
      <c r="R32" s="2969" t="s">
        <v>2317</v>
      </c>
      <c r="S32" s="2918"/>
      <c r="T32" s="2837"/>
      <c r="U32" s="2837"/>
      <c r="V32" s="2945"/>
    </row>
    <row r="33" spans="1:23" s="2849" customFormat="1" ht="13.15" customHeight="1">
      <c r="A33" s="2927"/>
      <c r="B33" s="2928"/>
      <c r="C33" s="2929"/>
      <c r="D33" s="2970"/>
      <c r="E33" s="2971"/>
      <c r="F33" s="2932"/>
      <c r="G33" s="2926"/>
      <c r="H33" s="2954"/>
      <c r="I33" s="2945"/>
      <c r="J33" s="3701" t="s">
        <v>2320</v>
      </c>
      <c r="K33" s="3702"/>
      <c r="L33" s="2852"/>
      <c r="M33" s="2852"/>
      <c r="N33" s="2852"/>
      <c r="O33" s="2852"/>
      <c r="P33" s="2852"/>
      <c r="Q33" s="2853"/>
      <c r="R33" s="2972">
        <f>SUM(L33:Q33)</f>
        <v>0</v>
      </c>
      <c r="S33" s="2918"/>
      <c r="T33" s="2837"/>
      <c r="U33" s="2837"/>
      <c r="V33" s="2845"/>
    </row>
    <row r="34" spans="1:23" s="2849" customFormat="1" ht="13.15" customHeight="1">
      <c r="A34" s="2927">
        <v>5</v>
      </c>
      <c r="B34" s="2928" t="s">
        <v>2419</v>
      </c>
      <c r="C34" s="2973"/>
      <c r="D34" s="2974"/>
      <c r="E34" s="2975"/>
      <c r="F34" s="2932"/>
      <c r="G34" s="2926"/>
      <c r="H34" s="2954"/>
      <c r="I34" s="2945"/>
      <c r="J34" s="3701" t="s">
        <v>2322</v>
      </c>
      <c r="K34" s="370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2420</v>
      </c>
      <c r="C35" s="2977"/>
      <c r="D35" s="2978"/>
      <c r="E35" s="2979"/>
      <c r="F35" s="2932"/>
      <c r="G35" s="2980"/>
      <c r="H35" s="2844"/>
      <c r="I35" s="2945"/>
      <c r="J35" s="2863" t="s">
        <v>2324</v>
      </c>
      <c r="K35" s="2864"/>
      <c r="L35" s="2864"/>
      <c r="M35" s="2865"/>
      <c r="N35" s="2865"/>
      <c r="O35" s="2865"/>
      <c r="P35" s="2865"/>
      <c r="Q35" s="2865"/>
      <c r="R35" s="2981">
        <f>R40+R41+R43</f>
        <v>0</v>
      </c>
      <c r="S35" s="2918"/>
      <c r="T35" s="2837" t="s">
        <v>2325</v>
      </c>
      <c r="U35" s="2837"/>
      <c r="V35" s="2845"/>
    </row>
    <row r="36" spans="1:23" s="2849" customFormat="1" ht="13.15" customHeight="1" thickBot="1">
      <c r="A36" s="2927">
        <v>7</v>
      </c>
      <c r="B36" s="2982" t="s">
        <v>2421</v>
      </c>
      <c r="C36" s="2983"/>
      <c r="D36" s="2984"/>
      <c r="E36" s="2985"/>
      <c r="F36" s="2986">
        <f>C36+D36+E36</f>
        <v>0</v>
      </c>
      <c r="G36" s="2926"/>
      <c r="H36" s="2844"/>
      <c r="I36" s="2845"/>
      <c r="J36" s="3693">
        <v>1</v>
      </c>
      <c r="K36" s="3694" t="s">
        <v>2422</v>
      </c>
      <c r="L36" s="2870"/>
      <c r="M36" s="2871"/>
      <c r="N36" s="2871"/>
      <c r="O36" s="2871"/>
      <c r="P36" s="2871"/>
      <c r="Q36" s="2871"/>
      <c r="R36" s="2854" t="s">
        <v>2334</v>
      </c>
      <c r="S36" s="2918"/>
      <c r="T36" s="2837" t="s">
        <v>2335</v>
      </c>
      <c r="U36" s="2837"/>
      <c r="V36" s="2845"/>
    </row>
    <row r="37" spans="1:23" s="2849" customFormat="1" ht="13.15" customHeight="1">
      <c r="A37" s="2927"/>
      <c r="B37" s="2928"/>
      <c r="C37" s="2928"/>
      <c r="D37" s="2928"/>
      <c r="E37" s="2928"/>
      <c r="F37" s="2932"/>
      <c r="G37" s="2926"/>
      <c r="H37" s="2844"/>
      <c r="I37" s="2845"/>
      <c r="J37" s="3693"/>
      <c r="K37" s="3695"/>
      <c r="L37" s="2879"/>
      <c r="M37" s="2880"/>
      <c r="N37" s="2856"/>
      <c r="O37" s="2881"/>
      <c r="P37" s="2881"/>
      <c r="Q37" s="2882"/>
      <c r="R37" s="2883"/>
      <c r="S37" s="2918"/>
      <c r="T37" s="2837" t="s">
        <v>2338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3"/>
      <c r="K38" s="3695"/>
      <c r="L38" s="2879"/>
      <c r="M38" s="2880"/>
      <c r="N38" s="2856"/>
      <c r="O38" s="2881"/>
      <c r="P38" s="2881"/>
      <c r="Q38" s="2882"/>
      <c r="R38" s="2883"/>
      <c r="S38" s="2918"/>
      <c r="T38" s="2837" t="s">
        <v>2345</v>
      </c>
      <c r="U38" s="2837"/>
      <c r="V38" s="2845"/>
    </row>
    <row r="39" spans="1:23" s="2849" customFormat="1" ht="13.15" customHeight="1">
      <c r="A39" s="2927">
        <v>9</v>
      </c>
      <c r="B39" s="2928" t="s">
        <v>2423</v>
      </c>
      <c r="C39" s="2893" t="e">
        <f>C38</f>
        <v>#DIV/0!</v>
      </c>
      <c r="D39" s="2928">
        <f>D38/(1+D34)^C36</f>
        <v>0</v>
      </c>
      <c r="E39" s="2928">
        <f>E38/(1+E34)^(C36+D36)</f>
        <v>0</v>
      </c>
      <c r="F39" s="2932"/>
      <c r="G39" s="2987"/>
      <c r="H39" s="2844"/>
      <c r="I39" s="2845"/>
      <c r="J39" s="3693"/>
      <c r="K39" s="3695"/>
      <c r="L39" s="2879"/>
      <c r="M39" s="2880"/>
      <c r="N39" s="2856"/>
      <c r="O39" s="2881"/>
      <c r="P39" s="2881"/>
      <c r="Q39" s="2882"/>
      <c r="R39" s="2883"/>
      <c r="S39" s="2918"/>
      <c r="T39" s="2837"/>
      <c r="U39" s="2837"/>
      <c r="V39" s="2845"/>
    </row>
    <row r="40" spans="1:23" s="2849" customFormat="1" ht="13.15" customHeight="1">
      <c r="A40" s="2988">
        <v>10</v>
      </c>
      <c r="B40" s="2928" t="s">
        <v>2424</v>
      </c>
      <c r="C40" s="2989" t="e">
        <f>C39+D39+E39</f>
        <v>#DIV/0!</v>
      </c>
      <c r="D40" s="2990"/>
      <c r="E40" s="2990"/>
      <c r="F40" s="2991"/>
      <c r="G40" s="2926"/>
      <c r="H40" s="2844"/>
      <c r="I40" s="2845"/>
      <c r="J40" s="3693"/>
      <c r="K40" s="3696"/>
      <c r="L40" s="2899" t="s">
        <v>2363</v>
      </c>
      <c r="M40" s="2900"/>
      <c r="N40" s="2900"/>
      <c r="O40" s="2901"/>
      <c r="P40" s="2901"/>
      <c r="Q40" s="2902"/>
      <c r="R40" s="2848">
        <f>SUM(R37:R39)</f>
        <v>0</v>
      </c>
      <c r="S40" s="2918"/>
      <c r="T40" s="2837"/>
      <c r="U40" s="2837"/>
      <c r="V40" s="2845"/>
    </row>
    <row r="41" spans="1:23" s="2849" customFormat="1" ht="13.15" customHeight="1" thickBot="1">
      <c r="A41" s="2992">
        <v>11</v>
      </c>
      <c r="B41" s="2993" t="s">
        <v>2425</v>
      </c>
      <c r="C41" s="2993" t="e">
        <f>ROUND(C40*10000/B4,0)</f>
        <v>#DIV/0!</v>
      </c>
      <c r="D41" s="2994"/>
      <c r="E41" s="2994"/>
      <c r="F41" s="2995"/>
      <c r="G41" s="2996"/>
      <c r="H41" s="2844"/>
      <c r="I41" s="2845"/>
      <c r="J41" s="2940">
        <v>2</v>
      </c>
      <c r="K41" s="2941" t="s">
        <v>2403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7">
        <v>3</v>
      </c>
      <c r="K42" s="2947" t="s">
        <v>2405</v>
      </c>
      <c r="L42" s="2948"/>
      <c r="M42" s="2949"/>
      <c r="N42" s="2950" t="s">
        <v>2406</v>
      </c>
      <c r="O42" s="2950" t="s">
        <v>2407</v>
      </c>
      <c r="P42" s="2951" t="s">
        <v>2408</v>
      </c>
      <c r="Q42" s="2951" t="s">
        <v>2409</v>
      </c>
      <c r="R42" s="2854" t="s">
        <v>2334</v>
      </c>
      <c r="S42" s="2952"/>
      <c r="T42" s="2952"/>
      <c r="U42" s="2837"/>
      <c r="V42" s="2845"/>
    </row>
    <row r="43" spans="1:23" ht="13.15" customHeight="1">
      <c r="A43" s="2849"/>
      <c r="B43" s="2849"/>
      <c r="C43" s="2849"/>
      <c r="D43" s="2849"/>
      <c r="E43" s="2849"/>
      <c r="F43" s="2849"/>
      <c r="I43" s="2832"/>
      <c r="J43" s="369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2412</v>
      </c>
      <c r="L44" s="3000" t="s">
        <v>2413</v>
      </c>
      <c r="M44" s="2963"/>
      <c r="N44" s="3000" t="s">
        <v>2414</v>
      </c>
      <c r="O44" s="2963"/>
      <c r="P44" s="3000" t="s">
        <v>2415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4337</v>
      </c>
      <c r="C2" s="1871" t="s">
        <v>1651</v>
      </c>
      <c r="D2" s="1872" t="s">
        <v>1652</v>
      </c>
      <c r="E2" s="2603">
        <f>SUM(E6:E13)</f>
        <v>1014.0699999999999</v>
      </c>
      <c r="F2" s="2703"/>
      <c r="G2" s="1488"/>
      <c r="H2" s="1488"/>
      <c r="I2" s="1488"/>
      <c r="J2" s="1488"/>
      <c r="K2" s="1488"/>
      <c r="L2" s="1488"/>
      <c r="M2" s="1488"/>
      <c r="N2" s="1488"/>
      <c r="O2" s="1488"/>
      <c r="P2" s="1488"/>
      <c r="Q2" s="1488"/>
      <c r="R2" s="1488"/>
      <c r="S2" s="1488"/>
    </row>
    <row r="3" spans="1:22" ht="15.75">
      <c r="A3" s="1869" t="s">
        <v>686</v>
      </c>
      <c r="B3" s="2597">
        <f ca="1">ROUND(B2*10000/E2,0)</f>
        <v>42768</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12" t="s">
        <v>1654</v>
      </c>
      <c r="C5" s="3713"/>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v>
      </c>
      <c r="B6" s="2598">
        <f ca="1">IF(F6="是",'数据-取费表'!AO6,0)</f>
        <v>4337</v>
      </c>
      <c r="C6" s="1871" t="s">
        <v>1651</v>
      </c>
      <c r="D6" s="2705"/>
      <c r="E6" s="2602">
        <f>IF(OR(A6=0,F6="否"),0,'数据-取费表'!K6+'数据-取费表'!S6)</f>
        <v>1014.0699999999999</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1014.0699999999999</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1666</v>
      </c>
      <c r="B4" s="356"/>
      <c r="C4" s="3732" t="s">
        <v>1667</v>
      </c>
      <c r="D4" s="3733"/>
      <c r="E4" s="3734" t="s">
        <v>1668</v>
      </c>
      <c r="F4" s="3735"/>
      <c r="G4" s="3732" t="s">
        <v>1669</v>
      </c>
      <c r="H4" s="3733"/>
      <c r="I4" s="3732" t="s">
        <v>1670</v>
      </c>
      <c r="J4" s="3733"/>
      <c r="K4" s="1888" t="s">
        <v>1671</v>
      </c>
      <c r="L4" s="2711"/>
      <c r="M4" s="2712"/>
      <c r="N4" s="2712"/>
      <c r="O4" s="2712"/>
      <c r="P4" s="3736" t="s">
        <v>1672</v>
      </c>
      <c r="Q4" s="3737"/>
      <c r="R4" s="3742" t="s">
        <v>1668</v>
      </c>
      <c r="S4" s="3743"/>
      <c r="T4" s="3742" t="s">
        <v>1669</v>
      </c>
      <c r="U4" s="3743"/>
      <c r="V4" s="3748" t="s">
        <v>1670</v>
      </c>
      <c r="W4" s="3748"/>
      <c r="X4" s="1354"/>
      <c r="Y4" s="3742" t="s">
        <v>1672</v>
      </c>
      <c r="Z4" s="3743"/>
      <c r="AA4" s="3729" t="s">
        <v>1668</v>
      </c>
      <c r="AB4" s="3729" t="s">
        <v>1669</v>
      </c>
      <c r="AC4" s="3729" t="s">
        <v>1670</v>
      </c>
    </row>
    <row r="5" spans="1:29" ht="15">
      <c r="A5" s="358"/>
      <c r="B5" s="359"/>
      <c r="C5" s="3751" t="s">
        <v>1673</v>
      </c>
      <c r="D5" s="3752"/>
      <c r="E5" s="3758" t="s">
        <v>1674</v>
      </c>
      <c r="F5" s="3759"/>
      <c r="G5" s="3751" t="s">
        <v>1675</v>
      </c>
      <c r="H5" s="3752"/>
      <c r="I5" s="3751" t="s">
        <v>1676</v>
      </c>
      <c r="J5" s="3752"/>
      <c r="K5" s="1889"/>
      <c r="L5" s="2711"/>
      <c r="M5" s="2712"/>
      <c r="N5" s="2712"/>
      <c r="O5" s="2712"/>
      <c r="P5" s="3738"/>
      <c r="Q5" s="3739"/>
      <c r="R5" s="3744"/>
      <c r="S5" s="3745"/>
      <c r="T5" s="3744"/>
      <c r="U5" s="3745"/>
      <c r="V5" s="3748"/>
      <c r="W5" s="3748"/>
      <c r="X5" s="1354"/>
      <c r="Y5" s="3744"/>
      <c r="Z5" s="3745"/>
      <c r="AA5" s="3730"/>
      <c r="AB5" s="3730"/>
      <c r="AC5" s="3730"/>
    </row>
    <row r="6" spans="1:29" ht="15.75" thickBot="1">
      <c r="A6" s="360"/>
      <c r="B6" s="361"/>
      <c r="C6" s="3749" t="s">
        <v>1677</v>
      </c>
      <c r="D6" s="3750"/>
      <c r="E6" s="3756" t="s">
        <v>1677</v>
      </c>
      <c r="F6" s="3757"/>
      <c r="G6" s="3749" t="s">
        <v>1677</v>
      </c>
      <c r="H6" s="3750"/>
      <c r="I6" s="3749" t="s">
        <v>1677</v>
      </c>
      <c r="J6" s="3750"/>
      <c r="K6" s="1889" t="s">
        <v>1678</v>
      </c>
      <c r="L6" s="2711"/>
      <c r="M6" s="2712"/>
      <c r="N6" s="2712"/>
      <c r="O6" s="2712"/>
      <c r="P6" s="3740"/>
      <c r="Q6" s="3741"/>
      <c r="R6" s="3744"/>
      <c r="S6" s="3745"/>
      <c r="T6" s="3746"/>
      <c r="U6" s="3747"/>
      <c r="V6" s="3748"/>
      <c r="W6" s="3748"/>
      <c r="X6" s="1354"/>
      <c r="Y6" s="3746"/>
      <c r="Z6" s="3747"/>
      <c r="AA6" s="3731"/>
      <c r="AB6" s="3731"/>
      <c r="AC6" s="3731"/>
    </row>
    <row r="7" spans="1:29" s="108" customFormat="1" ht="15.75" thickBot="1">
      <c r="A7" s="362" t="s">
        <v>1679</v>
      </c>
      <c r="B7" s="363"/>
      <c r="C7" s="364">
        <f>'数据-取费表'!B2</f>
        <v>45135</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53" t="s">
        <v>1680</v>
      </c>
      <c r="Q7" s="3755"/>
      <c r="R7" s="700" t="s">
        <v>20</v>
      </c>
      <c r="S7" s="701">
        <f t="shared" ref="S7:S15" si="0">F7</f>
        <v>0</v>
      </c>
      <c r="T7" s="700" t="s">
        <v>20</v>
      </c>
      <c r="U7" s="701">
        <f t="shared" ref="U7:U15" si="1">H7</f>
        <v>0</v>
      </c>
      <c r="V7" s="700" t="s">
        <v>20</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3400</v>
      </c>
      <c r="D8" s="365">
        <v>100</v>
      </c>
      <c r="E8" s="1891" t="s">
        <v>3412</v>
      </c>
      <c r="F8" s="367">
        <f>SUMIF(61:61,E8,62:62)-SUMIF(61:61,C8,62:62)+100</f>
        <v>102</v>
      </c>
      <c r="G8" s="1891" t="s">
        <v>3412</v>
      </c>
      <c r="H8" s="365">
        <f>SUMIF(61:61,G8,62:62)-SUMIF(61:61,C8,62:62)+100</f>
        <v>102</v>
      </c>
      <c r="I8" s="1891" t="s">
        <v>3412</v>
      </c>
      <c r="J8" s="365">
        <f>SUMIF(61:61,I8,62:62)-SUMIF(61:61,C8,62:62)+100</f>
        <v>102</v>
      </c>
      <c r="K8" s="1890"/>
      <c r="L8" s="2713"/>
      <c r="M8" s="2714"/>
      <c r="N8" s="2714"/>
      <c r="O8" s="2714"/>
      <c r="P8" s="3753" t="s">
        <v>1683</v>
      </c>
      <c r="Q8" s="3754"/>
      <c r="R8" s="700" t="s">
        <v>20</v>
      </c>
      <c r="S8" s="701">
        <f t="shared" si="0"/>
        <v>102</v>
      </c>
      <c r="T8" s="700" t="s">
        <v>20</v>
      </c>
      <c r="U8" s="701">
        <f t="shared" si="1"/>
        <v>102</v>
      </c>
      <c r="V8" s="700" t="s">
        <v>20</v>
      </c>
      <c r="W8" s="701">
        <f t="shared" si="2"/>
        <v>102</v>
      </c>
      <c r="X8" s="702"/>
      <c r="Y8" s="3753" t="s">
        <v>1683</v>
      </c>
      <c r="Z8" s="3754"/>
      <c r="AA8" s="703">
        <f t="shared" ref="AA8:AA19" si="3">D8/F8</f>
        <v>0.98039215686274506</v>
      </c>
      <c r="AB8" s="703">
        <f t="shared" ref="AB8:AB19" si="4">D8/H8</f>
        <v>0.98039215686274506</v>
      </c>
      <c r="AC8" s="703">
        <f t="shared" ref="AC8:AC19" si="5">D8/J8</f>
        <v>0.98039215686274506</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8"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8"/>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7"/>
      <c r="M11" s="2712"/>
      <c r="N11" s="2712"/>
      <c r="O11" s="2712"/>
      <c r="P11" s="3728"/>
      <c r="Q11" s="1342" t="str">
        <f t="shared" si="6"/>
        <v>容积率</v>
      </c>
      <c r="R11" s="700" t="s">
        <v>18</v>
      </c>
      <c r="S11" s="701">
        <f t="shared" si="0"/>
        <v>100</v>
      </c>
      <c r="T11" s="700" t="s">
        <v>18</v>
      </c>
      <c r="U11" s="701">
        <f t="shared" si="1"/>
        <v>100</v>
      </c>
      <c r="V11" s="700" t="s">
        <v>18</v>
      </c>
      <c r="W11" s="701">
        <f t="shared" si="2"/>
        <v>100</v>
      </c>
      <c r="X11" s="702"/>
      <c r="Y11" s="3573"/>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28"/>
      <c r="Q12" s="1342">
        <f t="shared" si="6"/>
        <v>111</v>
      </c>
      <c r="R12" s="700" t="s">
        <v>18</v>
      </c>
      <c r="S12" s="701">
        <f t="shared" si="0"/>
        <v>100</v>
      </c>
      <c r="T12" s="700" t="s">
        <v>18</v>
      </c>
      <c r="U12" s="701">
        <f t="shared" si="1"/>
        <v>100</v>
      </c>
      <c r="V12" s="700" t="s">
        <v>18</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28"/>
      <c r="Q13" s="1342">
        <f t="shared" si="6"/>
        <v>111</v>
      </c>
      <c r="R13" s="700" t="s">
        <v>18</v>
      </c>
      <c r="S13" s="701">
        <f t="shared" si="0"/>
        <v>100</v>
      </c>
      <c r="T13" s="700" t="s">
        <v>18</v>
      </c>
      <c r="U13" s="701">
        <f t="shared" si="1"/>
        <v>100</v>
      </c>
      <c r="V13" s="700" t="s">
        <v>18</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28"/>
      <c r="Q14" s="1342">
        <f t="shared" si="6"/>
        <v>111</v>
      </c>
      <c r="R14" s="700" t="s">
        <v>18</v>
      </c>
      <c r="S14" s="701">
        <f t="shared" si="0"/>
        <v>100</v>
      </c>
      <c r="T14" s="700" t="s">
        <v>18</v>
      </c>
      <c r="U14" s="701">
        <f t="shared" si="1"/>
        <v>100</v>
      </c>
      <c r="V14" s="700" t="s">
        <v>18</v>
      </c>
      <c r="W14" s="701">
        <f t="shared" si="2"/>
        <v>100</v>
      </c>
      <c r="X14" s="702"/>
      <c r="Y14" s="3573"/>
      <c r="Z14" s="52">
        <f t="shared" si="7"/>
        <v>111</v>
      </c>
      <c r="AA14" s="703">
        <f t="shared" si="3"/>
        <v>1</v>
      </c>
      <c r="AB14" s="703">
        <f t="shared" si="4"/>
        <v>1</v>
      </c>
      <c r="AC14" s="703">
        <f t="shared" si="5"/>
        <v>1</v>
      </c>
    </row>
    <row r="15" spans="1:29" ht="15">
      <c r="A15" s="391" t="s">
        <v>1690</v>
      </c>
      <c r="B15" s="61" t="s">
        <v>1257</v>
      </c>
      <c r="C15" s="1895"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8"/>
      <c r="M15" s="2712"/>
      <c r="N15" s="2712"/>
      <c r="O15" s="2712"/>
      <c r="P15" s="3726" t="s">
        <v>1691</v>
      </c>
      <c r="Q15" s="1351" t="str">
        <f t="shared" si="6"/>
        <v>居住社区成熟度</v>
      </c>
      <c r="R15" s="704" t="s">
        <v>18</v>
      </c>
      <c r="S15" s="705">
        <f t="shared" si="0"/>
        <v>2</v>
      </c>
      <c r="T15" s="704" t="s">
        <v>18</v>
      </c>
      <c r="U15" s="705">
        <f t="shared" si="1"/>
        <v>2</v>
      </c>
      <c r="V15" s="704" t="s">
        <v>18</v>
      </c>
      <c r="W15" s="705">
        <f t="shared" si="2"/>
        <v>2</v>
      </c>
      <c r="X15" s="1354"/>
      <c r="Y15" s="3719" t="s">
        <v>1691</v>
      </c>
      <c r="Z15" s="1355" t="str">
        <f t="shared" si="7"/>
        <v>居住社区成熟度</v>
      </c>
      <c r="AA15" s="1352">
        <f t="shared" si="3"/>
        <v>50</v>
      </c>
      <c r="AB15" s="1352">
        <f t="shared" si="4"/>
        <v>50</v>
      </c>
      <c r="AC15" s="1352">
        <f t="shared" si="5"/>
        <v>50</v>
      </c>
    </row>
    <row r="16" spans="1:29" ht="15">
      <c r="A16" s="379"/>
      <c r="B16" s="397"/>
      <c r="C16" s="398" t="s">
        <v>3393</v>
      </c>
      <c r="D16" s="399"/>
      <c r="E16" s="1896"/>
      <c r="F16" s="399"/>
      <c r="G16" s="1897"/>
      <c r="H16" s="401"/>
      <c r="I16" s="1897"/>
      <c r="J16" s="399"/>
      <c r="K16" s="1898"/>
      <c r="L16" s="2718"/>
      <c r="M16" s="2712"/>
      <c r="N16" s="2712"/>
      <c r="O16" s="2712"/>
      <c r="P16" s="3727"/>
      <c r="Q16" s="1351"/>
      <c r="R16" s="704"/>
      <c r="S16" s="705"/>
      <c r="T16" s="704"/>
      <c r="U16" s="705"/>
      <c r="V16" s="704"/>
      <c r="W16" s="705"/>
      <c r="X16" s="1354"/>
      <c r="Y16" s="3720"/>
      <c r="Z16" s="1355"/>
      <c r="AA16" s="1352">
        <v>1</v>
      </c>
      <c r="AB16" s="1352">
        <v>1</v>
      </c>
      <c r="AC16" s="1352">
        <v>1</v>
      </c>
    </row>
    <row r="17" spans="1:29" ht="15">
      <c r="A17" s="379"/>
      <c r="B17" s="402" t="s">
        <v>1259</v>
      </c>
      <c r="C17" s="1899"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8"/>
      <c r="M17" s="2712"/>
      <c r="N17" s="2712"/>
      <c r="O17" s="2712"/>
      <c r="P17" s="3727"/>
      <c r="Q17" s="1351" t="str">
        <f>B17</f>
        <v>交通便捷度</v>
      </c>
      <c r="R17" s="704" t="s">
        <v>18</v>
      </c>
      <c r="S17" s="705">
        <f>F17</f>
        <v>2</v>
      </c>
      <c r="T17" s="704" t="s">
        <v>18</v>
      </c>
      <c r="U17" s="705">
        <f>H17</f>
        <v>2</v>
      </c>
      <c r="V17" s="704" t="s">
        <v>18</v>
      </c>
      <c r="W17" s="705">
        <f>J17</f>
        <v>2</v>
      </c>
      <c r="X17" s="1354"/>
      <c r="Y17" s="3720"/>
      <c r="Z17" s="1355" t="str">
        <f>Q17</f>
        <v>交通便捷度</v>
      </c>
      <c r="AA17" s="1352">
        <f t="shared" si="3"/>
        <v>50</v>
      </c>
      <c r="AB17" s="1352">
        <f t="shared" si="4"/>
        <v>50</v>
      </c>
      <c r="AC17" s="1352">
        <f t="shared" si="5"/>
        <v>50</v>
      </c>
    </row>
    <row r="18" spans="1:29" ht="15">
      <c r="A18" s="379"/>
      <c r="B18" s="407"/>
      <c r="C18" s="1900" t="s">
        <v>3393</v>
      </c>
      <c r="D18" s="401"/>
      <c r="E18" s="1901"/>
      <c r="F18" s="401"/>
      <c r="G18" s="1902"/>
      <c r="H18" s="399"/>
      <c r="I18" s="1902"/>
      <c r="J18" s="399"/>
      <c r="K18" s="1898"/>
      <c r="L18" s="2718"/>
      <c r="M18" s="2712"/>
      <c r="N18" s="2712"/>
      <c r="O18" s="2712"/>
      <c r="P18" s="3727"/>
      <c r="Q18" s="1351"/>
      <c r="R18" s="704"/>
      <c r="S18" s="705"/>
      <c r="T18" s="704"/>
      <c r="U18" s="705"/>
      <c r="V18" s="704"/>
      <c r="W18" s="705"/>
      <c r="X18" s="1354"/>
      <c r="Y18" s="3720"/>
      <c r="Z18" s="1355"/>
      <c r="AA18" s="1352">
        <v>1</v>
      </c>
      <c r="AB18" s="1352">
        <v>1</v>
      </c>
      <c r="AC18" s="1352">
        <v>1</v>
      </c>
    </row>
    <row r="19" spans="1:29" ht="15">
      <c r="A19" s="379"/>
      <c r="B19" s="402" t="s">
        <v>1258</v>
      </c>
      <c r="C19" s="1899"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8"/>
      <c r="M19" s="2712"/>
      <c r="N19" s="2712"/>
      <c r="O19" s="2712"/>
      <c r="P19" s="3727"/>
      <c r="Q19" s="1351" t="str">
        <f>B19</f>
        <v>公共配套设施</v>
      </c>
      <c r="R19" s="704" t="s">
        <v>18</v>
      </c>
      <c r="S19" s="705">
        <f>F19</f>
        <v>2</v>
      </c>
      <c r="T19" s="704" t="s">
        <v>18</v>
      </c>
      <c r="U19" s="705">
        <f>H19</f>
        <v>2</v>
      </c>
      <c r="V19" s="704" t="s">
        <v>18</v>
      </c>
      <c r="W19" s="705">
        <f>J19</f>
        <v>2</v>
      </c>
      <c r="X19" s="1354"/>
      <c r="Y19" s="3720"/>
      <c r="Z19" s="1355" t="str">
        <f>Q19</f>
        <v>公共配套设施</v>
      </c>
      <c r="AA19" s="1352">
        <f t="shared" si="3"/>
        <v>50</v>
      </c>
      <c r="AB19" s="1352">
        <f t="shared" si="4"/>
        <v>50</v>
      </c>
      <c r="AC19" s="1352">
        <f t="shared" si="5"/>
        <v>50</v>
      </c>
    </row>
    <row r="20" spans="1:29" ht="15">
      <c r="A20" s="379"/>
      <c r="B20" s="407"/>
      <c r="C20" s="398" t="s">
        <v>3393</v>
      </c>
      <c r="D20" s="399"/>
      <c r="E20" s="1896"/>
      <c r="F20" s="399"/>
      <c r="G20" s="1897"/>
      <c r="H20" s="399"/>
      <c r="I20" s="1897"/>
      <c r="J20" s="399"/>
      <c r="K20" s="1898"/>
      <c r="L20" s="2718"/>
      <c r="M20" s="2712"/>
      <c r="N20" s="2712"/>
      <c r="O20" s="2712"/>
      <c r="P20" s="3727"/>
      <c r="Q20" s="1351"/>
      <c r="R20" s="704"/>
      <c r="S20" s="705"/>
      <c r="T20" s="704"/>
      <c r="U20" s="705"/>
      <c r="V20" s="704"/>
      <c r="W20" s="705"/>
      <c r="X20" s="1354"/>
      <c r="Y20" s="3720"/>
      <c r="Z20" s="1355"/>
      <c r="AA20" s="1352">
        <v>1</v>
      </c>
      <c r="AB20" s="1352">
        <v>1</v>
      </c>
      <c r="AC20" s="1352">
        <v>1</v>
      </c>
    </row>
    <row r="21" spans="1:29" ht="15">
      <c r="A21" s="379"/>
      <c r="B21" s="1130" t="s">
        <v>1260</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8"/>
      <c r="M21" s="2712"/>
      <c r="N21" s="2712"/>
      <c r="O21" s="2712"/>
      <c r="P21" s="3727"/>
      <c r="Q21" s="1351" t="str">
        <f>B21</f>
        <v>基础设施水平</v>
      </c>
      <c r="R21" s="704" t="s">
        <v>14</v>
      </c>
      <c r="S21" s="705">
        <f>F21</f>
        <v>0</v>
      </c>
      <c r="T21" s="704" t="s">
        <v>14</v>
      </c>
      <c r="U21" s="705">
        <f>H21</f>
        <v>0</v>
      </c>
      <c r="V21" s="704" t="s">
        <v>14</v>
      </c>
      <c r="W21" s="705">
        <f>J21</f>
        <v>0</v>
      </c>
      <c r="X21" s="1354"/>
      <c r="Y21" s="3720"/>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3394</v>
      </c>
      <c r="D22" s="399"/>
      <c r="E22" s="398"/>
      <c r="F22" s="399"/>
      <c r="G22" s="1903"/>
      <c r="H22" s="399"/>
      <c r="I22" s="398"/>
      <c r="J22" s="399"/>
      <c r="K22" s="1904"/>
      <c r="L22" s="2718"/>
      <c r="M22" s="2712"/>
      <c r="N22" s="2712"/>
      <c r="O22" s="2712"/>
      <c r="P22" s="3727"/>
      <c r="Q22" s="1351"/>
      <c r="R22" s="704"/>
      <c r="S22" s="705"/>
      <c r="T22" s="704"/>
      <c r="U22" s="705"/>
      <c r="V22" s="704"/>
      <c r="W22" s="705"/>
      <c r="X22" s="1354"/>
      <c r="Y22" s="3720"/>
      <c r="Z22" s="1355"/>
      <c r="AA22" s="1352">
        <v>1</v>
      </c>
      <c r="AB22" s="1352">
        <v>1</v>
      </c>
      <c r="AC22" s="1352">
        <v>1</v>
      </c>
    </row>
    <row r="23" spans="1:29" ht="15">
      <c r="A23" s="379"/>
      <c r="B23" s="402" t="s">
        <v>1261</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8"/>
      <c r="M23" s="2712"/>
      <c r="N23" s="2712"/>
      <c r="O23" s="2712"/>
      <c r="P23" s="3727"/>
      <c r="Q23" s="1351" t="str">
        <f>B23</f>
        <v>自然及人文环境</v>
      </c>
      <c r="R23" s="704" t="s">
        <v>18</v>
      </c>
      <c r="S23" s="705">
        <f>F23</f>
        <v>1</v>
      </c>
      <c r="T23" s="704" t="s">
        <v>18</v>
      </c>
      <c r="U23" s="705">
        <f>H23</f>
        <v>1</v>
      </c>
      <c r="V23" s="704" t="s">
        <v>18</v>
      </c>
      <c r="W23" s="705">
        <f>J23</f>
        <v>1</v>
      </c>
      <c r="X23" s="1354"/>
      <c r="Y23" s="3720"/>
      <c r="Z23" s="1355" t="str">
        <f>Q23</f>
        <v>自然及人文环境</v>
      </c>
      <c r="AA23" s="1352">
        <f>D23/F23</f>
        <v>100</v>
      </c>
      <c r="AB23" s="1352">
        <f>D23/H23</f>
        <v>100</v>
      </c>
      <c r="AC23" s="1352">
        <f>D23/J23</f>
        <v>100</v>
      </c>
    </row>
    <row r="24" spans="1:29" ht="15">
      <c r="A24" s="379"/>
      <c r="B24" s="407"/>
      <c r="C24" s="398" t="s">
        <v>3393</v>
      </c>
      <c r="D24" s="399"/>
      <c r="E24" s="1896"/>
      <c r="F24" s="399"/>
      <c r="G24" s="1897"/>
      <c r="H24" s="399"/>
      <c r="I24" s="1897"/>
      <c r="J24" s="399"/>
      <c r="K24" s="1898"/>
      <c r="L24" s="2718"/>
      <c r="M24" s="2712"/>
      <c r="N24" s="2712"/>
      <c r="O24" s="2712"/>
      <c r="P24" s="3727"/>
      <c r="Q24" s="1351"/>
      <c r="R24" s="704"/>
      <c r="S24" s="705"/>
      <c r="T24" s="704"/>
      <c r="U24" s="705"/>
      <c r="V24" s="704"/>
      <c r="W24" s="705"/>
      <c r="X24" s="1354"/>
      <c r="Y24" s="372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v>2</v>
      </c>
      <c r="L25" s="2718"/>
      <c r="M25" s="2712"/>
      <c r="N25" s="2712"/>
      <c r="O25" s="2712"/>
      <c r="P25" s="372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v>2</v>
      </c>
      <c r="L26" s="2718"/>
      <c r="M26" s="2712"/>
      <c r="N26" s="2712"/>
      <c r="O26" s="2712"/>
      <c r="P26" s="3727"/>
      <c r="Q26" s="1351" t="str">
        <f t="shared" si="11"/>
        <v>朝向</v>
      </c>
      <c r="R26" s="704" t="s">
        <v>18</v>
      </c>
      <c r="S26" s="705">
        <f t="shared" si="12"/>
        <v>100</v>
      </c>
      <c r="T26" s="704" t="s">
        <v>18</v>
      </c>
      <c r="U26" s="705">
        <f t="shared" si="13"/>
        <v>100</v>
      </c>
      <c r="V26" s="704" t="s">
        <v>18</v>
      </c>
      <c r="W26" s="705">
        <f t="shared" si="14"/>
        <v>100</v>
      </c>
      <c r="X26" s="1354"/>
      <c r="Y26" s="372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27"/>
      <c r="Q27" s="1342">
        <f t="shared" si="11"/>
        <v>111</v>
      </c>
      <c r="R27" s="700" t="s">
        <v>18</v>
      </c>
      <c r="S27" s="701">
        <f t="shared" si="12"/>
        <v>100</v>
      </c>
      <c r="T27" s="700" t="s">
        <v>18</v>
      </c>
      <c r="U27" s="701">
        <f t="shared" si="13"/>
        <v>100</v>
      </c>
      <c r="V27" s="700" t="s">
        <v>18</v>
      </c>
      <c r="W27" s="701">
        <f t="shared" si="14"/>
        <v>100</v>
      </c>
      <c r="X27" s="702"/>
      <c r="Y27" s="372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27"/>
      <c r="Q28" s="1351">
        <f t="shared" si="11"/>
        <v>111</v>
      </c>
      <c r="R28" s="704" t="s">
        <v>18</v>
      </c>
      <c r="S28" s="705">
        <f t="shared" si="12"/>
        <v>100</v>
      </c>
      <c r="T28" s="704" t="s">
        <v>18</v>
      </c>
      <c r="U28" s="705">
        <f t="shared" si="13"/>
        <v>100</v>
      </c>
      <c r="V28" s="704" t="s">
        <v>18</v>
      </c>
      <c r="W28" s="705">
        <f t="shared" si="14"/>
        <v>100</v>
      </c>
      <c r="X28" s="1354"/>
      <c r="Y28" s="372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27"/>
      <c r="Q29" s="1351">
        <f t="shared" si="11"/>
        <v>111</v>
      </c>
      <c r="R29" s="704" t="s">
        <v>18</v>
      </c>
      <c r="S29" s="705">
        <f t="shared" si="12"/>
        <v>100</v>
      </c>
      <c r="T29" s="704" t="s">
        <v>18</v>
      </c>
      <c r="U29" s="705">
        <f t="shared" si="13"/>
        <v>100</v>
      </c>
      <c r="V29" s="704" t="s">
        <v>18</v>
      </c>
      <c r="W29" s="705">
        <f t="shared" si="14"/>
        <v>100</v>
      </c>
      <c r="X29" s="1354"/>
      <c r="Y29" s="372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27"/>
      <c r="Q30" s="1351">
        <f t="shared" si="11"/>
        <v>111</v>
      </c>
      <c r="R30" s="704" t="s">
        <v>18</v>
      </c>
      <c r="S30" s="705">
        <f t="shared" si="12"/>
        <v>100</v>
      </c>
      <c r="T30" s="704" t="s">
        <v>18</v>
      </c>
      <c r="U30" s="705">
        <f t="shared" si="13"/>
        <v>100</v>
      </c>
      <c r="V30" s="704" t="s">
        <v>18</v>
      </c>
      <c r="W30" s="705">
        <f t="shared" si="14"/>
        <v>100</v>
      </c>
      <c r="X30" s="1354"/>
      <c r="Y30" s="372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27"/>
      <c r="Q31" s="1351">
        <f t="shared" si="11"/>
        <v>111</v>
      </c>
      <c r="R31" s="704" t="s">
        <v>18</v>
      </c>
      <c r="S31" s="705">
        <f t="shared" si="12"/>
        <v>100</v>
      </c>
      <c r="T31" s="704" t="s">
        <v>18</v>
      </c>
      <c r="U31" s="705">
        <f t="shared" si="13"/>
        <v>100</v>
      </c>
      <c r="V31" s="704" t="s">
        <v>18</v>
      </c>
      <c r="W31" s="705">
        <f t="shared" si="14"/>
        <v>100</v>
      </c>
      <c r="X31" s="1354"/>
      <c r="Y31" s="3720"/>
      <c r="Z31" s="1355">
        <f t="shared" si="18"/>
        <v>111</v>
      </c>
      <c r="AA31" s="1352">
        <f t="shared" si="15"/>
        <v>1</v>
      </c>
      <c r="AB31" s="1352">
        <f t="shared" si="16"/>
        <v>1</v>
      </c>
      <c r="AC31" s="1352">
        <f t="shared" si="17"/>
        <v>1</v>
      </c>
    </row>
    <row r="32" spans="1:29" ht="15">
      <c r="A32" s="391" t="s">
        <v>1694</v>
      </c>
      <c r="B32" s="63" t="s">
        <v>1695</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8"/>
      <c r="M32" s="2712"/>
      <c r="N32" s="2712"/>
      <c r="O32" s="2712"/>
      <c r="P32" s="3721" t="s">
        <v>1696</v>
      </c>
      <c r="Q32" s="1351" t="str">
        <f t="shared" si="11"/>
        <v>建筑类型</v>
      </c>
      <c r="R32" s="704" t="s">
        <v>18</v>
      </c>
      <c r="S32" s="705">
        <f t="shared" si="12"/>
        <v>100</v>
      </c>
      <c r="T32" s="704" t="s">
        <v>18</v>
      </c>
      <c r="U32" s="705">
        <f t="shared" si="13"/>
        <v>100</v>
      </c>
      <c r="V32" s="704" t="s">
        <v>18</v>
      </c>
      <c r="W32" s="705">
        <f t="shared" si="14"/>
        <v>100</v>
      </c>
      <c r="X32" s="1354"/>
      <c r="Y32" s="372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7"/>
      <c r="M33" s="2719"/>
      <c r="N33" s="2719"/>
      <c r="O33" s="2719"/>
      <c r="P33" s="3722"/>
      <c r="Q33" s="706" t="str">
        <f t="shared" si="11"/>
        <v>项目建筑规模</v>
      </c>
      <c r="R33" s="707" t="s">
        <v>18</v>
      </c>
      <c r="S33" s="708">
        <f t="shared" si="12"/>
        <v>100</v>
      </c>
      <c r="T33" s="707" t="s">
        <v>18</v>
      </c>
      <c r="U33" s="708">
        <f t="shared" si="13"/>
        <v>100</v>
      </c>
      <c r="V33" s="707" t="s">
        <v>18</v>
      </c>
      <c r="W33" s="708">
        <f t="shared" si="14"/>
        <v>100</v>
      </c>
      <c r="X33" s="709"/>
      <c r="Y33" s="3724"/>
      <c r="Z33" s="710" t="str">
        <f t="shared" si="18"/>
        <v>项目建筑规模</v>
      </c>
      <c r="AA33" s="1352">
        <f t="shared" si="15"/>
        <v>1</v>
      </c>
      <c r="AB33" s="1352">
        <f t="shared" si="16"/>
        <v>1</v>
      </c>
      <c r="AC33" s="1352">
        <f t="shared" si="17"/>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v>2</v>
      </c>
      <c r="L34" s="2718"/>
      <c r="M34" s="2712"/>
      <c r="N34" s="2712"/>
      <c r="O34" s="2712"/>
      <c r="P34" s="3722"/>
      <c r="Q34" s="1351" t="str">
        <f t="shared" si="11"/>
        <v>建筑结构</v>
      </c>
      <c r="R34" s="704" t="s">
        <v>18</v>
      </c>
      <c r="S34" s="705">
        <f t="shared" si="12"/>
        <v>100</v>
      </c>
      <c r="T34" s="704" t="s">
        <v>18</v>
      </c>
      <c r="U34" s="705">
        <f t="shared" si="13"/>
        <v>100</v>
      </c>
      <c r="V34" s="704" t="s">
        <v>18</v>
      </c>
      <c r="W34" s="705">
        <f t="shared" si="14"/>
        <v>100</v>
      </c>
      <c r="X34" s="1354"/>
      <c r="Y34" s="3724"/>
      <c r="Z34" s="1355" t="str">
        <f t="shared" si="18"/>
        <v>建筑结构</v>
      </c>
      <c r="AA34" s="1352">
        <f t="shared" si="15"/>
        <v>1</v>
      </c>
      <c r="AB34" s="1352">
        <f t="shared" si="16"/>
        <v>1</v>
      </c>
      <c r="AC34" s="1352">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8"/>
      <c r="M35" s="2712"/>
      <c r="N35" s="2712"/>
      <c r="O35" s="2712"/>
      <c r="P35" s="3722"/>
      <c r="Q35" s="1351" t="str">
        <f t="shared" si="11"/>
        <v>建筑品质</v>
      </c>
      <c r="R35" s="704" t="s">
        <v>18</v>
      </c>
      <c r="S35" s="705">
        <f t="shared" si="12"/>
        <v>100</v>
      </c>
      <c r="T35" s="704" t="s">
        <v>18</v>
      </c>
      <c r="U35" s="705">
        <f t="shared" si="13"/>
        <v>100</v>
      </c>
      <c r="V35" s="704" t="s">
        <v>18</v>
      </c>
      <c r="W35" s="705">
        <f t="shared" si="14"/>
        <v>100</v>
      </c>
      <c r="X35" s="1354"/>
      <c r="Y35" s="3724"/>
      <c r="Z35" s="1355" t="str">
        <f t="shared" si="18"/>
        <v>建筑品质</v>
      </c>
      <c r="AA35" s="1352">
        <f t="shared" si="15"/>
        <v>1</v>
      </c>
      <c r="AB35" s="1352">
        <f t="shared" si="16"/>
        <v>1</v>
      </c>
      <c r="AC35" s="1352">
        <f t="shared" si="17"/>
        <v>1</v>
      </c>
    </row>
    <row r="36" spans="1:29" ht="15">
      <c r="A36" s="423"/>
      <c r="B36" s="375" t="s">
        <v>1700</v>
      </c>
      <c r="C36" s="1905" t="s">
        <v>3456</v>
      </c>
      <c r="D36" s="386">
        <v>100</v>
      </c>
      <c r="E36" s="1905" t="s">
        <v>3456</v>
      </c>
      <c r="F36" s="412">
        <f>SUMIF(109:109,E36,110:110)-SUMIF(109:109,C36,110:110)+100</f>
        <v>100</v>
      </c>
      <c r="G36" s="1905" t="s">
        <v>3456</v>
      </c>
      <c r="H36" s="386">
        <f>SUMIF(109:109,G36,110:110)-SUMIF(109:109,C36,110:110)+100</f>
        <v>100</v>
      </c>
      <c r="I36" s="1905" t="s">
        <v>3456</v>
      </c>
      <c r="J36" s="386">
        <f>SUMIF(109:109,I36,110:110)-SUMIF(109:109,C36,110:110)+100</f>
        <v>100</v>
      </c>
      <c r="K36" s="377">
        <v>2</v>
      </c>
      <c r="L36" s="2718"/>
      <c r="M36" s="2712"/>
      <c r="N36" s="2712"/>
      <c r="O36" s="2712"/>
      <c r="P36" s="3722"/>
      <c r="Q36" s="1351" t="str">
        <f t="shared" si="11"/>
        <v>公共部分装修</v>
      </c>
      <c r="R36" s="704" t="s">
        <v>18</v>
      </c>
      <c r="S36" s="705">
        <f t="shared" si="12"/>
        <v>100</v>
      </c>
      <c r="T36" s="704" t="s">
        <v>18</v>
      </c>
      <c r="U36" s="705">
        <f t="shared" si="13"/>
        <v>100</v>
      </c>
      <c r="V36" s="704" t="s">
        <v>18</v>
      </c>
      <c r="W36" s="705">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3"/>
      <c r="M37" s="2714"/>
      <c r="N37" s="2714"/>
      <c r="O37" s="2714"/>
      <c r="P37" s="3722"/>
      <c r="Q37" s="1342" t="str">
        <f t="shared" si="11"/>
        <v>成新度</v>
      </c>
      <c r="R37" s="700" t="s">
        <v>18</v>
      </c>
      <c r="S37" s="701" t="e">
        <f t="shared" si="12"/>
        <v>#N/A</v>
      </c>
      <c r="T37" s="700" t="s">
        <v>18</v>
      </c>
      <c r="U37" s="701" t="e">
        <f t="shared" si="13"/>
        <v>#N/A</v>
      </c>
      <c r="V37" s="700" t="s">
        <v>18</v>
      </c>
      <c r="W37" s="701" t="e">
        <f t="shared" si="14"/>
        <v>#N/A</v>
      </c>
      <c r="X37" s="702"/>
      <c r="Y37" s="3724"/>
      <c r="Z37" s="52" t="str">
        <f t="shared" si="18"/>
        <v>成新度</v>
      </c>
      <c r="AA37" s="703" t="e">
        <f t="shared" si="15"/>
        <v>#N/A</v>
      </c>
      <c r="AB37" s="703" t="e">
        <f t="shared" si="16"/>
        <v>#N/A</v>
      </c>
      <c r="AC37" s="703" t="e">
        <f t="shared" si="17"/>
        <v>#N/A</v>
      </c>
    </row>
    <row r="38" spans="1:29" ht="15">
      <c r="A38" s="423"/>
      <c r="B38" s="375" t="s">
        <v>1702</v>
      </c>
      <c r="C38" s="1905" t="s">
        <v>3457</v>
      </c>
      <c r="D38" s="386">
        <v>100</v>
      </c>
      <c r="E38" s="1905" t="s">
        <v>3457</v>
      </c>
      <c r="F38" s="412">
        <f>SUMIF(114:114,E38,115:115)-SUMIF(114:114,C38,115:115)+100</f>
        <v>100</v>
      </c>
      <c r="G38" s="1905" t="s">
        <v>3457</v>
      </c>
      <c r="H38" s="386">
        <f>SUMIF(114:114,G38,115:115)-SUMIF(114:114,C38,115:115)+100</f>
        <v>100</v>
      </c>
      <c r="I38" s="1905" t="s">
        <v>3457</v>
      </c>
      <c r="J38" s="386">
        <f>SUMIF(114:114,I38,115:115)-SUMIF(114:114,C38,115:115)+100</f>
        <v>100</v>
      </c>
      <c r="K38" s="377">
        <v>2</v>
      </c>
      <c r="L38" s="2718"/>
      <c r="M38" s="2712"/>
      <c r="N38" s="2712"/>
      <c r="O38" s="2712"/>
      <c r="P38" s="3722" t="s">
        <v>1696</v>
      </c>
      <c r="Q38" s="1351" t="str">
        <f t="shared" si="11"/>
        <v>物业管理</v>
      </c>
      <c r="R38" s="704" t="s">
        <v>18</v>
      </c>
      <c r="S38" s="705">
        <f t="shared" si="12"/>
        <v>100</v>
      </c>
      <c r="T38" s="704" t="s">
        <v>18</v>
      </c>
      <c r="U38" s="705">
        <f t="shared" si="13"/>
        <v>100</v>
      </c>
      <c r="V38" s="704" t="s">
        <v>18</v>
      </c>
      <c r="W38" s="705">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18"/>
      <c r="M39" s="2712"/>
      <c r="N39" s="2712"/>
      <c r="O39" s="2712"/>
      <c r="P39" s="3722"/>
      <c r="Q39" s="1351" t="str">
        <f t="shared" si="11"/>
        <v>市政基础设施</v>
      </c>
      <c r="R39" s="704" t="s">
        <v>18</v>
      </c>
      <c r="S39" s="705">
        <f t="shared" si="12"/>
        <v>100</v>
      </c>
      <c r="T39" s="704" t="s">
        <v>18</v>
      </c>
      <c r="U39" s="705">
        <f t="shared" si="13"/>
        <v>100</v>
      </c>
      <c r="V39" s="704" t="s">
        <v>18</v>
      </c>
      <c r="W39" s="705">
        <f t="shared" si="14"/>
        <v>100</v>
      </c>
      <c r="X39" s="1354"/>
      <c r="Y39" s="3724"/>
      <c r="Z39" s="1355" t="str">
        <f t="shared" si="18"/>
        <v>市政基础设施</v>
      </c>
      <c r="AA39" s="1352">
        <f t="shared" si="15"/>
        <v>1</v>
      </c>
      <c r="AB39" s="1352">
        <f t="shared" si="16"/>
        <v>1</v>
      </c>
      <c r="AC39" s="1352">
        <f t="shared" si="17"/>
        <v>1</v>
      </c>
    </row>
    <row r="40" spans="1:29" ht="15">
      <c r="A40" s="423"/>
      <c r="B40" s="375" t="s">
        <v>1704</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8"/>
      <c r="M40" s="2712"/>
      <c r="N40" s="2712"/>
      <c r="O40" s="2712"/>
      <c r="P40" s="3722"/>
      <c r="Q40" s="1351" t="str">
        <f t="shared" si="11"/>
        <v>房型</v>
      </c>
      <c r="R40" s="704" t="s">
        <v>18</v>
      </c>
      <c r="S40" s="705">
        <f t="shared" si="12"/>
        <v>100</v>
      </c>
      <c r="T40" s="704" t="s">
        <v>18</v>
      </c>
      <c r="U40" s="705">
        <f t="shared" si="13"/>
        <v>100</v>
      </c>
      <c r="V40" s="704" t="s">
        <v>18</v>
      </c>
      <c r="W40" s="705">
        <f t="shared" si="14"/>
        <v>100</v>
      </c>
      <c r="X40" s="1354"/>
      <c r="Y40" s="3724"/>
      <c r="Z40" s="1355" t="str">
        <f t="shared" si="18"/>
        <v>房型</v>
      </c>
      <c r="AA40" s="1352">
        <f t="shared" si="15"/>
        <v>1</v>
      </c>
      <c r="AB40" s="1352">
        <f t="shared" si="16"/>
        <v>1</v>
      </c>
      <c r="AC40" s="1352">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722"/>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8"/>
      <c r="M42" s="2712"/>
      <c r="N42" s="2712"/>
      <c r="O42" s="2712"/>
      <c r="P42" s="3722"/>
      <c r="Q42" s="1351" t="str">
        <f t="shared" si="11"/>
        <v>内部装修</v>
      </c>
      <c r="R42" s="704" t="s">
        <v>18</v>
      </c>
      <c r="S42" s="705">
        <f t="shared" si="12"/>
        <v>100</v>
      </c>
      <c r="T42" s="704" t="s">
        <v>18</v>
      </c>
      <c r="U42" s="705">
        <f t="shared" si="13"/>
        <v>100</v>
      </c>
      <c r="V42" s="704" t="s">
        <v>18</v>
      </c>
      <c r="W42" s="705">
        <f t="shared" si="14"/>
        <v>100</v>
      </c>
      <c r="X42" s="1354"/>
      <c r="Y42" s="3724"/>
      <c r="Z42" s="1355" t="str">
        <f t="shared" si="18"/>
        <v>内部装修</v>
      </c>
      <c r="AA42" s="1352">
        <f t="shared" si="15"/>
        <v>1</v>
      </c>
      <c r="AB42" s="1352">
        <f t="shared" si="16"/>
        <v>1</v>
      </c>
      <c r="AC42" s="1352">
        <f t="shared" si="17"/>
        <v>1</v>
      </c>
    </row>
    <row r="43" spans="1:29" ht="15">
      <c r="A43" s="423"/>
      <c r="B43" s="375" t="s">
        <v>1707</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377">
        <v>2</v>
      </c>
      <c r="L43" s="2718"/>
      <c r="M43" s="2712"/>
      <c r="N43" s="2712"/>
      <c r="O43" s="2712"/>
      <c r="P43" s="3722"/>
      <c r="Q43" s="1351" t="str">
        <f t="shared" si="11"/>
        <v>内部装修维护情况</v>
      </c>
      <c r="R43" s="704" t="s">
        <v>18</v>
      </c>
      <c r="S43" s="705">
        <f t="shared" si="12"/>
        <v>100</v>
      </c>
      <c r="T43" s="704" t="s">
        <v>18</v>
      </c>
      <c r="U43" s="705">
        <f t="shared" si="13"/>
        <v>100</v>
      </c>
      <c r="V43" s="704" t="s">
        <v>18</v>
      </c>
      <c r="W43" s="705">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22"/>
      <c r="Q44" s="1342">
        <f t="shared" si="11"/>
        <v>111</v>
      </c>
      <c r="R44" s="700" t="s">
        <v>18</v>
      </c>
      <c r="S44" s="701">
        <f t="shared" si="12"/>
        <v>100</v>
      </c>
      <c r="T44" s="700" t="s">
        <v>18</v>
      </c>
      <c r="U44" s="701">
        <f t="shared" si="13"/>
        <v>100</v>
      </c>
      <c r="V44" s="700" t="s">
        <v>18</v>
      </c>
      <c r="W44" s="701">
        <f t="shared" si="14"/>
        <v>100</v>
      </c>
      <c r="X44" s="702"/>
      <c r="Y44" s="372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22"/>
      <c r="Q45" s="1351">
        <f t="shared" si="11"/>
        <v>111</v>
      </c>
      <c r="R45" s="704" t="s">
        <v>18</v>
      </c>
      <c r="S45" s="705">
        <f t="shared" si="12"/>
        <v>100</v>
      </c>
      <c r="T45" s="704" t="s">
        <v>18</v>
      </c>
      <c r="U45" s="705">
        <f t="shared" si="13"/>
        <v>100</v>
      </c>
      <c r="V45" s="704" t="s">
        <v>18</v>
      </c>
      <c r="W45" s="705">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23"/>
      <c r="Q46" s="1351">
        <f t="shared" si="11"/>
        <v>111</v>
      </c>
      <c r="R46" s="704" t="s">
        <v>17</v>
      </c>
      <c r="S46" s="705">
        <f t="shared" si="12"/>
        <v>100</v>
      </c>
      <c r="T46" s="704" t="s">
        <v>17</v>
      </c>
      <c r="U46" s="705">
        <f t="shared" si="13"/>
        <v>100</v>
      </c>
      <c r="V46" s="704" t="s">
        <v>17</v>
      </c>
      <c r="W46" s="705">
        <f t="shared" si="14"/>
        <v>100</v>
      </c>
      <c r="X46" s="1354"/>
      <c r="Y46" s="372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1"/>
      <c r="L47" s="2720"/>
      <c r="M47" s="2721"/>
      <c r="N47" s="2712"/>
      <c r="O47" s="2721"/>
      <c r="P47" s="3717" t="str">
        <f>A47</f>
        <v>成交单价（元/平方米）</v>
      </c>
      <c r="Q47" s="3717"/>
      <c r="R47" s="3718">
        <f>E47</f>
        <v>0</v>
      </c>
      <c r="S47" s="3718"/>
      <c r="T47" s="3718">
        <f>G47</f>
        <v>0</v>
      </c>
      <c r="U47" s="3718"/>
      <c r="V47" s="3718">
        <f>I47</f>
        <v>0</v>
      </c>
      <c r="W47" s="3718"/>
      <c r="X47" s="689"/>
      <c r="Y47" s="711"/>
      <c r="Z47" s="689"/>
      <c r="AA47" s="689"/>
      <c r="AB47" s="689"/>
      <c r="AC47" s="689"/>
    </row>
    <row r="48" spans="1:29" ht="15.75" thickBot="1">
      <c r="A48" s="437" t="s">
        <v>1709</v>
      </c>
      <c r="B48" s="438"/>
      <c r="C48" s="1159" t="e">
        <f>R49</f>
        <v>#DIV/0!</v>
      </c>
      <c r="D48" s="2314" t="s">
        <v>2138</v>
      </c>
      <c r="E48" s="1160" t="e">
        <f>R48</f>
        <v>#DIV/0!</v>
      </c>
      <c r="F48" s="2315"/>
      <c r="G48" s="1159" t="e">
        <f>T48</f>
        <v>#DIV/0!</v>
      </c>
      <c r="H48" s="2315"/>
      <c r="I48" s="1160" t="e">
        <f>V48</f>
        <v>#DIV/0!</v>
      </c>
      <c r="J48" s="2315"/>
      <c r="K48" s="2316">
        <f>F48+H48+J48</f>
        <v>0</v>
      </c>
      <c r="L48" s="2720"/>
      <c r="M48" s="2721"/>
      <c r="N48" s="2721"/>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2"/>
      <c r="L49" s="2720"/>
      <c r="M49" s="2721"/>
      <c r="N49" s="2721"/>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t="s">
        <v>3412</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t="s">
        <v>3413</v>
      </c>
      <c r="D65" s="532" t="s">
        <v>3414</v>
      </c>
      <c r="E65" s="532" t="s">
        <v>3415</v>
      </c>
      <c r="F65" s="532" t="s">
        <v>3416</v>
      </c>
      <c r="G65" s="532" t="s">
        <v>3417</v>
      </c>
      <c r="H65" s="532" t="s">
        <v>3418</v>
      </c>
      <c r="I65" s="532" t="s">
        <v>3419</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1689</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3385</v>
      </c>
      <c r="D70" s="503" t="s">
        <v>3377</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1734</v>
      </c>
      <c r="C86" s="503" t="s">
        <v>3420</v>
      </c>
      <c r="D86" s="503" t="s">
        <v>3421</v>
      </c>
      <c r="E86" s="503" t="s">
        <v>3422</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1735</v>
      </c>
      <c r="C88" s="503" t="s">
        <v>3423</v>
      </c>
      <c r="D88" s="503" t="s">
        <v>3424</v>
      </c>
      <c r="E88" s="503" t="s">
        <v>3425</v>
      </c>
      <c r="F88" s="1924" t="s">
        <v>3426</v>
      </c>
      <c r="G88" s="503" t="s">
        <v>3427</v>
      </c>
      <c r="H88" s="503" t="s">
        <v>3428</v>
      </c>
      <c r="I88" s="503" t="s">
        <v>3429</v>
      </c>
      <c r="J88" s="503" t="s">
        <v>3430</v>
      </c>
      <c r="K88" s="503" t="s">
        <v>3431</v>
      </c>
      <c r="L88" s="503" t="s">
        <v>3432</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t="s">
        <v>3433</v>
      </c>
      <c r="D100" s="479" t="s">
        <v>3434</v>
      </c>
      <c r="E100" s="479" t="s">
        <v>3435</v>
      </c>
      <c r="F100" s="479" t="s">
        <v>3436</v>
      </c>
      <c r="G100" s="479" t="s">
        <v>3437</v>
      </c>
      <c r="H100" s="479" t="s">
        <v>3438</v>
      </c>
      <c r="I100" s="479" t="s">
        <v>3439</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1737</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1738</v>
      </c>
      <c r="C105" s="3448" t="s">
        <v>3440</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1739</v>
      </c>
      <c r="C107" s="3449" t="s">
        <v>3445</v>
      </c>
      <c r="D107" s="3449" t="s">
        <v>3446</v>
      </c>
      <c r="E107" s="3449" t="s">
        <v>3447</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1740</v>
      </c>
      <c r="C109" s="3448" t="s">
        <v>3441</v>
      </c>
      <c r="D109" s="3448" t="s">
        <v>3442</v>
      </c>
      <c r="E109" s="3448" t="s">
        <v>3443</v>
      </c>
      <c r="F109" s="3449" t="s">
        <v>3444</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1741</v>
      </c>
      <c r="C114" s="3448" t="s">
        <v>3448</v>
      </c>
      <c r="D114" s="3448" t="s">
        <v>3449</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1743</v>
      </c>
      <c r="C118" s="3449" t="s">
        <v>3450</v>
      </c>
      <c r="D118" s="3449" t="s">
        <v>3451</v>
      </c>
      <c r="E118" s="3449" t="s">
        <v>3452</v>
      </c>
      <c r="F118" s="3449" t="s">
        <v>3453</v>
      </c>
      <c r="G118" s="3449" t="s">
        <v>3454</v>
      </c>
      <c r="H118" s="3449" t="s">
        <v>3455</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1014.0699999999999</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66" t="s">
        <v>1775</v>
      </c>
      <c r="Q4" s="3767"/>
      <c r="R4" s="3770" t="s">
        <v>1771</v>
      </c>
      <c r="S4" s="3771"/>
      <c r="T4" s="3770" t="s">
        <v>1772</v>
      </c>
      <c r="U4" s="3771"/>
      <c r="V4" s="3772" t="s">
        <v>1773</v>
      </c>
      <c r="W4" s="3772"/>
      <c r="X4" s="1955"/>
      <c r="Y4" s="3770" t="s">
        <v>1775</v>
      </c>
      <c r="Z4" s="3771"/>
      <c r="AA4" s="3774" t="s">
        <v>1771</v>
      </c>
      <c r="AB4" s="3774" t="s">
        <v>1772</v>
      </c>
      <c r="AC4" s="3763" t="s">
        <v>1773</v>
      </c>
    </row>
    <row r="5" spans="1:29" ht="15">
      <c r="A5" s="358"/>
      <c r="B5" s="359"/>
      <c r="C5" s="3751" t="s">
        <v>1673</v>
      </c>
      <c r="D5" s="3752"/>
      <c r="E5" s="3758" t="s">
        <v>1674</v>
      </c>
      <c r="F5" s="3759"/>
      <c r="G5" s="3751" t="s">
        <v>1675</v>
      </c>
      <c r="H5" s="3752"/>
      <c r="I5" s="3751" t="s">
        <v>1676</v>
      </c>
      <c r="J5" s="3752"/>
      <c r="K5" s="559"/>
      <c r="L5" s="2711"/>
      <c r="M5" s="2712"/>
      <c r="N5" s="2712"/>
      <c r="O5" s="2712"/>
      <c r="P5" s="3768"/>
      <c r="Q5" s="3739"/>
      <c r="R5" s="3744"/>
      <c r="S5" s="3745"/>
      <c r="T5" s="3744"/>
      <c r="U5" s="3745"/>
      <c r="V5" s="3748"/>
      <c r="W5" s="3748"/>
      <c r="X5" s="1354"/>
      <c r="Y5" s="3744"/>
      <c r="Z5" s="3745"/>
      <c r="AA5" s="3730"/>
      <c r="AB5" s="3730"/>
      <c r="AC5" s="3764"/>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69"/>
      <c r="Q6" s="3741"/>
      <c r="R6" s="3744"/>
      <c r="S6" s="3745"/>
      <c r="T6" s="3746"/>
      <c r="U6" s="3747"/>
      <c r="V6" s="3748"/>
      <c r="W6" s="3748"/>
      <c r="X6" s="1354"/>
      <c r="Y6" s="3746"/>
      <c r="Z6" s="3747"/>
      <c r="AA6" s="3731"/>
      <c r="AB6" s="3731"/>
      <c r="AC6" s="3765"/>
    </row>
    <row r="7" spans="1:29" s="108" customFormat="1" ht="15.75" thickBot="1">
      <c r="A7" s="362" t="s">
        <v>1679</v>
      </c>
      <c r="B7" s="363"/>
      <c r="C7" s="364">
        <f>'数据-取费表'!B2</f>
        <v>45135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7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73" t="s">
        <v>1683</v>
      </c>
      <c r="Q8" s="3754"/>
      <c r="R8" s="700" t="s">
        <v>14</v>
      </c>
      <c r="S8" s="701">
        <f t="shared" si="0"/>
        <v>100</v>
      </c>
      <c r="T8" s="700" t="s">
        <v>14</v>
      </c>
      <c r="U8" s="701">
        <f t="shared" si="1"/>
        <v>100</v>
      </c>
      <c r="V8" s="700" t="s">
        <v>14</v>
      </c>
      <c r="W8" s="701">
        <f t="shared" si="2"/>
        <v>100</v>
      </c>
      <c r="X8" s="702"/>
      <c r="Y8" s="3753" t="s">
        <v>1683</v>
      </c>
      <c r="Z8" s="3754"/>
      <c r="AA8" s="703">
        <f t="shared" ref="AA8:AA47" si="3">D8/F8</f>
        <v>1</v>
      </c>
      <c r="AB8" s="703">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8"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8"/>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8"/>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28"/>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28"/>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1956">
        <f t="shared" si="5"/>
        <v>1</v>
      </c>
    </row>
    <row r="14" spans="1:29" ht="15.75"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8"/>
      <c r="M14" s="2712"/>
      <c r="N14" s="2712"/>
      <c r="O14" s="2712"/>
      <c r="P14" s="3728"/>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1956">
        <f t="shared" si="5"/>
        <v>1</v>
      </c>
    </row>
    <row r="15" spans="1:29" ht="15">
      <c r="A15" s="391" t="s">
        <v>1690</v>
      </c>
      <c r="B15" s="576" t="s">
        <v>1811</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6" t="s">
        <v>1691</v>
      </c>
      <c r="Q15" s="1351" t="str">
        <f t="shared" si="6"/>
        <v>办公集聚程度</v>
      </c>
      <c r="R15" s="704" t="s">
        <v>14</v>
      </c>
      <c r="S15" s="705">
        <f t="shared" si="0"/>
        <v>100</v>
      </c>
      <c r="T15" s="704" t="s">
        <v>14</v>
      </c>
      <c r="U15" s="705">
        <f t="shared" si="1"/>
        <v>100</v>
      </c>
      <c r="V15" s="704" t="s">
        <v>14</v>
      </c>
      <c r="W15" s="705">
        <f t="shared" si="2"/>
        <v>100</v>
      </c>
      <c r="X15" s="1354"/>
      <c r="Y15" s="3719" t="s">
        <v>1691</v>
      </c>
      <c r="Z15" s="1355" t="str">
        <f t="shared" si="7"/>
        <v>办公集聚程度</v>
      </c>
      <c r="AA15" s="1352">
        <f t="shared" si="3"/>
        <v>1</v>
      </c>
      <c r="AB15" s="1352">
        <f t="shared" si="4"/>
        <v>1</v>
      </c>
      <c r="AC15" s="1959">
        <f t="shared" si="5"/>
        <v>1</v>
      </c>
    </row>
    <row r="16" spans="1:29" ht="15">
      <c r="A16" s="379"/>
      <c r="B16" s="577"/>
      <c r="C16" s="1903"/>
      <c r="D16" s="399"/>
      <c r="E16" s="398"/>
      <c r="F16" s="399"/>
      <c r="G16" s="1903"/>
      <c r="H16" s="401"/>
      <c r="I16" s="398"/>
      <c r="J16" s="399"/>
      <c r="K16" s="564"/>
      <c r="L16" s="2718"/>
      <c r="M16" s="2712"/>
      <c r="N16" s="2712"/>
      <c r="O16" s="2712"/>
      <c r="P16" s="3727"/>
      <c r="Q16" s="1351"/>
      <c r="R16" s="704"/>
      <c r="S16" s="705"/>
      <c r="T16" s="704"/>
      <c r="U16" s="705"/>
      <c r="V16" s="704"/>
      <c r="W16" s="705"/>
      <c r="X16" s="1354"/>
      <c r="Y16" s="3720"/>
      <c r="Z16" s="1355"/>
      <c r="AA16" s="1352">
        <v>1</v>
      </c>
      <c r="AB16" s="1352">
        <v>1</v>
      </c>
      <c r="AC16" s="1959">
        <v>1</v>
      </c>
    </row>
    <row r="17" spans="1:29" ht="15">
      <c r="A17" s="379"/>
      <c r="B17" s="578" t="s">
        <v>1259</v>
      </c>
      <c r="C17" s="1960"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7"/>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959">
        <f t="shared" si="5"/>
        <v>1</v>
      </c>
    </row>
    <row r="18" spans="1:29" ht="15">
      <c r="A18" s="379"/>
      <c r="B18" s="579"/>
      <c r="C18" s="1961"/>
      <c r="D18" s="401"/>
      <c r="E18" s="1901"/>
      <c r="F18" s="401"/>
      <c r="G18" s="1902"/>
      <c r="H18" s="399"/>
      <c r="I18" s="1902"/>
      <c r="J18" s="399"/>
      <c r="K18" s="564"/>
      <c r="L18" s="2718"/>
      <c r="M18" s="2712"/>
      <c r="N18" s="2712"/>
      <c r="O18" s="2712"/>
      <c r="P18" s="3727"/>
      <c r="Q18" s="1351"/>
      <c r="R18" s="704"/>
      <c r="S18" s="705"/>
      <c r="T18" s="704"/>
      <c r="U18" s="705"/>
      <c r="V18" s="704"/>
      <c r="W18" s="705"/>
      <c r="X18" s="1354"/>
      <c r="Y18" s="3720"/>
      <c r="Z18" s="1355"/>
      <c r="AA18" s="1352">
        <v>1</v>
      </c>
      <c r="AB18" s="1352">
        <v>1</v>
      </c>
      <c r="AC18" s="1959">
        <v>1</v>
      </c>
    </row>
    <row r="19" spans="1:29" ht="15">
      <c r="A19" s="379"/>
      <c r="B19" s="578" t="s">
        <v>1812</v>
      </c>
      <c r="C19" s="1960"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7"/>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959">
        <f t="shared" si="5"/>
        <v>1</v>
      </c>
    </row>
    <row r="20" spans="1:29" ht="15">
      <c r="A20" s="379"/>
      <c r="B20" s="579"/>
      <c r="C20" s="1903"/>
      <c r="D20" s="399"/>
      <c r="E20" s="1896"/>
      <c r="F20" s="399"/>
      <c r="G20" s="1897"/>
      <c r="H20" s="399"/>
      <c r="I20" s="1897"/>
      <c r="J20" s="399"/>
      <c r="K20" s="564"/>
      <c r="L20" s="2718"/>
      <c r="M20" s="2712"/>
      <c r="N20" s="2712"/>
      <c r="O20" s="2712"/>
      <c r="P20" s="3727"/>
      <c r="Q20" s="1351"/>
      <c r="R20" s="704"/>
      <c r="S20" s="705"/>
      <c r="T20" s="704"/>
      <c r="U20" s="705"/>
      <c r="V20" s="704"/>
      <c r="W20" s="705"/>
      <c r="X20" s="1354"/>
      <c r="Y20" s="3720"/>
      <c r="Z20" s="1355"/>
      <c r="AA20" s="1352">
        <v>1</v>
      </c>
      <c r="AB20" s="1352">
        <v>1</v>
      </c>
      <c r="AC20" s="1959">
        <v>1</v>
      </c>
    </row>
    <row r="21" spans="1:29" ht="15">
      <c r="A21" s="379"/>
      <c r="B21" s="580" t="s">
        <v>1813</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7"/>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959">
        <f t="shared" ref="AC21" si="10">D21/J21</f>
        <v>1</v>
      </c>
    </row>
    <row r="22" spans="1:29" ht="15">
      <c r="A22" s="379"/>
      <c r="B22" s="580"/>
      <c r="C22" s="1961"/>
      <c r="D22" s="399"/>
      <c r="E22" s="398"/>
      <c r="F22" s="399"/>
      <c r="G22" s="1903"/>
      <c r="H22" s="399"/>
      <c r="I22" s="1903"/>
      <c r="J22" s="399"/>
      <c r="K22" s="1129"/>
      <c r="L22" s="2718"/>
      <c r="M22" s="2712"/>
      <c r="N22" s="2712"/>
      <c r="O22" s="2712"/>
      <c r="P22" s="3727"/>
      <c r="Q22" s="1351"/>
      <c r="R22" s="704"/>
      <c r="S22" s="705"/>
      <c r="T22" s="704"/>
      <c r="U22" s="705"/>
      <c r="V22" s="704"/>
      <c r="W22" s="705"/>
      <c r="X22" s="1354"/>
      <c r="Y22" s="3720"/>
      <c r="Z22" s="1355"/>
      <c r="AA22" s="1352">
        <v>1</v>
      </c>
      <c r="AB22" s="1352">
        <v>1</v>
      </c>
      <c r="AC22" s="1959">
        <v>1</v>
      </c>
    </row>
    <row r="23" spans="1:29" ht="15">
      <c r="A23" s="379"/>
      <c r="B23" s="578" t="s">
        <v>1814</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7"/>
      <c r="Q23" s="1351" t="str">
        <f>B23</f>
        <v>环境质量</v>
      </c>
      <c r="R23" s="704" t="s">
        <v>14</v>
      </c>
      <c r="S23" s="705">
        <f>F23</f>
        <v>100</v>
      </c>
      <c r="T23" s="704" t="s">
        <v>14</v>
      </c>
      <c r="U23" s="705">
        <f>H23</f>
        <v>100</v>
      </c>
      <c r="V23" s="704" t="s">
        <v>14</v>
      </c>
      <c r="W23" s="705">
        <f>J23</f>
        <v>100</v>
      </c>
      <c r="X23" s="1354"/>
      <c r="Y23" s="3720"/>
      <c r="Z23" s="1355" t="str">
        <f>Q23</f>
        <v>环境质量</v>
      </c>
      <c r="AA23" s="1352">
        <f t="shared" si="3"/>
        <v>1</v>
      </c>
      <c r="AB23" s="1352">
        <f t="shared" si="4"/>
        <v>1</v>
      </c>
      <c r="AC23" s="1959">
        <f t="shared" si="5"/>
        <v>1</v>
      </c>
    </row>
    <row r="24" spans="1:29" ht="15">
      <c r="A24" s="379"/>
      <c r="B24" s="580"/>
      <c r="C24" s="1903"/>
      <c r="D24" s="399"/>
      <c r="E24" s="1896"/>
      <c r="F24" s="399"/>
      <c r="G24" s="1897"/>
      <c r="H24" s="399"/>
      <c r="I24" s="1897"/>
      <c r="J24" s="399"/>
      <c r="K24" s="564"/>
      <c r="L24" s="2718"/>
      <c r="M24" s="2712"/>
      <c r="N24" s="2712"/>
      <c r="O24" s="2712"/>
      <c r="P24" s="3727"/>
      <c r="Q24" s="1351"/>
      <c r="R24" s="704"/>
      <c r="S24" s="705"/>
      <c r="T24" s="704"/>
      <c r="U24" s="705"/>
      <c r="V24" s="704"/>
      <c r="W24" s="705"/>
      <c r="X24" s="1354"/>
      <c r="Y24" s="3720"/>
      <c r="Z24" s="1355"/>
      <c r="AA24" s="1352">
        <v>1</v>
      </c>
      <c r="AB24" s="1352">
        <v>1</v>
      </c>
      <c r="AC24" s="1959">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27"/>
      <c r="Q25" s="1351" t="str">
        <f>B25</f>
        <v>毗邻道路的类型与等级</v>
      </c>
      <c r="R25" s="704" t="s">
        <v>14</v>
      </c>
      <c r="S25" s="705">
        <f>F25</f>
        <v>100</v>
      </c>
      <c r="T25" s="704" t="s">
        <v>14</v>
      </c>
      <c r="U25" s="705">
        <f>H25</f>
        <v>100</v>
      </c>
      <c r="V25" s="704" t="s">
        <v>14</v>
      </c>
      <c r="W25" s="705">
        <f>J25</f>
        <v>100</v>
      </c>
      <c r="X25" s="1354"/>
      <c r="Y25" s="3720"/>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8"/>
      <c r="M26" s="2712"/>
      <c r="N26" s="2712"/>
      <c r="O26" s="2712"/>
      <c r="P26" s="3727"/>
      <c r="Q26" s="1351"/>
      <c r="R26" s="704"/>
      <c r="S26" s="705"/>
      <c r="T26" s="704"/>
      <c r="U26" s="705"/>
      <c r="V26" s="704"/>
      <c r="W26" s="705"/>
      <c r="X26" s="1354"/>
      <c r="Y26" s="3720"/>
      <c r="Z26" s="1355"/>
      <c r="AA26" s="1352">
        <v>1</v>
      </c>
      <c r="AB26" s="1352">
        <v>1</v>
      </c>
      <c r="AC26" s="1959">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27"/>
      <c r="Q27" s="1351" t="str">
        <f t="shared" ref="Q27:Q47" si="11">B27</f>
        <v>楼层</v>
      </c>
      <c r="R27" s="704" t="s">
        <v>14</v>
      </c>
      <c r="S27" s="705">
        <f>F27</f>
        <v>100</v>
      </c>
      <c r="T27" s="704" t="s">
        <v>14</v>
      </c>
      <c r="U27" s="705">
        <f>H27</f>
        <v>100</v>
      </c>
      <c r="V27" s="704" t="s">
        <v>14</v>
      </c>
      <c r="W27" s="705">
        <f>J27</f>
        <v>100</v>
      </c>
      <c r="X27" s="1354"/>
      <c r="Y27" s="3720"/>
      <c r="Z27" s="1355" t="str">
        <f>Q27</f>
        <v>楼层</v>
      </c>
      <c r="AA27" s="1352">
        <f t="shared" si="3"/>
        <v>1</v>
      </c>
      <c r="AB27" s="1352">
        <f t="shared" si="4"/>
        <v>1</v>
      </c>
      <c r="AC27" s="1959">
        <f t="shared" si="5"/>
        <v>1</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27"/>
      <c r="Q28" s="1342" t="str">
        <f t="shared" si="11"/>
        <v>朝向</v>
      </c>
      <c r="R28" s="700" t="s">
        <v>14</v>
      </c>
      <c r="S28" s="701">
        <f>F28</f>
        <v>100</v>
      </c>
      <c r="T28" s="700" t="s">
        <v>14</v>
      </c>
      <c r="U28" s="701">
        <f>H28</f>
        <v>100</v>
      </c>
      <c r="V28" s="700" t="s">
        <v>14</v>
      </c>
      <c r="W28" s="701">
        <f>J28</f>
        <v>100</v>
      </c>
      <c r="X28" s="702"/>
      <c r="Y28" s="3720"/>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27"/>
      <c r="Q29" s="1351">
        <f t="shared" si="11"/>
        <v>111</v>
      </c>
      <c r="R29" s="704" t="s">
        <v>14</v>
      </c>
      <c r="S29" s="705">
        <f t="shared" ref="S29:S47" si="12">F29</f>
        <v>100</v>
      </c>
      <c r="T29" s="704" t="s">
        <v>14</v>
      </c>
      <c r="U29" s="705">
        <f t="shared" ref="U29:U47" si="13">H29</f>
        <v>100</v>
      </c>
      <c r="V29" s="704" t="s">
        <v>14</v>
      </c>
      <c r="W29" s="705">
        <f t="shared" ref="W29:W47" si="14">J29</f>
        <v>100</v>
      </c>
      <c r="X29" s="1354"/>
      <c r="Y29" s="3720"/>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27"/>
      <c r="Q30" s="1351">
        <f t="shared" si="11"/>
        <v>111</v>
      </c>
      <c r="R30" s="704" t="s">
        <v>14</v>
      </c>
      <c r="S30" s="705">
        <f t="shared" si="12"/>
        <v>100</v>
      </c>
      <c r="T30" s="704" t="s">
        <v>14</v>
      </c>
      <c r="U30" s="705">
        <f t="shared" si="13"/>
        <v>100</v>
      </c>
      <c r="V30" s="704" t="s">
        <v>14</v>
      </c>
      <c r="W30" s="705">
        <f t="shared" si="14"/>
        <v>100</v>
      </c>
      <c r="X30" s="1354"/>
      <c r="Y30" s="3720"/>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27"/>
      <c r="Q31" s="1351">
        <f t="shared" si="11"/>
        <v>111</v>
      </c>
      <c r="R31" s="704" t="s">
        <v>14</v>
      </c>
      <c r="S31" s="705">
        <f t="shared" si="12"/>
        <v>100</v>
      </c>
      <c r="T31" s="704" t="s">
        <v>14</v>
      </c>
      <c r="U31" s="705">
        <f t="shared" si="13"/>
        <v>100</v>
      </c>
      <c r="V31" s="704" t="s">
        <v>14</v>
      </c>
      <c r="W31" s="705">
        <f t="shared" si="14"/>
        <v>100</v>
      </c>
      <c r="X31" s="1354"/>
      <c r="Y31" s="3720"/>
      <c r="Z31" s="1355">
        <f t="shared" si="15"/>
        <v>111</v>
      </c>
      <c r="AA31" s="1352">
        <f t="shared" si="3"/>
        <v>1</v>
      </c>
      <c r="AB31" s="1352">
        <f t="shared" si="4"/>
        <v>1</v>
      </c>
      <c r="AC31" s="1959">
        <f t="shared" si="5"/>
        <v>1</v>
      </c>
    </row>
    <row r="32" spans="1:29" ht="15.75"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27"/>
      <c r="Q32" s="1351">
        <f t="shared" si="11"/>
        <v>111</v>
      </c>
      <c r="R32" s="704" t="s">
        <v>14</v>
      </c>
      <c r="S32" s="705">
        <f t="shared" si="12"/>
        <v>100</v>
      </c>
      <c r="T32" s="704" t="s">
        <v>14</v>
      </c>
      <c r="U32" s="705">
        <f t="shared" si="13"/>
        <v>100</v>
      </c>
      <c r="V32" s="704" t="s">
        <v>14</v>
      </c>
      <c r="W32" s="705">
        <f t="shared" si="14"/>
        <v>100</v>
      </c>
      <c r="X32" s="1354"/>
      <c r="Y32" s="3720"/>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21" t="s">
        <v>1696</v>
      </c>
      <c r="Q33" s="1351" t="str">
        <f t="shared" si="11"/>
        <v>建筑类型</v>
      </c>
      <c r="R33" s="704" t="s">
        <v>14</v>
      </c>
      <c r="S33" s="705">
        <f t="shared" si="12"/>
        <v>100</v>
      </c>
      <c r="T33" s="704" t="s">
        <v>14</v>
      </c>
      <c r="U33" s="705">
        <f t="shared" si="13"/>
        <v>100</v>
      </c>
      <c r="V33" s="704" t="s">
        <v>14</v>
      </c>
      <c r="W33" s="705">
        <f t="shared" si="14"/>
        <v>100</v>
      </c>
      <c r="X33" s="1354"/>
      <c r="Y33" s="3724"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2"/>
      <c r="Q34" s="706" t="str">
        <f t="shared" si="11"/>
        <v>项目建筑规模</v>
      </c>
      <c r="R34" s="707" t="s">
        <v>14</v>
      </c>
      <c r="S34" s="708" t="e">
        <f t="shared" si="12"/>
        <v>#N/A</v>
      </c>
      <c r="T34" s="707" t="s">
        <v>14</v>
      </c>
      <c r="U34" s="708" t="e">
        <f t="shared" si="13"/>
        <v>#N/A</v>
      </c>
      <c r="V34" s="707" t="s">
        <v>14</v>
      </c>
      <c r="W34" s="708" t="e">
        <f t="shared" si="14"/>
        <v>#N/A</v>
      </c>
      <c r="X34" s="709"/>
      <c r="Y34" s="3724"/>
      <c r="Z34" s="710"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2"/>
      <c r="Q35" s="1351" t="str">
        <f t="shared" si="11"/>
        <v>建筑结构</v>
      </c>
      <c r="R35" s="704" t="s">
        <v>14</v>
      </c>
      <c r="S35" s="705">
        <f t="shared" si="12"/>
        <v>100</v>
      </c>
      <c r="T35" s="704" t="s">
        <v>14</v>
      </c>
      <c r="U35" s="705">
        <f t="shared" si="13"/>
        <v>100</v>
      </c>
      <c r="V35" s="704" t="s">
        <v>14</v>
      </c>
      <c r="W35" s="705">
        <f t="shared" si="14"/>
        <v>100</v>
      </c>
      <c r="X35" s="1354"/>
      <c r="Y35" s="3724"/>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2"/>
      <c r="Q36" s="1351" t="str">
        <f t="shared" si="11"/>
        <v>公共部分装修</v>
      </c>
      <c r="R36" s="704" t="s">
        <v>14</v>
      </c>
      <c r="S36" s="705">
        <f t="shared" si="12"/>
        <v>100</v>
      </c>
      <c r="T36" s="704" t="s">
        <v>14</v>
      </c>
      <c r="U36" s="705">
        <f t="shared" si="13"/>
        <v>100</v>
      </c>
      <c r="V36" s="704" t="s">
        <v>14</v>
      </c>
      <c r="W36" s="705">
        <f t="shared" si="14"/>
        <v>100</v>
      </c>
      <c r="X36" s="1354"/>
      <c r="Y36" s="3724"/>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2"/>
      <c r="Q37" s="1351" t="str">
        <f t="shared" si="11"/>
        <v>成新度</v>
      </c>
      <c r="R37" s="704" t="s">
        <v>14</v>
      </c>
      <c r="S37" s="705" t="e">
        <f t="shared" si="12"/>
        <v>#N/A</v>
      </c>
      <c r="T37" s="704" t="s">
        <v>14</v>
      </c>
      <c r="U37" s="705" t="e">
        <f t="shared" si="13"/>
        <v>#N/A</v>
      </c>
      <c r="V37" s="704" t="s">
        <v>14</v>
      </c>
      <c r="W37" s="705" t="e">
        <f t="shared" si="14"/>
        <v>#N/A</v>
      </c>
      <c r="X37" s="1354"/>
      <c r="Y37" s="3724"/>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2"/>
      <c r="Q38" s="1342" t="str">
        <f t="shared" si="11"/>
        <v>写字楼等级</v>
      </c>
      <c r="R38" s="700" t="s">
        <v>14</v>
      </c>
      <c r="S38" s="701">
        <f t="shared" si="12"/>
        <v>100</v>
      </c>
      <c r="T38" s="700" t="s">
        <v>14</v>
      </c>
      <c r="U38" s="701">
        <f t="shared" si="13"/>
        <v>100</v>
      </c>
      <c r="V38" s="700" t="s">
        <v>14</v>
      </c>
      <c r="W38" s="701">
        <f t="shared" si="14"/>
        <v>100</v>
      </c>
      <c r="X38" s="702"/>
      <c r="Y38" s="3724"/>
      <c r="Z38" s="52" t="str">
        <f t="shared" si="15"/>
        <v>写字楼等级</v>
      </c>
      <c r="AA38" s="703">
        <f t="shared" si="3"/>
        <v>1</v>
      </c>
      <c r="AB38" s="703">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2" t="s">
        <v>1696</v>
      </c>
      <c r="Q39" s="1351" t="str">
        <f t="shared" si="11"/>
        <v>物业管理</v>
      </c>
      <c r="R39" s="704" t="s">
        <v>14</v>
      </c>
      <c r="S39" s="705">
        <f t="shared" si="12"/>
        <v>100</v>
      </c>
      <c r="T39" s="704" t="s">
        <v>14</v>
      </c>
      <c r="U39" s="705">
        <f t="shared" si="13"/>
        <v>100</v>
      </c>
      <c r="V39" s="704" t="s">
        <v>14</v>
      </c>
      <c r="W39" s="705">
        <f t="shared" si="14"/>
        <v>100</v>
      </c>
      <c r="X39" s="1354"/>
      <c r="Y39" s="3724"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2"/>
      <c r="Q40" s="1351" t="str">
        <f t="shared" si="11"/>
        <v>市政基础设施</v>
      </c>
      <c r="R40" s="704" t="s">
        <v>14</v>
      </c>
      <c r="S40" s="705">
        <f t="shared" si="12"/>
        <v>100</v>
      </c>
      <c r="T40" s="704" t="s">
        <v>14</v>
      </c>
      <c r="U40" s="705">
        <f t="shared" si="13"/>
        <v>100</v>
      </c>
      <c r="V40" s="704" t="s">
        <v>14</v>
      </c>
      <c r="W40" s="705">
        <f t="shared" si="14"/>
        <v>100</v>
      </c>
      <c r="X40" s="1354"/>
      <c r="Y40" s="3724"/>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2"/>
      <c r="Q41" s="1351" t="str">
        <f t="shared" si="11"/>
        <v>层高</v>
      </c>
      <c r="R41" s="704" t="s">
        <v>14</v>
      </c>
      <c r="S41" s="705">
        <f t="shared" si="12"/>
        <v>100</v>
      </c>
      <c r="T41" s="704" t="s">
        <v>14</v>
      </c>
      <c r="U41" s="705">
        <f t="shared" si="13"/>
        <v>100</v>
      </c>
      <c r="V41" s="704" t="s">
        <v>14</v>
      </c>
      <c r="W41" s="705">
        <f t="shared" si="14"/>
        <v>100</v>
      </c>
      <c r="X41" s="1354"/>
      <c r="Y41" s="3724"/>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2"/>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2"/>
      <c r="Q43" s="1351" t="str">
        <f t="shared" si="11"/>
        <v>内部装修</v>
      </c>
      <c r="R43" s="704" t="s">
        <v>14</v>
      </c>
      <c r="S43" s="705">
        <f t="shared" si="12"/>
        <v>100</v>
      </c>
      <c r="T43" s="704" t="s">
        <v>14</v>
      </c>
      <c r="U43" s="705">
        <f t="shared" si="13"/>
        <v>100</v>
      </c>
      <c r="V43" s="704" t="s">
        <v>14</v>
      </c>
      <c r="W43" s="705">
        <f t="shared" si="14"/>
        <v>100</v>
      </c>
      <c r="X43" s="1354"/>
      <c r="Y43" s="3724"/>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22"/>
      <c r="Q44" s="1351" t="str">
        <f t="shared" si="11"/>
        <v>内部装修维护情况</v>
      </c>
      <c r="R44" s="704" t="s">
        <v>14</v>
      </c>
      <c r="S44" s="705">
        <f t="shared" si="12"/>
        <v>100</v>
      </c>
      <c r="T44" s="704" t="s">
        <v>14</v>
      </c>
      <c r="U44" s="705">
        <f t="shared" si="13"/>
        <v>100</v>
      </c>
      <c r="V44" s="704" t="s">
        <v>14</v>
      </c>
      <c r="W44" s="705">
        <f t="shared" si="14"/>
        <v>100</v>
      </c>
      <c r="X44" s="1354"/>
      <c r="Y44" s="3724"/>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2"/>
      <c r="Q45" s="1342">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3"/>
      <c r="Q47" s="1351">
        <f t="shared" si="11"/>
        <v>111</v>
      </c>
      <c r="R47" s="704" t="s">
        <v>14</v>
      </c>
      <c r="S47" s="705">
        <f t="shared" si="12"/>
        <v>100</v>
      </c>
      <c r="T47" s="704" t="s">
        <v>14</v>
      </c>
      <c r="U47" s="705">
        <f t="shared" si="13"/>
        <v>100</v>
      </c>
      <c r="V47" s="704" t="s">
        <v>14</v>
      </c>
      <c r="W47" s="705">
        <f t="shared" si="14"/>
        <v>100</v>
      </c>
      <c r="X47" s="1354"/>
      <c r="Y47" s="3725"/>
      <c r="Z47" s="1355">
        <f t="shared" si="15"/>
        <v>111</v>
      </c>
      <c r="AA47" s="1352">
        <f t="shared" si="3"/>
        <v>1</v>
      </c>
      <c r="AB47" s="1352">
        <f t="shared" si="4"/>
        <v>1</v>
      </c>
      <c r="AC47" s="1959">
        <f t="shared" si="5"/>
        <v>1</v>
      </c>
    </row>
    <row r="48" spans="1:29" ht="15">
      <c r="A48" s="430" t="s">
        <v>1708</v>
      </c>
      <c r="B48" s="431"/>
      <c r="C48" s="1153" t="s">
        <v>0</v>
      </c>
      <c r="D48" s="1154"/>
      <c r="E48" s="1155"/>
      <c r="F48" s="1156"/>
      <c r="G48" s="1157"/>
      <c r="H48" s="1158"/>
      <c r="I48" s="1155"/>
      <c r="J48" s="436"/>
      <c r="K48" s="713"/>
      <c r="L48" s="2720"/>
      <c r="M48" s="2712"/>
      <c r="N48" s="2712"/>
      <c r="O48" s="2712"/>
      <c r="P48" s="3728" t="str">
        <f>A48</f>
        <v>成交单价（元/平方米）</v>
      </c>
      <c r="Q48" s="3717"/>
      <c r="R48" s="3718">
        <f>E48</f>
        <v>0</v>
      </c>
      <c r="S48" s="3718"/>
      <c r="T48" s="3718">
        <f>G48</f>
        <v>0</v>
      </c>
      <c r="U48" s="3718"/>
      <c r="V48" s="3718">
        <f>I48</f>
        <v>0</v>
      </c>
      <c r="W48" s="3718"/>
      <c r="X48" s="397"/>
      <c r="Y48" s="711"/>
      <c r="Z48" s="397"/>
      <c r="AA48" s="397"/>
      <c r="AB48" s="397"/>
      <c r="AC48" s="577"/>
    </row>
    <row r="49" spans="1:29" ht="15.75" thickBot="1">
      <c r="A49" s="437" t="s">
        <v>1793</v>
      </c>
      <c r="B49" s="438"/>
      <c r="C49" s="1159" t="e">
        <f>R50</f>
        <v>#DIV/0!</v>
      </c>
      <c r="D49" s="2314" t="s">
        <v>2138</v>
      </c>
      <c r="E49" s="1160" t="e">
        <f>R49</f>
        <v>#DIV/0!</v>
      </c>
      <c r="F49" s="2315"/>
      <c r="G49" s="1159" t="e">
        <f>T49</f>
        <v>#DIV/0!</v>
      </c>
      <c r="H49" s="2315"/>
      <c r="I49" s="1160" t="e">
        <f>V49</f>
        <v>#DIV/0!</v>
      </c>
      <c r="J49" s="2315"/>
      <c r="K49" s="2317">
        <f>F49+H49+J49</f>
        <v>0</v>
      </c>
      <c r="L49" s="2720"/>
      <c r="M49" s="2712"/>
      <c r="N49" s="2712"/>
      <c r="O49" s="2712"/>
      <c r="P49" s="3728"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0"/>
      <c r="M50" s="2712"/>
      <c r="N50" s="2712"/>
      <c r="O50" s="2712"/>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1798</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7" t="s">
        <v>1799</v>
      </c>
      <c r="D83" s="607" t="s">
        <v>1800</v>
      </c>
      <c r="E83" s="607" t="s">
        <v>1801</v>
      </c>
      <c r="F83" s="607" t="s">
        <v>1802</v>
      </c>
      <c r="G83" s="607"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1014.0699999999999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912"/>
      <c r="M4" s="913"/>
      <c r="N4" s="913"/>
      <c r="O4" s="913"/>
      <c r="P4" s="3736" t="s">
        <v>1775</v>
      </c>
      <c r="Q4" s="3737"/>
      <c r="R4" s="3742" t="s">
        <v>1771</v>
      </c>
      <c r="S4" s="3743"/>
      <c r="T4" s="3742" t="s">
        <v>1772</v>
      </c>
      <c r="U4" s="3743"/>
      <c r="V4" s="3748" t="s">
        <v>1773</v>
      </c>
      <c r="W4" s="3748"/>
      <c r="X4" s="1354"/>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912"/>
      <c r="M5" s="913"/>
      <c r="N5" s="913"/>
      <c r="O5" s="913"/>
      <c r="P5" s="3738"/>
      <c r="Q5" s="3739"/>
      <c r="R5" s="3744"/>
      <c r="S5" s="3745"/>
      <c r="T5" s="3744"/>
      <c r="U5" s="3745"/>
      <c r="V5" s="3748"/>
      <c r="W5" s="3748"/>
      <c r="X5" s="1354"/>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912"/>
      <c r="M6" s="913"/>
      <c r="N6" s="913"/>
      <c r="O6" s="913"/>
      <c r="P6" s="3740"/>
      <c r="Q6" s="3741"/>
      <c r="R6" s="3744"/>
      <c r="S6" s="3745"/>
      <c r="T6" s="3746"/>
      <c r="U6" s="3747"/>
      <c r="V6" s="3748"/>
      <c r="W6" s="3748"/>
      <c r="X6" s="1354"/>
      <c r="Y6" s="3746"/>
      <c r="Z6" s="3747"/>
      <c r="AA6" s="3731"/>
      <c r="AB6" s="3731"/>
      <c r="AC6" s="3731"/>
    </row>
    <row r="7" spans="1:29" s="108" customFormat="1" ht="15.75" thickBot="1">
      <c r="A7" s="362" t="s">
        <v>1679</v>
      </c>
      <c r="B7" s="363"/>
      <c r="C7" s="364">
        <f>'数据-取费表'!B2</f>
        <v>45135</v>
      </c>
      <c r="D7" s="365">
        <v>100</v>
      </c>
      <c r="E7" s="366"/>
      <c r="F7" s="367">
        <f>SUMIF(52:52,YEAR(E7)&amp;"-"&amp;MONTH(E7),53:53)</f>
        <v>0</v>
      </c>
      <c r="G7" s="366"/>
      <c r="H7" s="365">
        <f>SUMIF(52:52,YEAR(G7)&amp;"-"&amp;MONTH(G7),53:53)</f>
        <v>0</v>
      </c>
      <c r="I7" s="366"/>
      <c r="J7" s="365">
        <f>SUMIF(52:52,YEAR(I7)&amp;"-"&amp;MONTH(I7),53:53)</f>
        <v>0</v>
      </c>
      <c r="K7" s="560"/>
      <c r="L7" s="914"/>
      <c r="M7" s="915"/>
      <c r="N7" s="915"/>
      <c r="O7" s="9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3" t="s">
        <v>1683</v>
      </c>
      <c r="Q8" s="3754"/>
      <c r="R8" s="700" t="s">
        <v>14</v>
      </c>
      <c r="S8" s="701">
        <f t="shared" si="0"/>
        <v>100</v>
      </c>
      <c r="T8" s="700" t="s">
        <v>14</v>
      </c>
      <c r="U8" s="701">
        <f t="shared" si="1"/>
        <v>100</v>
      </c>
      <c r="V8" s="700" t="s">
        <v>14</v>
      </c>
      <c r="W8" s="701">
        <f t="shared" si="2"/>
        <v>100</v>
      </c>
      <c r="X8" s="702"/>
      <c r="Y8" s="3753" t="s">
        <v>1683</v>
      </c>
      <c r="Z8" s="37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7"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7"/>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7"/>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17"/>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17"/>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17"/>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15">
      <c r="A15" s="391" t="s">
        <v>1690</v>
      </c>
      <c r="B15" s="61" t="s">
        <v>1827</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1691</v>
      </c>
      <c r="Q15" s="1351" t="str">
        <f t="shared" si="6"/>
        <v>产业集聚程度</v>
      </c>
      <c r="R15" s="704" t="s">
        <v>14</v>
      </c>
      <c r="S15" s="705">
        <f t="shared" si="0"/>
        <v>100</v>
      </c>
      <c r="T15" s="704" t="s">
        <v>14</v>
      </c>
      <c r="U15" s="705">
        <f t="shared" si="1"/>
        <v>100</v>
      </c>
      <c r="V15" s="704" t="s">
        <v>14</v>
      </c>
      <c r="W15" s="705">
        <f t="shared" si="2"/>
        <v>100</v>
      </c>
      <c r="X15" s="1354"/>
      <c r="Y15" s="371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0"/>
      <c r="Q16" s="1351"/>
      <c r="R16" s="704"/>
      <c r="S16" s="705"/>
      <c r="T16" s="704"/>
      <c r="U16" s="705"/>
      <c r="V16" s="704"/>
      <c r="W16" s="705"/>
      <c r="X16" s="1354"/>
      <c r="Y16" s="3720"/>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0"/>
      <c r="Q18" s="1351"/>
      <c r="R18" s="704"/>
      <c r="S18" s="705"/>
      <c r="T18" s="704"/>
      <c r="U18" s="705"/>
      <c r="V18" s="704"/>
      <c r="W18" s="705"/>
      <c r="X18" s="1354"/>
      <c r="Y18" s="3720"/>
      <c r="Z18" s="1355"/>
      <c r="AA18" s="1352">
        <v>1</v>
      </c>
      <c r="AB18" s="1352">
        <v>1</v>
      </c>
      <c r="AC18" s="1352">
        <v>1</v>
      </c>
    </row>
    <row r="19" spans="1:29" ht="15">
      <c r="A19" s="379"/>
      <c r="B19" s="402" t="s">
        <v>1812</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0"/>
      <c r="Q20" s="1351"/>
      <c r="R20" s="704"/>
      <c r="S20" s="705"/>
      <c r="T20" s="704"/>
      <c r="U20" s="705"/>
      <c r="V20" s="704"/>
      <c r="W20" s="705"/>
      <c r="X20" s="1354"/>
      <c r="Y20" s="3720"/>
      <c r="Z20" s="1355"/>
      <c r="AA20" s="1352">
        <v>1</v>
      </c>
      <c r="AB20" s="1352">
        <v>1</v>
      </c>
      <c r="AC20" s="1352">
        <v>1</v>
      </c>
    </row>
    <row r="21" spans="1:29" ht="15">
      <c r="A21" s="379"/>
      <c r="B21" s="1130"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0"/>
      <c r="Q22" s="1351"/>
      <c r="R22" s="704"/>
      <c r="S22" s="705"/>
      <c r="T22" s="704"/>
      <c r="U22" s="705"/>
      <c r="V22" s="704"/>
      <c r="W22" s="705"/>
      <c r="X22" s="1354"/>
      <c r="Y22" s="3720"/>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51" t="str">
        <f>B23</f>
        <v>环境质量</v>
      </c>
      <c r="R23" s="704" t="s">
        <v>14</v>
      </c>
      <c r="S23" s="705">
        <f>F23</f>
        <v>100</v>
      </c>
      <c r="T23" s="704" t="s">
        <v>14</v>
      </c>
      <c r="U23" s="705">
        <f>H23</f>
        <v>100</v>
      </c>
      <c r="V23" s="704" t="s">
        <v>14</v>
      </c>
      <c r="W23" s="705">
        <f>J23</f>
        <v>100</v>
      </c>
      <c r="X23" s="1354"/>
      <c r="Y23" s="372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0"/>
      <c r="Q24" s="1351"/>
      <c r="R24" s="704"/>
      <c r="S24" s="705"/>
      <c r="T24" s="704"/>
      <c r="U24" s="705"/>
      <c r="V24" s="704"/>
      <c r="W24" s="705"/>
      <c r="X24" s="1354"/>
      <c r="Y24" s="372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51">
        <f>B25</f>
        <v>111</v>
      </c>
      <c r="R25" s="704" t="s">
        <v>14</v>
      </c>
      <c r="S25" s="705">
        <f>F25</f>
        <v>100</v>
      </c>
      <c r="T25" s="704" t="s">
        <v>14</v>
      </c>
      <c r="U25" s="705">
        <f>H25</f>
        <v>100</v>
      </c>
      <c r="V25" s="704" t="s">
        <v>14</v>
      </c>
      <c r="W25" s="705">
        <f>J25</f>
        <v>100</v>
      </c>
      <c r="X25" s="1354"/>
      <c r="Y25" s="372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51">
        <f t="shared" ref="Q26:Q40" si="11">B26</f>
        <v>111</v>
      </c>
      <c r="R26" s="704" t="s">
        <v>14</v>
      </c>
      <c r="S26" s="705">
        <f>F26</f>
        <v>100</v>
      </c>
      <c r="T26" s="704" t="s">
        <v>14</v>
      </c>
      <c r="U26" s="705">
        <f>H26</f>
        <v>100</v>
      </c>
      <c r="V26" s="704" t="s">
        <v>14</v>
      </c>
      <c r="W26" s="705">
        <f>J26</f>
        <v>100</v>
      </c>
      <c r="X26" s="1354"/>
      <c r="Y26" s="372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2">
        <f t="shared" si="11"/>
        <v>111</v>
      </c>
      <c r="R27" s="700" t="s">
        <v>14</v>
      </c>
      <c r="S27" s="701">
        <f>F27</f>
        <v>100</v>
      </c>
      <c r="T27" s="700" t="s">
        <v>14</v>
      </c>
      <c r="U27" s="701">
        <f>H27</f>
        <v>100</v>
      </c>
      <c r="V27" s="700" t="s">
        <v>14</v>
      </c>
      <c r="W27" s="701">
        <f>J27</f>
        <v>100</v>
      </c>
      <c r="X27" s="702"/>
      <c r="Y27" s="372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51">
        <f t="shared" si="11"/>
        <v>111</v>
      </c>
      <c r="R28" s="704" t="s">
        <v>14</v>
      </c>
      <c r="S28" s="705">
        <f t="shared" ref="S28:S40" si="12">F28</f>
        <v>100</v>
      </c>
      <c r="T28" s="704" t="s">
        <v>14</v>
      </c>
      <c r="U28" s="705">
        <f t="shared" ref="U28:U40" si="13">H28</f>
        <v>100</v>
      </c>
      <c r="V28" s="704" t="s">
        <v>14</v>
      </c>
      <c r="W28" s="705">
        <f t="shared" ref="W28:W40" si="14">J28</f>
        <v>100</v>
      </c>
      <c r="X28" s="1354"/>
      <c r="Y28" s="3720"/>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75" t="s">
        <v>1696</v>
      </c>
      <c r="Q29" s="1351" t="str">
        <f t="shared" si="11"/>
        <v>建筑类型</v>
      </c>
      <c r="R29" s="704" t="s">
        <v>14</v>
      </c>
      <c r="S29" s="705">
        <f t="shared" si="12"/>
        <v>100</v>
      </c>
      <c r="T29" s="704" t="s">
        <v>14</v>
      </c>
      <c r="U29" s="705">
        <f t="shared" si="13"/>
        <v>100</v>
      </c>
      <c r="V29" s="704" t="s">
        <v>14</v>
      </c>
      <c r="W29" s="705">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51" t="str">
        <f t="shared" si="11"/>
        <v>建筑结构</v>
      </c>
      <c r="R31" s="704" t="s">
        <v>14</v>
      </c>
      <c r="S31" s="705">
        <f t="shared" si="12"/>
        <v>100</v>
      </c>
      <c r="T31" s="704" t="s">
        <v>14</v>
      </c>
      <c r="U31" s="705">
        <f t="shared" si="13"/>
        <v>100</v>
      </c>
      <c r="V31" s="704" t="s">
        <v>14</v>
      </c>
      <c r="W31" s="705">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51" t="str">
        <f t="shared" si="11"/>
        <v>公共部分装修</v>
      </c>
      <c r="R32" s="704" t="s">
        <v>14</v>
      </c>
      <c r="S32" s="705">
        <f t="shared" si="12"/>
        <v>100</v>
      </c>
      <c r="T32" s="704" t="s">
        <v>14</v>
      </c>
      <c r="U32" s="705">
        <f t="shared" si="13"/>
        <v>100</v>
      </c>
      <c r="V32" s="704" t="s">
        <v>14</v>
      </c>
      <c r="W32" s="705">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51" t="str">
        <f t="shared" si="11"/>
        <v>成新度</v>
      </c>
      <c r="R33" s="704" t="s">
        <v>14</v>
      </c>
      <c r="S33" s="705" t="e">
        <f t="shared" si="12"/>
        <v>#N/A</v>
      </c>
      <c r="T33" s="704" t="s">
        <v>14</v>
      </c>
      <c r="U33" s="705" t="e">
        <f t="shared" si="13"/>
        <v>#N/A</v>
      </c>
      <c r="V33" s="704" t="s">
        <v>14</v>
      </c>
      <c r="W33" s="705"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2"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1696</v>
      </c>
      <c r="Q35" s="1351" t="str">
        <f t="shared" si="11"/>
        <v>市政基础设施</v>
      </c>
      <c r="R35" s="704" t="s">
        <v>14</v>
      </c>
      <c r="S35" s="705">
        <f t="shared" si="12"/>
        <v>100</v>
      </c>
      <c r="T35" s="704" t="s">
        <v>14</v>
      </c>
      <c r="U35" s="705">
        <f t="shared" si="13"/>
        <v>100</v>
      </c>
      <c r="V35" s="704" t="s">
        <v>14</v>
      </c>
      <c r="W35" s="705">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51" t="str">
        <f t="shared" si="11"/>
        <v>内部装修</v>
      </c>
      <c r="R36" s="704" t="s">
        <v>14</v>
      </c>
      <c r="S36" s="705">
        <f t="shared" si="12"/>
        <v>100</v>
      </c>
      <c r="T36" s="704" t="s">
        <v>14</v>
      </c>
      <c r="U36" s="705">
        <f t="shared" si="13"/>
        <v>100</v>
      </c>
      <c r="V36" s="704" t="s">
        <v>14</v>
      </c>
      <c r="W36" s="705">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51" t="str">
        <f t="shared" si="11"/>
        <v>内部装修状况</v>
      </c>
      <c r="R37" s="704" t="s">
        <v>14</v>
      </c>
      <c r="S37" s="705">
        <f t="shared" si="12"/>
        <v>100</v>
      </c>
      <c r="T37" s="704" t="s">
        <v>14</v>
      </c>
      <c r="U37" s="705">
        <f t="shared" si="13"/>
        <v>100</v>
      </c>
      <c r="V37" s="704" t="s">
        <v>14</v>
      </c>
      <c r="W37" s="705">
        <f t="shared" si="14"/>
        <v>100</v>
      </c>
      <c r="X37" s="1354"/>
      <c r="Y37" s="372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51">
        <f t="shared" si="11"/>
        <v>111</v>
      </c>
      <c r="R39" s="704" t="s">
        <v>14</v>
      </c>
      <c r="S39" s="705">
        <f t="shared" si="12"/>
        <v>100</v>
      </c>
      <c r="T39" s="704" t="s">
        <v>14</v>
      </c>
      <c r="U39" s="705">
        <f t="shared" si="13"/>
        <v>100</v>
      </c>
      <c r="V39" s="704" t="s">
        <v>14</v>
      </c>
      <c r="W39" s="705">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5"/>
      <c r="Q40" s="1351">
        <f t="shared" si="11"/>
        <v>111</v>
      </c>
      <c r="R40" s="704" t="s">
        <v>14</v>
      </c>
      <c r="S40" s="705">
        <f t="shared" si="12"/>
        <v>100</v>
      </c>
      <c r="T40" s="704" t="s">
        <v>14</v>
      </c>
      <c r="U40" s="705">
        <f t="shared" si="13"/>
        <v>100</v>
      </c>
      <c r="V40" s="704" t="s">
        <v>14</v>
      </c>
      <c r="W40" s="705">
        <f t="shared" si="14"/>
        <v>100</v>
      </c>
      <c r="X40" s="1354"/>
      <c r="Y40" s="372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7" t="str">
        <f>A41</f>
        <v>成交单价（元/平方米）</v>
      </c>
      <c r="Q41" s="3717"/>
      <c r="R41" s="3718">
        <f>E41</f>
        <v>0</v>
      </c>
      <c r="S41" s="3718"/>
      <c r="T41" s="3718">
        <f>G41</f>
        <v>0</v>
      </c>
      <c r="U41" s="3718"/>
      <c r="V41" s="3718">
        <f>I41</f>
        <v>0</v>
      </c>
      <c r="W41" s="3718"/>
      <c r="X41" s="689"/>
      <c r="Y41" s="711"/>
      <c r="Z41" s="689"/>
      <c r="AA41" s="689"/>
      <c r="AB41" s="689"/>
      <c r="AC41" s="689"/>
    </row>
    <row r="42" spans="1:29" ht="15.75" thickBot="1">
      <c r="A42" s="437" t="s">
        <v>1793</v>
      </c>
      <c r="B42" s="438"/>
      <c r="C42" s="1159" t="e">
        <f>R43</f>
        <v>#DIV/0!</v>
      </c>
      <c r="D42" s="2314" t="s">
        <v>2138</v>
      </c>
      <c r="E42" s="1160" t="e">
        <f>R42</f>
        <v>#DIV/0!</v>
      </c>
      <c r="F42" s="2315"/>
      <c r="G42" s="1159" t="e">
        <f>T42</f>
        <v>#DIV/0!</v>
      </c>
      <c r="H42" s="2315"/>
      <c r="I42" s="1160" t="e">
        <f>V42</f>
        <v>#DIV/0!</v>
      </c>
      <c r="J42" s="2315"/>
      <c r="K42" s="2317">
        <f>F42+H42+J42</f>
        <v>0</v>
      </c>
      <c r="L42" s="925"/>
      <c r="M42" s="926"/>
      <c r="N42" s="913"/>
      <c r="O42" s="926"/>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4"/>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4"/>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4"/>
      <c r="Y6" s="3746"/>
      <c r="Z6" s="3747"/>
      <c r="AA6" s="3731"/>
      <c r="AB6" s="3731"/>
      <c r="AC6" s="3731"/>
    </row>
    <row r="7" spans="1:29" s="108" customFormat="1" ht="15.75" thickBot="1">
      <c r="A7" s="362" t="s">
        <v>1679</v>
      </c>
      <c r="B7" s="363"/>
      <c r="C7" s="364">
        <f>'数据-取费表'!B2</f>
        <v>45135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3" t="s">
        <v>1683</v>
      </c>
      <c r="Q8" s="3754"/>
      <c r="R8" s="700" t="s">
        <v>14</v>
      </c>
      <c r="S8" s="701">
        <f t="shared" si="0"/>
        <v>100</v>
      </c>
      <c r="T8" s="700" t="s">
        <v>14</v>
      </c>
      <c r="U8" s="701">
        <f t="shared" si="1"/>
        <v>100</v>
      </c>
      <c r="V8" s="700" t="s">
        <v>14</v>
      </c>
      <c r="W8" s="701">
        <f t="shared" si="2"/>
        <v>100</v>
      </c>
      <c r="X8" s="702"/>
      <c r="Y8" s="3753" t="s">
        <v>1683</v>
      </c>
      <c r="Z8" s="375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42" t="str">
        <f t="shared" ref="Q9:Q14" si="6">B9</f>
        <v>用途</v>
      </c>
      <c r="R9" s="700" t="s">
        <v>14</v>
      </c>
      <c r="S9" s="701">
        <f t="shared" si="0"/>
        <v>100</v>
      </c>
      <c r="T9" s="700" t="s">
        <v>14</v>
      </c>
      <c r="U9" s="701">
        <f t="shared" si="1"/>
        <v>100</v>
      </c>
      <c r="V9" s="700" t="s">
        <v>14</v>
      </c>
      <c r="W9" s="701">
        <f t="shared" si="2"/>
        <v>100</v>
      </c>
      <c r="X9" s="702"/>
      <c r="Y9" s="3573" t="s">
        <v>1687</v>
      </c>
      <c r="Z9" s="52" t="str">
        <f t="shared" ref="Z9:Z14" si="7">Q9</f>
        <v>用途</v>
      </c>
      <c r="AA9" s="703">
        <f t="shared" si="3"/>
        <v>1</v>
      </c>
      <c r="AB9" s="703">
        <f t="shared" si="4"/>
        <v>1</v>
      </c>
      <c r="AC9" s="703">
        <f t="shared" si="5"/>
        <v>1</v>
      </c>
    </row>
    <row r="10" spans="1:29" s="378" customFormat="1" ht="27">
      <c r="A10" s="588"/>
      <c r="B10" s="589"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
      <c r="A14" s="355" t="s">
        <v>1690</v>
      </c>
      <c r="B14" s="576"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9" t="s">
        <v>1691</v>
      </c>
      <c r="Q14" s="1351" t="str">
        <f t="shared" si="6"/>
        <v>交通便捷度</v>
      </c>
      <c r="R14" s="704" t="s">
        <v>14</v>
      </c>
      <c r="S14" s="705">
        <f t="shared" si="0"/>
        <v>100</v>
      </c>
      <c r="T14" s="704" t="s">
        <v>14</v>
      </c>
      <c r="U14" s="705">
        <f t="shared" si="1"/>
        <v>100</v>
      </c>
      <c r="V14" s="704" t="s">
        <v>14</v>
      </c>
      <c r="W14" s="705">
        <f t="shared" si="2"/>
        <v>100</v>
      </c>
      <c r="X14" s="1354"/>
      <c r="Y14" s="371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720"/>
      <c r="Q15" s="1351"/>
      <c r="R15" s="704"/>
      <c r="S15" s="705"/>
      <c r="T15" s="704"/>
      <c r="U15" s="705"/>
      <c r="V15" s="704"/>
      <c r="W15" s="705"/>
      <c r="X15" s="1354"/>
      <c r="Y15" s="3720"/>
      <c r="Z15" s="1355"/>
      <c r="AA15" s="1352">
        <v>1</v>
      </c>
      <c r="AB15" s="1352">
        <v>1</v>
      </c>
      <c r="AC15" s="1352">
        <v>1</v>
      </c>
    </row>
    <row r="16" spans="1:29" ht="15">
      <c r="A16" s="358"/>
      <c r="B16" s="578" t="s">
        <v>1812</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0"/>
      <c r="Q16" s="1351" t="str">
        <f>B16</f>
        <v>公共配套设施</v>
      </c>
      <c r="R16" s="704" t="s">
        <v>14</v>
      </c>
      <c r="S16" s="705">
        <f>F16</f>
        <v>100</v>
      </c>
      <c r="T16" s="704" t="s">
        <v>14</v>
      </c>
      <c r="U16" s="705">
        <f>H16</f>
        <v>100</v>
      </c>
      <c r="V16" s="704" t="s">
        <v>14</v>
      </c>
      <c r="W16" s="705">
        <f>J16</f>
        <v>100</v>
      </c>
      <c r="X16" s="1354"/>
      <c r="Y16" s="372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720"/>
      <c r="Q17" s="1351"/>
      <c r="R17" s="704"/>
      <c r="S17" s="705"/>
      <c r="T17" s="704"/>
      <c r="U17" s="705"/>
      <c r="V17" s="704"/>
      <c r="W17" s="705"/>
      <c r="X17" s="1354"/>
      <c r="Y17" s="3720"/>
      <c r="Z17" s="1355"/>
      <c r="AA17" s="1352">
        <v>1</v>
      </c>
      <c r="AB17" s="1352">
        <v>1</v>
      </c>
      <c r="AC17" s="1352">
        <v>1</v>
      </c>
    </row>
    <row r="18" spans="1:29" ht="15">
      <c r="A18" s="358"/>
      <c r="B18" s="580"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0"/>
      <c r="Q18" s="1351" t="str">
        <f>B18</f>
        <v>基础设施水平</v>
      </c>
      <c r="R18" s="704" t="s">
        <v>14</v>
      </c>
      <c r="S18" s="705">
        <f>F18</f>
        <v>100</v>
      </c>
      <c r="T18" s="704" t="s">
        <v>14</v>
      </c>
      <c r="U18" s="705">
        <f>H18</f>
        <v>100</v>
      </c>
      <c r="V18" s="704" t="s">
        <v>14</v>
      </c>
      <c r="W18" s="705">
        <f>J18</f>
        <v>100</v>
      </c>
      <c r="X18" s="1354"/>
      <c r="Y18" s="372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720"/>
      <c r="Q19" s="1351"/>
      <c r="R19" s="704"/>
      <c r="S19" s="705"/>
      <c r="T19" s="704"/>
      <c r="U19" s="705"/>
      <c r="V19" s="704"/>
      <c r="W19" s="705"/>
      <c r="X19" s="1354"/>
      <c r="Y19" s="3720"/>
      <c r="Z19" s="1355"/>
      <c r="AA19" s="1352">
        <v>1</v>
      </c>
      <c r="AB19" s="1352">
        <v>1</v>
      </c>
      <c r="AC19" s="1352">
        <v>1</v>
      </c>
    </row>
    <row r="20" spans="1:29" ht="15">
      <c r="A20" s="358"/>
      <c r="B20" s="578"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0"/>
      <c r="Q20" s="1351" t="str">
        <f>B20</f>
        <v>自然及人文环境</v>
      </c>
      <c r="R20" s="704" t="s">
        <v>14</v>
      </c>
      <c r="S20" s="705">
        <f>F20</f>
        <v>100</v>
      </c>
      <c r="T20" s="704" t="s">
        <v>14</v>
      </c>
      <c r="U20" s="705">
        <f>H20</f>
        <v>100</v>
      </c>
      <c r="V20" s="704" t="s">
        <v>14</v>
      </c>
      <c r="W20" s="705">
        <f>J20</f>
        <v>100</v>
      </c>
      <c r="X20" s="1354"/>
      <c r="Y20" s="372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720"/>
      <c r="Q21" s="1351"/>
      <c r="R21" s="704"/>
      <c r="S21" s="705"/>
      <c r="T21" s="704"/>
      <c r="U21" s="705"/>
      <c r="V21" s="704"/>
      <c r="W21" s="705"/>
      <c r="X21" s="1354"/>
      <c r="Y21" s="372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0"/>
      <c r="Q22" s="1351" t="str">
        <f>B22</f>
        <v>楼层</v>
      </c>
      <c r="R22" s="704" t="s">
        <v>14</v>
      </c>
      <c r="S22" s="705">
        <f>F22</f>
        <v>100</v>
      </c>
      <c r="T22" s="704" t="s">
        <v>14</v>
      </c>
      <c r="U22" s="705">
        <f>H22</f>
        <v>100</v>
      </c>
      <c r="V22" s="704" t="s">
        <v>14</v>
      </c>
      <c r="W22" s="705">
        <f>J22</f>
        <v>100</v>
      </c>
      <c r="X22" s="1354"/>
      <c r="Y22" s="372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0"/>
      <c r="Q23" s="1351">
        <f>B23</f>
        <v>111</v>
      </c>
      <c r="R23" s="704" t="s">
        <v>14</v>
      </c>
      <c r="S23" s="705">
        <f>F23</f>
        <v>100</v>
      </c>
      <c r="T23" s="704" t="s">
        <v>14</v>
      </c>
      <c r="U23" s="705">
        <f>H23</f>
        <v>100</v>
      </c>
      <c r="V23" s="704" t="s">
        <v>14</v>
      </c>
      <c r="W23" s="705">
        <f>J23</f>
        <v>100</v>
      </c>
      <c r="X23" s="1354"/>
      <c r="Y23" s="372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0"/>
      <c r="Q24" s="1351">
        <f t="shared" ref="Q24:Q36" si="11">B24</f>
        <v>111</v>
      </c>
      <c r="R24" s="704" t="s">
        <v>14</v>
      </c>
      <c r="S24" s="705">
        <f>F24</f>
        <v>100</v>
      </c>
      <c r="T24" s="704" t="s">
        <v>14</v>
      </c>
      <c r="U24" s="705">
        <f>H24</f>
        <v>100</v>
      </c>
      <c r="V24" s="704" t="s">
        <v>14</v>
      </c>
      <c r="W24" s="705">
        <f>J24</f>
        <v>100</v>
      </c>
      <c r="X24" s="1354"/>
      <c r="Y24" s="372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20"/>
      <c r="Q25" s="1342">
        <f t="shared" si="11"/>
        <v>111</v>
      </c>
      <c r="R25" s="700" t="s">
        <v>14</v>
      </c>
      <c r="S25" s="701">
        <f>F25</f>
        <v>100</v>
      </c>
      <c r="T25" s="700" t="s">
        <v>14</v>
      </c>
      <c r="U25" s="701">
        <f>H25</f>
        <v>100</v>
      </c>
      <c r="V25" s="700" t="s">
        <v>14</v>
      </c>
      <c r="W25" s="701">
        <f>J25</f>
        <v>100</v>
      </c>
      <c r="X25" s="702"/>
      <c r="Y25" s="3720"/>
      <c r="Z25" s="52">
        <f>Q25</f>
        <v>111</v>
      </c>
      <c r="AA25" s="1352">
        <f>D25/F25</f>
        <v>1</v>
      </c>
      <c r="AB25" s="1352">
        <f>D25/H25</f>
        <v>1</v>
      </c>
      <c r="AC25" s="1352">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4"/>
      <c r="Q28" s="1351" t="str">
        <f t="shared" si="11"/>
        <v>公共部分装修</v>
      </c>
      <c r="R28" s="704" t="s">
        <v>14</v>
      </c>
      <c r="S28" s="705">
        <f t="shared" si="12"/>
        <v>100</v>
      </c>
      <c r="T28" s="704" t="s">
        <v>14</v>
      </c>
      <c r="U28" s="705">
        <f t="shared" si="13"/>
        <v>100</v>
      </c>
      <c r="V28" s="704" t="s">
        <v>14</v>
      </c>
      <c r="W28" s="705">
        <f t="shared" si="14"/>
        <v>100</v>
      </c>
      <c r="X28" s="1354"/>
      <c r="Y28" s="372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4"/>
      <c r="Q29" s="1351" t="str">
        <f t="shared" si="11"/>
        <v>成新率</v>
      </c>
      <c r="R29" s="704" t="s">
        <v>14</v>
      </c>
      <c r="S29" s="705" t="e">
        <f t="shared" si="12"/>
        <v>#N/A</v>
      </c>
      <c r="T29" s="704" t="s">
        <v>14</v>
      </c>
      <c r="U29" s="705" t="e">
        <f t="shared" si="13"/>
        <v>#N/A</v>
      </c>
      <c r="V29" s="704" t="s">
        <v>14</v>
      </c>
      <c r="W29" s="705" t="e">
        <f t="shared" si="14"/>
        <v>#N/A</v>
      </c>
      <c r="X29" s="1354"/>
      <c r="Y29" s="372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4"/>
      <c r="Q30" s="1351" t="str">
        <f t="shared" si="11"/>
        <v>物业等级</v>
      </c>
      <c r="R30" s="704" t="s">
        <v>14</v>
      </c>
      <c r="S30" s="705">
        <f t="shared" si="12"/>
        <v>100</v>
      </c>
      <c r="T30" s="704" t="s">
        <v>14</v>
      </c>
      <c r="U30" s="705">
        <f t="shared" si="13"/>
        <v>100</v>
      </c>
      <c r="V30" s="704" t="s">
        <v>14</v>
      </c>
      <c r="W30" s="705">
        <f t="shared" si="14"/>
        <v>100</v>
      </c>
      <c r="X30" s="1354"/>
      <c r="Y30" s="372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4"/>
      <c r="Q31" s="1342" t="str">
        <f t="shared" si="11"/>
        <v>停车位面积</v>
      </c>
      <c r="R31" s="700" t="s">
        <v>14</v>
      </c>
      <c r="S31" s="701" t="e">
        <f t="shared" si="12"/>
        <v>#N/A</v>
      </c>
      <c r="T31" s="700" t="s">
        <v>14</v>
      </c>
      <c r="U31" s="701" t="e">
        <f t="shared" si="13"/>
        <v>#N/A</v>
      </c>
      <c r="V31" s="700" t="s">
        <v>14</v>
      </c>
      <c r="W31" s="701" t="e">
        <f t="shared" si="14"/>
        <v>#N/A</v>
      </c>
      <c r="X31" s="702"/>
      <c r="Y31" s="372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4" t="s">
        <v>1696</v>
      </c>
      <c r="Q32" s="1351" t="str">
        <f t="shared" si="11"/>
        <v>车位类型</v>
      </c>
      <c r="R32" s="704" t="s">
        <v>14</v>
      </c>
      <c r="S32" s="705">
        <f t="shared" si="12"/>
        <v>100</v>
      </c>
      <c r="T32" s="704" t="s">
        <v>14</v>
      </c>
      <c r="U32" s="705">
        <f t="shared" si="13"/>
        <v>100</v>
      </c>
      <c r="V32" s="704" t="s">
        <v>14</v>
      </c>
      <c r="W32" s="705">
        <f t="shared" si="14"/>
        <v>100</v>
      </c>
      <c r="X32" s="1354"/>
      <c r="Y32" s="372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4"/>
      <c r="Q33" s="1351" t="str">
        <f t="shared" si="11"/>
        <v>是否直接入户</v>
      </c>
      <c r="R33" s="704" t="s">
        <v>14</v>
      </c>
      <c r="S33" s="705">
        <f t="shared" si="12"/>
        <v>100</v>
      </c>
      <c r="T33" s="704" t="s">
        <v>14</v>
      </c>
      <c r="U33" s="705">
        <f t="shared" si="13"/>
        <v>100</v>
      </c>
      <c r="V33" s="704" t="s">
        <v>14</v>
      </c>
      <c r="W33" s="705">
        <f t="shared" si="14"/>
        <v>100</v>
      </c>
      <c r="X33" s="1354"/>
      <c r="Y33" s="372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4"/>
      <c r="Q34" s="1351">
        <f t="shared" si="11"/>
        <v>111</v>
      </c>
      <c r="R34" s="704" t="s">
        <v>14</v>
      </c>
      <c r="S34" s="705">
        <f t="shared" si="12"/>
        <v>100</v>
      </c>
      <c r="T34" s="704" t="s">
        <v>14</v>
      </c>
      <c r="U34" s="705">
        <f t="shared" si="13"/>
        <v>100</v>
      </c>
      <c r="V34" s="704" t="s">
        <v>14</v>
      </c>
      <c r="W34" s="705">
        <f t="shared" si="14"/>
        <v>100</v>
      </c>
      <c r="X34" s="1354"/>
      <c r="Y34" s="372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4"/>
      <c r="Q36" s="1351">
        <f t="shared" si="11"/>
        <v>111</v>
      </c>
      <c r="R36" s="704" t="s">
        <v>14</v>
      </c>
      <c r="S36" s="705">
        <f t="shared" si="12"/>
        <v>100</v>
      </c>
      <c r="T36" s="704" t="s">
        <v>14</v>
      </c>
      <c r="U36" s="705">
        <f t="shared" si="13"/>
        <v>100</v>
      </c>
      <c r="V36" s="704" t="s">
        <v>14</v>
      </c>
      <c r="W36" s="705">
        <f t="shared" si="14"/>
        <v>100</v>
      </c>
      <c r="X36" s="1354"/>
      <c r="Y36" s="3724"/>
      <c r="Z36" s="1355">
        <f t="shared" si="15"/>
        <v>111</v>
      </c>
      <c r="AA36" s="1352">
        <f t="shared" si="3"/>
        <v>1</v>
      </c>
      <c r="AB36" s="1352">
        <f t="shared" si="4"/>
        <v>1</v>
      </c>
      <c r="AC36" s="1352">
        <f t="shared" si="5"/>
        <v>1</v>
      </c>
    </row>
    <row r="37" spans="1:29" ht="15">
      <c r="A37" s="430" t="s">
        <v>1844</v>
      </c>
      <c r="B37" s="1970" t="s">
        <v>3348</v>
      </c>
      <c r="C37" s="1153" t="s">
        <v>0</v>
      </c>
      <c r="D37" s="1154"/>
      <c r="E37" s="1155"/>
      <c r="F37" s="1156"/>
      <c r="G37" s="1157"/>
      <c r="H37" s="1158"/>
      <c r="I37" s="1155"/>
      <c r="J37" s="1158"/>
      <c r="K37" s="567"/>
      <c r="L37" s="2720"/>
      <c r="M37" s="2721"/>
      <c r="N37" s="2712"/>
      <c r="O37" s="2721"/>
      <c r="P37" s="3717" t="str">
        <f>A37</f>
        <v>成交单价</v>
      </c>
      <c r="Q37" s="3717"/>
      <c r="R37" s="3718">
        <f>E37</f>
        <v>0</v>
      </c>
      <c r="S37" s="3718"/>
      <c r="T37" s="3718">
        <f>G37</f>
        <v>0</v>
      </c>
      <c r="U37" s="3718"/>
      <c r="V37" s="3718">
        <f>I37</f>
        <v>0</v>
      </c>
      <c r="W37" s="3718"/>
      <c r="X37" s="689"/>
      <c r="Y37" s="711"/>
      <c r="Z37" s="689"/>
      <c r="AA37" s="689"/>
      <c r="AB37" s="689"/>
      <c r="AC37" s="689"/>
    </row>
    <row r="38" spans="1:29" ht="15.75" thickBot="1">
      <c r="A38" s="437" t="s">
        <v>1845</v>
      </c>
      <c r="B38" s="438" t="str">
        <f>B37</f>
        <v>元/平方米</v>
      </c>
      <c r="C38" s="1159" t="e">
        <f>R39</f>
        <v>#DIV/0!</v>
      </c>
      <c r="D38" s="2314" t="s">
        <v>2138</v>
      </c>
      <c r="E38" s="1160" t="e">
        <f>R38</f>
        <v>#DIV/0!</v>
      </c>
      <c r="F38" s="2315"/>
      <c r="G38" s="1159" t="e">
        <f>T38</f>
        <v>#DIV/0!</v>
      </c>
      <c r="H38" s="2315"/>
      <c r="I38" s="1160" t="e">
        <f>V38</f>
        <v>#DIV/0!</v>
      </c>
      <c r="J38" s="2315"/>
      <c r="K38" s="2317">
        <f>F38+H38+J38</f>
        <v>0</v>
      </c>
      <c r="L38" s="2720"/>
      <c r="M38" s="2721"/>
      <c r="N38" s="2721"/>
      <c r="O38" s="2721"/>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0"/>
      <c r="M39" s="2721"/>
      <c r="N39" s="2721"/>
      <c r="O39" s="2721"/>
      <c r="P39" s="3714" t="str">
        <f>A39</f>
        <v>估价对象XX用房的比较价值（楼面单价，元/平方米）</v>
      </c>
      <c r="Q39" s="3715"/>
      <c r="R39" s="3776" t="e">
        <f>IF(F1="售价",ROUND(IF(D38="简单平均",AVERAGE(R38:W38),R38*F38+T38*H38+V38*J38),0),ROUND(IF(D38="简单平均",AVERAGE(R38:V38),R38*F38+T38*H38+V38*J38),1))</f>
        <v>#DIV/0!</v>
      </c>
      <c r="S39" s="3776"/>
      <c r="T39" s="3776"/>
      <c r="U39" s="3776"/>
      <c r="V39" s="3776"/>
      <c r="W39" s="377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1850</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7" t="s">
        <v>1799</v>
      </c>
      <c r="D67" s="607" t="s">
        <v>1800</v>
      </c>
      <c r="E67" s="607" t="s">
        <v>1801</v>
      </c>
      <c r="F67" s="607" t="s">
        <v>1802</v>
      </c>
      <c r="G67" s="607"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受贵公司委托，我公司对北京市朝阳区樱花园东街1号楼1至2层1-7房地产市场价值进行了预评估。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估价对象为北京市朝阳区樱花园东街1号楼1至2层1-7房地产，为北京万方鑫所有。根据《国有土地使用证》[]，估价对象（分摊）出让国有建设用地使用权面积为0平方米，建筑面积为1014.07平方米。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樱花园东街1号楼1至2层1-7房地产,为北京万方鑫开发建设的，该项目尚在开发建设中。根据《国有土地使用证》[]，估价对象（分摊）出让国有建设用地使用权面积为0平方米，规划建筑面积为1014.07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樱花园东街1号楼1至2层1-7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4"/>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4"/>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4"/>
      <c r="Y6" s="3746"/>
      <c r="Z6" s="3747"/>
      <c r="AA6" s="3731"/>
      <c r="AB6" s="3731"/>
      <c r="AC6" s="3731"/>
    </row>
    <row r="7" spans="1:29" s="108" customFormat="1" ht="15.75" thickBot="1">
      <c r="A7" s="362" t="s">
        <v>1679</v>
      </c>
      <c r="B7" s="363"/>
      <c r="C7" s="364">
        <f>'数据-取费表'!B2</f>
        <v>45135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3" t="s">
        <v>1683</v>
      </c>
      <c r="Q8" s="3754"/>
      <c r="R8" s="700" t="s">
        <v>14</v>
      </c>
      <c r="S8" s="701">
        <f t="shared" si="0"/>
        <v>100</v>
      </c>
      <c r="T8" s="700" t="s">
        <v>14</v>
      </c>
      <c r="U8" s="701">
        <f t="shared" si="1"/>
        <v>100</v>
      </c>
      <c r="V8" s="700" t="s">
        <v>14</v>
      </c>
      <c r="W8" s="701">
        <f t="shared" si="2"/>
        <v>100</v>
      </c>
      <c r="X8" s="702"/>
      <c r="Y8" s="3753" t="s">
        <v>1683</v>
      </c>
      <c r="Z8" s="37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42" t="str">
        <f t="shared" ref="Q9:Q14" si="6">B9</f>
        <v>用途</v>
      </c>
      <c r="R9" s="700" t="s">
        <v>14</v>
      </c>
      <c r="S9" s="701">
        <f t="shared" si="0"/>
        <v>100</v>
      </c>
      <c r="T9" s="700" t="s">
        <v>14</v>
      </c>
      <c r="U9" s="701">
        <f t="shared" si="1"/>
        <v>100</v>
      </c>
      <c r="V9" s="700" t="s">
        <v>14</v>
      </c>
      <c r="W9" s="701">
        <f t="shared" si="2"/>
        <v>100</v>
      </c>
      <c r="X9" s="702"/>
      <c r="Y9" s="3573"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17"/>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9" t="s">
        <v>1691</v>
      </c>
      <c r="Q14" s="1351" t="str">
        <f t="shared" si="6"/>
        <v>交通便捷度</v>
      </c>
      <c r="R14" s="704" t="s">
        <v>14</v>
      </c>
      <c r="S14" s="705">
        <f t="shared" si="0"/>
        <v>100</v>
      </c>
      <c r="T14" s="704" t="s">
        <v>14</v>
      </c>
      <c r="U14" s="705">
        <f t="shared" si="1"/>
        <v>100</v>
      </c>
      <c r="V14" s="704" t="s">
        <v>14</v>
      </c>
      <c r="W14" s="705">
        <f t="shared" si="2"/>
        <v>100</v>
      </c>
      <c r="X14" s="1354"/>
      <c r="Y14" s="371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20"/>
      <c r="Q15" s="1351"/>
      <c r="R15" s="704"/>
      <c r="S15" s="705"/>
      <c r="T15" s="704"/>
      <c r="U15" s="705"/>
      <c r="V15" s="704"/>
      <c r="W15" s="705"/>
      <c r="X15" s="1354"/>
      <c r="Y15" s="3720"/>
      <c r="Z15" s="1355"/>
      <c r="AA15" s="1352">
        <v>1</v>
      </c>
      <c r="AB15" s="1352">
        <v>1</v>
      </c>
      <c r="AC15" s="1352">
        <v>1</v>
      </c>
    </row>
    <row r="16" spans="1:29" ht="15">
      <c r="A16" s="379"/>
      <c r="B16" s="402" t="s">
        <v>1812</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0"/>
      <c r="Q16" s="1351" t="str">
        <f>B16</f>
        <v>公共配套设施</v>
      </c>
      <c r="R16" s="704" t="s">
        <v>14</v>
      </c>
      <c r="S16" s="705">
        <f>F16</f>
        <v>100</v>
      </c>
      <c r="T16" s="704" t="s">
        <v>14</v>
      </c>
      <c r="U16" s="705">
        <f>H16</f>
        <v>100</v>
      </c>
      <c r="V16" s="704" t="s">
        <v>14</v>
      </c>
      <c r="W16" s="705">
        <f>J16</f>
        <v>100</v>
      </c>
      <c r="X16" s="1354"/>
      <c r="Y16" s="372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20"/>
      <c r="Q17" s="1351"/>
      <c r="R17" s="704"/>
      <c r="S17" s="705"/>
      <c r="T17" s="704"/>
      <c r="U17" s="705"/>
      <c r="V17" s="704"/>
      <c r="W17" s="705"/>
      <c r="X17" s="1354"/>
      <c r="Y17" s="3720"/>
      <c r="Z17" s="1355"/>
      <c r="AA17" s="1352">
        <v>1</v>
      </c>
      <c r="AB17" s="1352">
        <v>1</v>
      </c>
      <c r="AC17" s="1352">
        <v>1</v>
      </c>
    </row>
    <row r="18" spans="1:29" ht="15">
      <c r="A18" s="379"/>
      <c r="B18" s="1130"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0"/>
      <c r="Q18" s="1351" t="str">
        <f>B18</f>
        <v>基础设施水平</v>
      </c>
      <c r="R18" s="704" t="s">
        <v>14</v>
      </c>
      <c r="S18" s="705">
        <f>F18</f>
        <v>100</v>
      </c>
      <c r="T18" s="704" t="s">
        <v>14</v>
      </c>
      <c r="U18" s="705">
        <f>H18</f>
        <v>100</v>
      </c>
      <c r="V18" s="704" t="s">
        <v>14</v>
      </c>
      <c r="W18" s="705">
        <f>J18</f>
        <v>100</v>
      </c>
      <c r="X18" s="1354"/>
      <c r="Y18" s="372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720"/>
      <c r="Q19" s="1351"/>
      <c r="R19" s="704"/>
      <c r="S19" s="705"/>
      <c r="T19" s="704"/>
      <c r="U19" s="705"/>
      <c r="V19" s="704"/>
      <c r="W19" s="705"/>
      <c r="X19" s="1354"/>
      <c r="Y19" s="3720"/>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0"/>
      <c r="Q20" s="1351" t="str">
        <f>B20</f>
        <v>自然及人文环境</v>
      </c>
      <c r="R20" s="704" t="s">
        <v>14</v>
      </c>
      <c r="S20" s="705">
        <f>F20</f>
        <v>100</v>
      </c>
      <c r="T20" s="704" t="s">
        <v>14</v>
      </c>
      <c r="U20" s="705">
        <f>H20</f>
        <v>100</v>
      </c>
      <c r="V20" s="704" t="s">
        <v>14</v>
      </c>
      <c r="W20" s="705">
        <f>J20</f>
        <v>100</v>
      </c>
      <c r="X20" s="1354"/>
      <c r="Y20" s="372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20"/>
      <c r="Q21" s="1351"/>
      <c r="R21" s="704"/>
      <c r="S21" s="705"/>
      <c r="T21" s="704"/>
      <c r="U21" s="705"/>
      <c r="V21" s="704"/>
      <c r="W21" s="705"/>
      <c r="X21" s="1354"/>
      <c r="Y21" s="372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0"/>
      <c r="Q22" s="1351" t="str">
        <f>B22</f>
        <v>楼层</v>
      </c>
      <c r="R22" s="704" t="s">
        <v>14</v>
      </c>
      <c r="S22" s="705">
        <f>F22</f>
        <v>100</v>
      </c>
      <c r="T22" s="704" t="s">
        <v>14</v>
      </c>
      <c r="U22" s="705">
        <f>H22</f>
        <v>100</v>
      </c>
      <c r="V22" s="704" t="s">
        <v>14</v>
      </c>
      <c r="W22" s="705">
        <f>J22</f>
        <v>100</v>
      </c>
      <c r="X22" s="1354"/>
      <c r="Y22" s="372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0"/>
      <c r="Q23" s="1351">
        <f>B23</f>
        <v>111</v>
      </c>
      <c r="R23" s="704" t="s">
        <v>14</v>
      </c>
      <c r="S23" s="705">
        <f>F23</f>
        <v>100</v>
      </c>
      <c r="T23" s="704" t="s">
        <v>14</v>
      </c>
      <c r="U23" s="705">
        <f>H23</f>
        <v>100</v>
      </c>
      <c r="V23" s="704" t="s">
        <v>14</v>
      </c>
      <c r="W23" s="705">
        <f>J23</f>
        <v>100</v>
      </c>
      <c r="X23" s="1354"/>
      <c r="Y23" s="372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0"/>
      <c r="Q24" s="1351">
        <f t="shared" ref="Q24:Q34" si="11">B24</f>
        <v>111</v>
      </c>
      <c r="R24" s="704" t="s">
        <v>14</v>
      </c>
      <c r="S24" s="705">
        <f>F24</f>
        <v>100</v>
      </c>
      <c r="T24" s="704" t="s">
        <v>14</v>
      </c>
      <c r="U24" s="705">
        <f>H24</f>
        <v>100</v>
      </c>
      <c r="V24" s="704" t="s">
        <v>14</v>
      </c>
      <c r="W24" s="705">
        <f>J24</f>
        <v>100</v>
      </c>
      <c r="X24" s="1354"/>
      <c r="Y24" s="3720"/>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3"/>
      <c r="M25" s="2714"/>
      <c r="N25" s="2714"/>
      <c r="O25" s="2768"/>
      <c r="P25" s="3720"/>
      <c r="Q25" s="1342">
        <f t="shared" si="11"/>
        <v>111</v>
      </c>
      <c r="R25" s="700" t="s">
        <v>14</v>
      </c>
      <c r="S25" s="701">
        <f>F25</f>
        <v>100</v>
      </c>
      <c r="T25" s="700" t="s">
        <v>14</v>
      </c>
      <c r="U25" s="701">
        <f>H25</f>
        <v>100</v>
      </c>
      <c r="V25" s="700" t="s">
        <v>14</v>
      </c>
      <c r="W25" s="701">
        <f>J25</f>
        <v>100</v>
      </c>
      <c r="X25" s="702"/>
      <c r="Y25" s="3720"/>
      <c r="Z25" s="52">
        <f>Q25</f>
        <v>111</v>
      </c>
      <c r="AA25" s="1352">
        <f>D25/F25</f>
        <v>1</v>
      </c>
      <c r="AB25" s="1352">
        <f>D25/H25</f>
        <v>1</v>
      </c>
      <c r="AC25" s="1352">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8"/>
      <c r="M26" s="2712"/>
      <c r="N26" s="2712"/>
      <c r="O26" s="2770"/>
      <c r="P26" s="377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4"/>
      <c r="Q28" s="1351" t="str">
        <f t="shared" si="11"/>
        <v>物业等级</v>
      </c>
      <c r="R28" s="704" t="s">
        <v>14</v>
      </c>
      <c r="S28" s="705">
        <f t="shared" si="12"/>
        <v>100</v>
      </c>
      <c r="T28" s="704" t="s">
        <v>14</v>
      </c>
      <c r="U28" s="705">
        <f t="shared" si="13"/>
        <v>100</v>
      </c>
      <c r="V28" s="704" t="s">
        <v>14</v>
      </c>
      <c r="W28" s="705">
        <f t="shared" si="14"/>
        <v>100</v>
      </c>
      <c r="X28" s="1354"/>
      <c r="Y28" s="372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4"/>
      <c r="Q29" s="1351" t="str">
        <f t="shared" si="11"/>
        <v>有无电梯</v>
      </c>
      <c r="R29" s="704" t="s">
        <v>14</v>
      </c>
      <c r="S29" s="705">
        <f t="shared" si="12"/>
        <v>100</v>
      </c>
      <c r="T29" s="704" t="s">
        <v>14</v>
      </c>
      <c r="U29" s="705">
        <f t="shared" si="13"/>
        <v>100</v>
      </c>
      <c r="V29" s="704" t="s">
        <v>14</v>
      </c>
      <c r="W29" s="705">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4"/>
      <c r="Q30" s="1351" t="str">
        <f t="shared" si="11"/>
        <v>建筑面积</v>
      </c>
      <c r="R30" s="704" t="s">
        <v>14</v>
      </c>
      <c r="S30" s="705" t="e">
        <f t="shared" si="12"/>
        <v>#N/A</v>
      </c>
      <c r="T30" s="704" t="s">
        <v>14</v>
      </c>
      <c r="U30" s="705" t="e">
        <f t="shared" si="13"/>
        <v>#N/A</v>
      </c>
      <c r="V30" s="704" t="s">
        <v>14</v>
      </c>
      <c r="W30" s="705"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4"/>
      <c r="Q31" s="1342"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4" t="s">
        <v>1696</v>
      </c>
      <c r="Q32" s="1351">
        <f t="shared" si="11"/>
        <v>111</v>
      </c>
      <c r="R32" s="704" t="s">
        <v>14</v>
      </c>
      <c r="S32" s="705">
        <f t="shared" si="12"/>
        <v>100</v>
      </c>
      <c r="T32" s="704" t="s">
        <v>14</v>
      </c>
      <c r="U32" s="705">
        <f t="shared" si="13"/>
        <v>100</v>
      </c>
      <c r="V32" s="704" t="s">
        <v>14</v>
      </c>
      <c r="W32" s="705">
        <f t="shared" si="14"/>
        <v>100</v>
      </c>
      <c r="X32" s="1354"/>
      <c r="Y32" s="372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4"/>
      <c r="Q33" s="1351">
        <f t="shared" si="11"/>
        <v>111</v>
      </c>
      <c r="R33" s="704" t="s">
        <v>14</v>
      </c>
      <c r="S33" s="705">
        <f t="shared" si="12"/>
        <v>100</v>
      </c>
      <c r="T33" s="704" t="s">
        <v>14</v>
      </c>
      <c r="U33" s="705">
        <f t="shared" si="13"/>
        <v>100</v>
      </c>
      <c r="V33" s="704" t="s">
        <v>14</v>
      </c>
      <c r="W33" s="705">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24"/>
      <c r="Q34" s="1351">
        <f t="shared" si="11"/>
        <v>111</v>
      </c>
      <c r="R34" s="704" t="s">
        <v>14</v>
      </c>
      <c r="S34" s="705">
        <f t="shared" si="12"/>
        <v>100</v>
      </c>
      <c r="T34" s="704" t="s">
        <v>14</v>
      </c>
      <c r="U34" s="705">
        <f t="shared" si="13"/>
        <v>100</v>
      </c>
      <c r="V34" s="704" t="s">
        <v>14</v>
      </c>
      <c r="W34" s="705">
        <f t="shared" si="14"/>
        <v>100</v>
      </c>
      <c r="X34" s="1354"/>
      <c r="Y34" s="372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0"/>
      <c r="M35" s="2721"/>
      <c r="N35" s="2712"/>
      <c r="O35" s="2721"/>
      <c r="P35" s="3717" t="str">
        <f>A35</f>
        <v>成交单价（元/平方米）</v>
      </c>
      <c r="Q35" s="3717"/>
      <c r="R35" s="3718">
        <f>E35</f>
        <v>0</v>
      </c>
      <c r="S35" s="3718"/>
      <c r="T35" s="3718">
        <f>G35</f>
        <v>0</v>
      </c>
      <c r="U35" s="3718"/>
      <c r="V35" s="3718">
        <f>I35</f>
        <v>0</v>
      </c>
      <c r="W35" s="3718"/>
      <c r="X35" s="689"/>
      <c r="Y35" s="711"/>
      <c r="Z35" s="689"/>
      <c r="AA35" s="689"/>
      <c r="AB35" s="689"/>
      <c r="AC35" s="689"/>
    </row>
    <row r="36" spans="1:30" ht="15.75" thickBot="1">
      <c r="A36" s="437" t="s">
        <v>1793</v>
      </c>
      <c r="B36" s="438"/>
      <c r="C36" s="1159" t="e">
        <f>R37</f>
        <v>#DIV/0!</v>
      </c>
      <c r="D36" s="2314" t="s">
        <v>2138</v>
      </c>
      <c r="E36" s="1160" t="e">
        <f>R36</f>
        <v>#DIV/0!</v>
      </c>
      <c r="F36" s="2315"/>
      <c r="G36" s="1159" t="e">
        <f>T36</f>
        <v>#DIV/0!</v>
      </c>
      <c r="H36" s="2315"/>
      <c r="I36" s="1160" t="e">
        <f>V36</f>
        <v>#DIV/0!</v>
      </c>
      <c r="J36" s="2315"/>
      <c r="K36" s="2317">
        <f>F36+H36+J36</f>
        <v>0</v>
      </c>
      <c r="L36" s="2720"/>
      <c r="M36" s="2721"/>
      <c r="N36" s="2712"/>
      <c r="O36" s="2721"/>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0"/>
      <c r="M37" s="2721"/>
      <c r="N37" s="2721"/>
      <c r="O37" s="2721"/>
      <c r="P37" s="3714" t="str">
        <f>A37</f>
        <v>估价对象XX用房的比较价值（楼面单价，元/平方米）</v>
      </c>
      <c r="Q37" s="3715"/>
      <c r="R37" s="3776" t="e">
        <f>IF(F1="售价",ROUND(IF(D36="简单平均",AVERAGE(R36:W36),R36*F36+T36*H36+V36*J36),0),ROUND(IF(D36="简单平均",AVERAGE(R36:V36),R36*F36+T36*H36+V36*J36),1))</f>
        <v>#DIV/0!</v>
      </c>
      <c r="S37" s="3776"/>
      <c r="T37" s="3776"/>
      <c r="U37" s="3776"/>
      <c r="V37" s="3776"/>
      <c r="W37" s="377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1798</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7" t="s">
        <v>1799</v>
      </c>
      <c r="D65" s="607" t="s">
        <v>1800</v>
      </c>
      <c r="E65" s="607" t="s">
        <v>1801</v>
      </c>
      <c r="F65" s="607" t="s">
        <v>1802</v>
      </c>
      <c r="G65" s="607"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4"/>
      <c r="Y4" s="3742" t="s">
        <v>1775</v>
      </c>
      <c r="Z4" s="3743"/>
      <c r="AA4" s="3729" t="s">
        <v>1771</v>
      </c>
      <c r="AB4" s="3730" t="s">
        <v>1772</v>
      </c>
      <c r="AC4" s="3729" t="s">
        <v>1773</v>
      </c>
    </row>
    <row r="5" spans="1:30"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4"/>
      <c r="Y5" s="3744"/>
      <c r="Z5" s="3745"/>
      <c r="AA5" s="3730"/>
      <c r="AB5" s="3730"/>
      <c r="AC5" s="3730"/>
    </row>
    <row r="6" spans="1:30"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4"/>
      <c r="Y6" s="3746"/>
      <c r="Z6" s="3747"/>
      <c r="AA6" s="3731"/>
      <c r="AB6" s="3731"/>
      <c r="AC6" s="3731"/>
    </row>
    <row r="7" spans="1:30" s="108" customFormat="1" ht="15.75" thickBot="1">
      <c r="A7" s="362" t="s">
        <v>1679</v>
      </c>
      <c r="B7" s="363"/>
      <c r="C7" s="364">
        <f>'数据-取费表'!B2</f>
        <v>45135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3" t="s">
        <v>1683</v>
      </c>
      <c r="Q8" s="3754"/>
      <c r="R8" s="700" t="s">
        <v>14</v>
      </c>
      <c r="S8" s="701">
        <f t="shared" si="0"/>
        <v>0</v>
      </c>
      <c r="T8" s="700" t="s">
        <v>14</v>
      </c>
      <c r="U8" s="701">
        <f t="shared" si="1"/>
        <v>0</v>
      </c>
      <c r="V8" s="700" t="s">
        <v>14</v>
      </c>
      <c r="W8" s="701">
        <f t="shared" si="2"/>
        <v>0</v>
      </c>
      <c r="X8" s="702"/>
      <c r="Y8" s="3753" t="s">
        <v>1683</v>
      </c>
      <c r="Z8" s="3754"/>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17"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19"/>
      <c r="L10" s="2715"/>
      <c r="M10" s="2716"/>
      <c r="N10" s="2716"/>
      <c r="O10" s="2769"/>
      <c r="P10" s="3717"/>
      <c r="Q10" s="1342" t="str">
        <f t="shared" si="6"/>
        <v>土地使用年限（年）</v>
      </c>
      <c r="R10" s="700" t="s">
        <v>14</v>
      </c>
      <c r="S10" s="701">
        <f t="shared" si="0"/>
        <v>119</v>
      </c>
      <c r="T10" s="700" t="s">
        <v>14</v>
      </c>
      <c r="U10" s="701">
        <f t="shared" si="1"/>
        <v>119</v>
      </c>
      <c r="V10" s="700" t="s">
        <v>14</v>
      </c>
      <c r="W10" s="701">
        <f t="shared" si="2"/>
        <v>119</v>
      </c>
      <c r="X10" s="702"/>
      <c r="Y10" s="3573"/>
      <c r="Z10" s="52" t="str">
        <f t="shared" si="7"/>
        <v>土地使用年限（年）</v>
      </c>
      <c r="AA10" s="703">
        <f t="shared" si="3"/>
        <v>0.84033613445378152</v>
      </c>
      <c r="AB10" s="703">
        <f t="shared" si="4"/>
        <v>0.84033613445378152</v>
      </c>
      <c r="AC10" s="703">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7"/>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7"/>
      <c r="Q12" s="1342" t="str">
        <f t="shared" si="6"/>
        <v>配建</v>
      </c>
      <c r="R12" s="700" t="s">
        <v>14</v>
      </c>
      <c r="S12" s="701">
        <f t="shared" si="0"/>
        <v>100</v>
      </c>
      <c r="T12" s="700" t="s">
        <v>14</v>
      </c>
      <c r="U12" s="701">
        <f t="shared" si="1"/>
        <v>100</v>
      </c>
      <c r="V12" s="700" t="s">
        <v>14</v>
      </c>
      <c r="W12" s="701">
        <f t="shared" si="2"/>
        <v>100</v>
      </c>
      <c r="X12" s="702"/>
      <c r="Y12" s="357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7"/>
      <c r="Q13" s="1342">
        <f t="shared" si="6"/>
        <v>111</v>
      </c>
      <c r="R13" s="700" t="s">
        <v>14</v>
      </c>
      <c r="S13" s="701">
        <f t="shared" si="0"/>
        <v>100</v>
      </c>
      <c r="T13" s="700" t="s">
        <v>14</v>
      </c>
      <c r="U13" s="701">
        <f t="shared" si="1"/>
        <v>100</v>
      </c>
      <c r="V13" s="700" t="s">
        <v>14</v>
      </c>
      <c r="W13" s="701">
        <f t="shared" si="2"/>
        <v>100</v>
      </c>
      <c r="X13" s="702"/>
      <c r="Y13" s="357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7"/>
      <c r="Q14" s="1342">
        <f t="shared" si="6"/>
        <v>111</v>
      </c>
      <c r="R14" s="700" t="s">
        <v>14</v>
      </c>
      <c r="S14" s="701">
        <f t="shared" si="0"/>
        <v>100</v>
      </c>
      <c r="T14" s="700" t="s">
        <v>14</v>
      </c>
      <c r="U14" s="701">
        <f t="shared" si="1"/>
        <v>100</v>
      </c>
      <c r="V14" s="700" t="s">
        <v>14</v>
      </c>
      <c r="W14" s="701">
        <f t="shared" si="2"/>
        <v>100</v>
      </c>
      <c r="X14" s="702"/>
      <c r="Y14" s="3573"/>
      <c r="Z14" s="52">
        <f t="shared" si="7"/>
        <v>111</v>
      </c>
      <c r="AA14" s="703">
        <f>D14/F14</f>
        <v>1</v>
      </c>
      <c r="AB14" s="703">
        <f>D14/H14</f>
        <v>1</v>
      </c>
      <c r="AC14" s="703">
        <f>D14/J14</f>
        <v>1</v>
      </c>
    </row>
    <row r="15" spans="1:30" ht="15">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9" t="s">
        <v>1691</v>
      </c>
      <c r="Q15" s="1351" t="str">
        <f t="shared" si="6"/>
        <v>居住社区成熟度</v>
      </c>
      <c r="R15" s="704" t="s">
        <v>14</v>
      </c>
      <c r="S15" s="705">
        <f t="shared" si="0"/>
        <v>100</v>
      </c>
      <c r="T15" s="704" t="s">
        <v>14</v>
      </c>
      <c r="U15" s="705">
        <f t="shared" si="1"/>
        <v>100</v>
      </c>
      <c r="V15" s="704" t="s">
        <v>14</v>
      </c>
      <c r="W15" s="705">
        <f t="shared" si="2"/>
        <v>100</v>
      </c>
      <c r="X15" s="1354"/>
      <c r="Y15" s="371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720"/>
      <c r="Q16" s="1351"/>
      <c r="R16" s="704"/>
      <c r="S16" s="705"/>
      <c r="T16" s="704"/>
      <c r="U16" s="705"/>
      <c r="V16" s="704"/>
      <c r="W16" s="705"/>
      <c r="X16" s="1354"/>
      <c r="Y16" s="3720"/>
      <c r="Z16" s="1355"/>
      <c r="AA16" s="1352">
        <v>1</v>
      </c>
      <c r="AB16" s="1352">
        <v>1</v>
      </c>
      <c r="AC16" s="1352">
        <v>1</v>
      </c>
    </row>
    <row r="17" spans="1:29" ht="15">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20"/>
      <c r="Q17" s="1351" t="str">
        <f>B17</f>
        <v>商业繁华度</v>
      </c>
      <c r="R17" s="704" t="s">
        <v>14</v>
      </c>
      <c r="S17" s="705">
        <f>F17</f>
        <v>100</v>
      </c>
      <c r="T17" s="704" t="s">
        <v>14</v>
      </c>
      <c r="U17" s="705">
        <f>H17</f>
        <v>100</v>
      </c>
      <c r="V17" s="704" t="s">
        <v>14</v>
      </c>
      <c r="W17" s="705">
        <f>J17</f>
        <v>100</v>
      </c>
      <c r="X17" s="1354"/>
      <c r="Y17" s="372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720"/>
      <c r="Q18" s="1351"/>
      <c r="R18" s="704"/>
      <c r="S18" s="705"/>
      <c r="T18" s="704"/>
      <c r="U18" s="705"/>
      <c r="V18" s="704"/>
      <c r="W18" s="705"/>
      <c r="X18" s="1354"/>
      <c r="Y18" s="3720"/>
      <c r="Z18" s="1355"/>
      <c r="AA18" s="1352">
        <v>1</v>
      </c>
      <c r="AB18" s="1352">
        <v>1</v>
      </c>
      <c r="AC18" s="1352">
        <v>1</v>
      </c>
    </row>
    <row r="19" spans="1:29" ht="15">
      <c r="A19" s="379"/>
      <c r="B19" s="402" t="s">
        <v>1811</v>
      </c>
      <c r="C19" s="1952"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20"/>
      <c r="Q19" s="1351" t="str">
        <f>B19</f>
        <v>办公集聚程度</v>
      </c>
      <c r="R19" s="704" t="s">
        <v>14</v>
      </c>
      <c r="S19" s="705">
        <f>F19</f>
        <v>100</v>
      </c>
      <c r="T19" s="704" t="s">
        <v>14</v>
      </c>
      <c r="U19" s="705">
        <f>H19</f>
        <v>100</v>
      </c>
      <c r="V19" s="704" t="s">
        <v>14</v>
      </c>
      <c r="W19" s="705">
        <f>J19</f>
        <v>100</v>
      </c>
      <c r="X19" s="1354"/>
      <c r="Y19" s="372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720"/>
      <c r="Q20" s="1351"/>
      <c r="R20" s="704"/>
      <c r="S20" s="705"/>
      <c r="T20" s="704"/>
      <c r="U20" s="705"/>
      <c r="V20" s="704"/>
      <c r="W20" s="705"/>
      <c r="X20" s="1354"/>
      <c r="Y20" s="3720"/>
      <c r="Z20" s="1355"/>
      <c r="AA20" s="1352">
        <v>1</v>
      </c>
      <c r="AB20" s="1352">
        <v>1</v>
      </c>
      <c r="AC20" s="1352">
        <v>1</v>
      </c>
    </row>
    <row r="21" spans="1:29" ht="15">
      <c r="A21" s="379"/>
      <c r="B21" s="402" t="s">
        <v>1833</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20"/>
      <c r="Q21" s="1351" t="str">
        <f>B21</f>
        <v>交通便捷度</v>
      </c>
      <c r="R21" s="704" t="s">
        <v>14</v>
      </c>
      <c r="S21" s="705">
        <f>F21</f>
        <v>100</v>
      </c>
      <c r="T21" s="704" t="s">
        <v>14</v>
      </c>
      <c r="U21" s="705">
        <f>H21</f>
        <v>100</v>
      </c>
      <c r="V21" s="704" t="s">
        <v>14</v>
      </c>
      <c r="W21" s="705">
        <f>J21</f>
        <v>100</v>
      </c>
      <c r="X21" s="1354"/>
      <c r="Y21" s="372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720"/>
      <c r="Q22" s="1351"/>
      <c r="R22" s="704"/>
      <c r="S22" s="705"/>
      <c r="T22" s="704"/>
      <c r="U22" s="705"/>
      <c r="V22" s="704"/>
      <c r="W22" s="705"/>
      <c r="X22" s="1354"/>
      <c r="Y22" s="3720"/>
      <c r="Z22" s="1355"/>
      <c r="AA22" s="1352">
        <v>1</v>
      </c>
      <c r="AB22" s="1352">
        <v>1</v>
      </c>
      <c r="AC22" s="1352">
        <v>1</v>
      </c>
    </row>
    <row r="23" spans="1:29" ht="15">
      <c r="A23" s="358"/>
      <c r="B23" s="402" t="s">
        <v>1871</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20"/>
      <c r="Q23" s="1351" t="str">
        <f t="shared" ref="Q23:Q37" si="8">B23</f>
        <v>区域土地利用方向</v>
      </c>
      <c r="R23" s="704" t="s">
        <v>14</v>
      </c>
      <c r="S23" s="705">
        <f>F23</f>
        <v>100</v>
      </c>
      <c r="T23" s="704" t="s">
        <v>14</v>
      </c>
      <c r="U23" s="705">
        <f>H23</f>
        <v>100</v>
      </c>
      <c r="V23" s="704" t="s">
        <v>14</v>
      </c>
      <c r="W23" s="705">
        <f>J23</f>
        <v>100</v>
      </c>
      <c r="X23" s="1354"/>
      <c r="Y23" s="372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20"/>
      <c r="Q24" s="1351"/>
      <c r="R24" s="704"/>
      <c r="S24" s="705"/>
      <c r="T24" s="704"/>
      <c r="U24" s="705"/>
      <c r="V24" s="704"/>
      <c r="W24" s="705"/>
      <c r="X24" s="1354"/>
      <c r="Y24" s="3720"/>
      <c r="Z24" s="1355"/>
      <c r="AA24" s="1352"/>
      <c r="AB24" s="1352"/>
      <c r="AC24" s="1352"/>
    </row>
    <row r="25" spans="1:29" ht="27">
      <c r="A25" s="358"/>
      <c r="B25" s="1130" t="s">
        <v>1872</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20"/>
      <c r="Q25" s="1351" t="str">
        <f t="shared" si="8"/>
        <v>自然及人文环境状况</v>
      </c>
      <c r="R25" s="704" t="s">
        <v>14</v>
      </c>
      <c r="S25" s="705">
        <f>F25</f>
        <v>100</v>
      </c>
      <c r="T25" s="704" t="s">
        <v>14</v>
      </c>
      <c r="U25" s="705">
        <f>H25</f>
        <v>100</v>
      </c>
      <c r="V25" s="704" t="s">
        <v>14</v>
      </c>
      <c r="W25" s="705">
        <f>J25</f>
        <v>100</v>
      </c>
      <c r="X25" s="1354"/>
      <c r="Y25" s="372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720"/>
      <c r="Q26" s="1351"/>
      <c r="R26" s="704"/>
      <c r="S26" s="705"/>
      <c r="T26" s="704"/>
      <c r="U26" s="705"/>
      <c r="V26" s="704"/>
      <c r="W26" s="705"/>
      <c r="X26" s="1354"/>
      <c r="Y26" s="3720"/>
      <c r="Z26" s="1355"/>
      <c r="AA26" s="1352">
        <v>1</v>
      </c>
      <c r="AB26" s="1352">
        <v>1</v>
      </c>
      <c r="AC26" s="1352">
        <v>1</v>
      </c>
    </row>
    <row r="27" spans="1:29" s="108" customFormat="1" ht="15">
      <c r="A27" s="596"/>
      <c r="B27" s="1130" t="s">
        <v>1778</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20"/>
      <c r="Q27" s="1342" t="str">
        <f t="shared" si="8"/>
        <v>公共配套设施</v>
      </c>
      <c r="R27" s="700" t="s">
        <v>14</v>
      </c>
      <c r="S27" s="701">
        <f>F27</f>
        <v>100</v>
      </c>
      <c r="T27" s="700" t="s">
        <v>14</v>
      </c>
      <c r="U27" s="701">
        <f>H27</f>
        <v>100</v>
      </c>
      <c r="V27" s="700" t="s">
        <v>14</v>
      </c>
      <c r="W27" s="701">
        <f>J27</f>
        <v>100</v>
      </c>
      <c r="X27" s="702"/>
      <c r="Y27" s="3720"/>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3"/>
      <c r="M28" s="2714"/>
      <c r="N28" s="2714"/>
      <c r="O28" s="2768"/>
      <c r="P28" s="3720"/>
      <c r="Q28" s="1342"/>
      <c r="R28" s="700"/>
      <c r="S28" s="701"/>
      <c r="T28" s="700"/>
      <c r="U28" s="701"/>
      <c r="V28" s="700"/>
      <c r="W28" s="701"/>
      <c r="X28" s="702"/>
      <c r="Y28" s="3720"/>
      <c r="Z28" s="52"/>
      <c r="AA28" s="1352">
        <v>1</v>
      </c>
      <c r="AB28" s="1352">
        <v>1</v>
      </c>
      <c r="AC28" s="1352">
        <v>1</v>
      </c>
    </row>
    <row r="29" spans="1:29" s="108" customFormat="1" ht="15">
      <c r="A29" s="596"/>
      <c r="B29" s="1130"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20"/>
      <c r="Q29" s="1342"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3"/>
      <c r="M30" s="2714"/>
      <c r="N30" s="2714"/>
      <c r="O30" s="2768"/>
      <c r="P30" s="3720"/>
      <c r="Q30" s="1342"/>
      <c r="R30" s="700"/>
      <c r="S30" s="701"/>
      <c r="T30" s="700"/>
      <c r="U30" s="701"/>
      <c r="V30" s="700"/>
      <c r="W30" s="701"/>
      <c r="X30" s="702"/>
      <c r="Y30" s="372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2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20"/>
      <c r="Q32" s="1351" t="str">
        <f t="shared" si="8"/>
        <v>毗邻道路的类型与等级</v>
      </c>
      <c r="R32" s="704" t="s">
        <v>14</v>
      </c>
      <c r="S32" s="705">
        <f t="shared" si="10"/>
        <v>100</v>
      </c>
      <c r="T32" s="704" t="s">
        <v>14</v>
      </c>
      <c r="U32" s="705">
        <f t="shared" si="11"/>
        <v>100</v>
      </c>
      <c r="V32" s="704" t="s">
        <v>14</v>
      </c>
      <c r="W32" s="705">
        <f t="shared" si="12"/>
        <v>100</v>
      </c>
      <c r="X32" s="1354"/>
      <c r="Y32" s="372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20"/>
      <c r="Q33" s="1351"/>
      <c r="R33" s="704"/>
      <c r="S33" s="705"/>
      <c r="T33" s="704"/>
      <c r="U33" s="705"/>
      <c r="V33" s="704"/>
      <c r="W33" s="705"/>
      <c r="X33" s="1354"/>
      <c r="Y33" s="372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20"/>
      <c r="Q34" s="1351" t="str">
        <f t="shared" si="8"/>
        <v>土地级别</v>
      </c>
      <c r="R34" s="704" t="s">
        <v>14</v>
      </c>
      <c r="S34" s="705">
        <f t="shared" si="10"/>
        <v>100</v>
      </c>
      <c r="T34" s="704" t="s">
        <v>14</v>
      </c>
      <c r="U34" s="705">
        <f t="shared" si="11"/>
        <v>100</v>
      </c>
      <c r="V34" s="704" t="s">
        <v>14</v>
      </c>
      <c r="W34" s="705">
        <f t="shared" si="12"/>
        <v>100</v>
      </c>
      <c r="X34" s="1354"/>
      <c r="Y34" s="372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20"/>
      <c r="Q35" s="1351">
        <f t="shared" si="8"/>
        <v>111</v>
      </c>
      <c r="R35" s="704" t="s">
        <v>14</v>
      </c>
      <c r="S35" s="705">
        <f t="shared" si="10"/>
        <v>100</v>
      </c>
      <c r="T35" s="704" t="s">
        <v>14</v>
      </c>
      <c r="U35" s="705">
        <f t="shared" si="11"/>
        <v>100</v>
      </c>
      <c r="V35" s="704" t="s">
        <v>14</v>
      </c>
      <c r="W35" s="705">
        <f t="shared" si="12"/>
        <v>100</v>
      </c>
      <c r="X35" s="1354"/>
      <c r="Y35" s="372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75" t="s">
        <v>1696</v>
      </c>
      <c r="Q36" s="1351">
        <f t="shared" si="8"/>
        <v>111</v>
      </c>
      <c r="R36" s="704" t="s">
        <v>14</v>
      </c>
      <c r="S36" s="705">
        <f t="shared" si="10"/>
        <v>100</v>
      </c>
      <c r="T36" s="704" t="s">
        <v>14</v>
      </c>
      <c r="U36" s="705">
        <f t="shared" si="11"/>
        <v>100</v>
      </c>
      <c r="V36" s="704" t="s">
        <v>14</v>
      </c>
      <c r="W36" s="705">
        <f t="shared" si="12"/>
        <v>100</v>
      </c>
      <c r="X36" s="1354"/>
      <c r="Y36" s="372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4"/>
      <c r="Q37" s="1351">
        <f t="shared" si="8"/>
        <v>111</v>
      </c>
      <c r="R37" s="707" t="s">
        <v>14</v>
      </c>
      <c r="S37" s="708">
        <f t="shared" si="10"/>
        <v>100</v>
      </c>
      <c r="T37" s="707" t="s">
        <v>14</v>
      </c>
      <c r="U37" s="708">
        <f t="shared" si="11"/>
        <v>100</v>
      </c>
      <c r="V37" s="707" t="s">
        <v>14</v>
      </c>
      <c r="W37" s="708">
        <f t="shared" si="12"/>
        <v>100</v>
      </c>
      <c r="X37" s="709"/>
      <c r="Y37" s="372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4"/>
      <c r="Q38" s="1351" t="str">
        <f>B38</f>
        <v>宗地面积</v>
      </c>
      <c r="R38" s="704" t="s">
        <v>14</v>
      </c>
      <c r="S38" s="705" t="e">
        <f t="shared" si="10"/>
        <v>#N/A</v>
      </c>
      <c r="T38" s="704" t="s">
        <v>14</v>
      </c>
      <c r="U38" s="705" t="e">
        <f t="shared" si="11"/>
        <v>#N/A</v>
      </c>
      <c r="V38" s="704" t="s">
        <v>14</v>
      </c>
      <c r="W38" s="705" t="e">
        <f t="shared" si="12"/>
        <v>#N/A</v>
      </c>
      <c r="X38" s="1354"/>
      <c r="Y38" s="372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24"/>
      <c r="Q39" s="1351" t="str">
        <f t="shared" ref="Q39:Q45" si="14">B39</f>
        <v>宗地形状</v>
      </c>
      <c r="R39" s="704" t="s">
        <v>14</v>
      </c>
      <c r="S39" s="705">
        <f t="shared" si="10"/>
        <v>100</v>
      </c>
      <c r="T39" s="704" t="s">
        <v>14</v>
      </c>
      <c r="U39" s="705">
        <f t="shared" si="11"/>
        <v>100</v>
      </c>
      <c r="V39" s="704" t="s">
        <v>14</v>
      </c>
      <c r="W39" s="705">
        <f t="shared" si="12"/>
        <v>100</v>
      </c>
      <c r="X39" s="1354"/>
      <c r="Y39" s="372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24"/>
      <c r="Q40" s="1351" t="str">
        <f t="shared" si="14"/>
        <v>临街宽度及深度</v>
      </c>
      <c r="R40" s="704" t="s">
        <v>14</v>
      </c>
      <c r="S40" s="705">
        <f t="shared" si="10"/>
        <v>100</v>
      </c>
      <c r="T40" s="704" t="s">
        <v>14</v>
      </c>
      <c r="U40" s="705">
        <f t="shared" si="11"/>
        <v>100</v>
      </c>
      <c r="V40" s="704" t="s">
        <v>14</v>
      </c>
      <c r="W40" s="705">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24"/>
      <c r="Q41" s="1351" t="str">
        <f t="shared" si="14"/>
        <v>宗地开发程度</v>
      </c>
      <c r="R41" s="700" t="s">
        <v>14</v>
      </c>
      <c r="S41" s="701">
        <f t="shared" si="10"/>
        <v>100</v>
      </c>
      <c r="T41" s="700" t="s">
        <v>14</v>
      </c>
      <c r="U41" s="701">
        <f t="shared" si="11"/>
        <v>100</v>
      </c>
      <c r="V41" s="700" t="s">
        <v>14</v>
      </c>
      <c r="W41" s="701">
        <f t="shared" si="12"/>
        <v>100</v>
      </c>
      <c r="X41" s="702"/>
      <c r="Y41" s="372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24" t="s">
        <v>1696</v>
      </c>
      <c r="Q42" s="1351" t="str">
        <f t="shared" si="14"/>
        <v>工程地质条件</v>
      </c>
      <c r="R42" s="704" t="s">
        <v>14</v>
      </c>
      <c r="S42" s="705">
        <f t="shared" si="10"/>
        <v>100</v>
      </c>
      <c r="T42" s="704" t="s">
        <v>14</v>
      </c>
      <c r="U42" s="705">
        <f t="shared" si="11"/>
        <v>100</v>
      </c>
      <c r="V42" s="704" t="s">
        <v>14</v>
      </c>
      <c r="W42" s="705">
        <f t="shared" si="12"/>
        <v>100</v>
      </c>
      <c r="X42" s="1354"/>
      <c r="Y42" s="372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4"/>
      <c r="Q43" s="1351">
        <f t="shared" si="14"/>
        <v>111</v>
      </c>
      <c r="R43" s="704" t="s">
        <v>14</v>
      </c>
      <c r="S43" s="705">
        <f t="shared" si="10"/>
        <v>100</v>
      </c>
      <c r="T43" s="704" t="s">
        <v>14</v>
      </c>
      <c r="U43" s="705">
        <f t="shared" si="11"/>
        <v>100</v>
      </c>
      <c r="V43" s="704" t="s">
        <v>14</v>
      </c>
      <c r="W43" s="705">
        <f t="shared" si="12"/>
        <v>100</v>
      </c>
      <c r="X43" s="1354"/>
      <c r="Y43" s="372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4"/>
      <c r="Q44" s="1351">
        <f t="shared" si="14"/>
        <v>111</v>
      </c>
      <c r="R44" s="704" t="s">
        <v>14</v>
      </c>
      <c r="S44" s="705">
        <f t="shared" si="10"/>
        <v>100</v>
      </c>
      <c r="T44" s="704" t="s">
        <v>14</v>
      </c>
      <c r="U44" s="705">
        <f t="shared" si="11"/>
        <v>100</v>
      </c>
      <c r="V44" s="704" t="s">
        <v>14</v>
      </c>
      <c r="W44" s="705">
        <f t="shared" si="12"/>
        <v>100</v>
      </c>
      <c r="X44" s="1354"/>
      <c r="Y44" s="3724"/>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4"/>
      <c r="Q45" s="1351">
        <f t="shared" si="14"/>
        <v>111</v>
      </c>
      <c r="R45" s="707" t="s">
        <v>14</v>
      </c>
      <c r="S45" s="708">
        <f t="shared" si="10"/>
        <v>100</v>
      </c>
      <c r="T45" s="707" t="s">
        <v>14</v>
      </c>
      <c r="U45" s="708">
        <f t="shared" si="11"/>
        <v>100</v>
      </c>
      <c r="V45" s="707" t="s">
        <v>14</v>
      </c>
      <c r="W45" s="708">
        <f t="shared" si="12"/>
        <v>100</v>
      </c>
      <c r="X45" s="709"/>
      <c r="Y45" s="3724"/>
      <c r="Z45" s="710">
        <f t="shared" si="13"/>
        <v>111</v>
      </c>
      <c r="AA45" s="1352">
        <f t="shared" si="3"/>
        <v>1</v>
      </c>
      <c r="AB45" s="1352">
        <f t="shared" si="4"/>
        <v>1</v>
      </c>
      <c r="AC45" s="1352">
        <f t="shared" si="5"/>
        <v>1</v>
      </c>
    </row>
    <row r="46" spans="1:29" ht="15">
      <c r="A46" s="430" t="s">
        <v>1844</v>
      </c>
      <c r="B46" s="1979" t="s">
        <v>1879</v>
      </c>
      <c r="C46" s="629" t="s">
        <v>0</v>
      </c>
      <c r="D46" s="432"/>
      <c r="E46" s="433"/>
      <c r="F46" s="434"/>
      <c r="G46" s="435"/>
      <c r="H46" s="436"/>
      <c r="I46" s="433"/>
      <c r="J46" s="436"/>
      <c r="K46" s="713"/>
      <c r="L46" s="2720"/>
      <c r="M46" s="2721"/>
      <c r="N46" s="2712"/>
      <c r="O46" s="2721"/>
      <c r="P46" s="3717" t="str">
        <f>A46</f>
        <v>成交单价</v>
      </c>
      <c r="Q46" s="3717"/>
      <c r="R46" s="3748">
        <f>E46</f>
        <v>0</v>
      </c>
      <c r="S46" s="3748"/>
      <c r="T46" s="3748">
        <f>G46</f>
        <v>0</v>
      </c>
      <c r="U46" s="3748"/>
      <c r="V46" s="3748">
        <f>I46</f>
        <v>0</v>
      </c>
      <c r="W46" s="3748"/>
      <c r="X46" s="689"/>
      <c r="Y46" s="711"/>
      <c r="Z46" s="689"/>
      <c r="AA46" s="689"/>
      <c r="AB46" s="689"/>
      <c r="AC46" s="689"/>
    </row>
    <row r="47" spans="1:29" ht="15.75" thickBot="1">
      <c r="A47" s="437" t="s">
        <v>1793</v>
      </c>
      <c r="B47" s="630"/>
      <c r="C47" s="440" t="e">
        <f>R48</f>
        <v>#DIV/0!</v>
      </c>
      <c r="D47" s="2314" t="s">
        <v>2138</v>
      </c>
      <c r="E47" s="440" t="e">
        <f>R47</f>
        <v>#DIV/0!</v>
      </c>
      <c r="F47" s="2315"/>
      <c r="G47" s="439" t="e">
        <f>T47</f>
        <v>#DIV/0!</v>
      </c>
      <c r="H47" s="2315"/>
      <c r="I47" s="440" t="e">
        <f>V47</f>
        <v>#DIV/0!</v>
      </c>
      <c r="J47" s="2315"/>
      <c r="K47" s="2317">
        <f>F47+H47+J47</f>
        <v>0</v>
      </c>
      <c r="L47" s="2720"/>
      <c r="M47" s="2721"/>
      <c r="N47" s="2721"/>
      <c r="O47" s="2721"/>
      <c r="P47" s="3717" t="str">
        <f>A47</f>
        <v>比较价值（元/平方米）</v>
      </c>
      <c r="Q47" s="3717"/>
      <c r="R47" s="3777" t="e">
        <f>ROUND(PRODUCT(R46,AA7:AA45),0)</f>
        <v>#DIV/0!</v>
      </c>
      <c r="S47" s="3777"/>
      <c r="T47" s="3777" t="e">
        <f>ROUND(PRODUCT(T46,AB7:AB45),0)</f>
        <v>#DIV/0!</v>
      </c>
      <c r="U47" s="3777"/>
      <c r="V47" s="3777" t="e">
        <f>ROUND(PRODUCT(V46,AC7:AC45),0)</f>
        <v>#DIV/0!</v>
      </c>
      <c r="W47" s="377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0"/>
      <c r="M48" s="2721"/>
      <c r="N48" s="2721"/>
      <c r="O48" s="2721"/>
      <c r="P48" s="3714" t="str">
        <f>A48</f>
        <v>估价对象XX用房的比较价值（楼面单价，元/平方米）</v>
      </c>
      <c r="Q48" s="3715"/>
      <c r="R48" s="3778" t="e">
        <f>ROUND(IF(D47="简单平均",AVERAGE(R47:W47),R47*F47+T47*H47+V47*J47),0)</f>
        <v>#DIV/0!</v>
      </c>
      <c r="S48" s="3778"/>
      <c r="T48" s="3778"/>
      <c r="U48" s="3778"/>
      <c r="V48" s="3778"/>
      <c r="W48" s="377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9" t="s">
        <v>1886</v>
      </c>
      <c r="G55" s="3732" t="s">
        <v>1887</v>
      </c>
      <c r="H55" s="3779"/>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3">
        <v>1</v>
      </c>
      <c r="E56" s="637">
        <f>'数据-汇总表'!E8+'数据-汇总表'!E9</f>
        <v>1014.0699999999999</v>
      </c>
      <c r="F56" s="885" t="e">
        <f t="shared" ref="F56:F64" si="15">ROUND(B56*E56/10000,0)</f>
        <v>#DIV/0!</v>
      </c>
      <c r="G56" s="3728"/>
      <c r="H56" s="3717"/>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8" t="e">
        <f>ROUND($C$48*C57*D57,0)</f>
        <v>#DIV/0!</v>
      </c>
      <c r="C57" s="171">
        <f t="shared" ref="C57:C64" si="16">IF($C$55="北京市系数",I57,J57)</f>
        <v>0.6</v>
      </c>
      <c r="D57" s="944">
        <v>0.25</v>
      </c>
      <c r="E57" s="641"/>
      <c r="F57" s="885" t="e">
        <f t="shared" si="15"/>
        <v>#DIV/0!</v>
      </c>
      <c r="G57" s="3002" t="s">
        <v>1892</v>
      </c>
      <c r="H57" s="886" t="str">
        <f>项目基本情况!B37</f>
        <v>三级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8" t="e">
        <f t="shared" ref="B58:B64" si="17">ROUND($C$48*C58*D58,0)</f>
        <v>#DIV/0!</v>
      </c>
      <c r="C58" s="171">
        <f t="shared" si="16"/>
        <v>0.3</v>
      </c>
      <c r="D58" s="944">
        <v>0.25</v>
      </c>
      <c r="E58" s="641"/>
      <c r="F58" s="885" t="e">
        <f t="shared" si="15"/>
        <v>#DIV/0!</v>
      </c>
      <c r="G58" s="3003"/>
      <c r="H58" s="886" t="str">
        <f>项目基本情况!B37</f>
        <v>三级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8" t="e">
        <f t="shared" si="17"/>
        <v>#DIV/0!</v>
      </c>
      <c r="C59" s="171">
        <f t="shared" si="16"/>
        <v>0.25</v>
      </c>
      <c r="D59" s="944">
        <v>0.25</v>
      </c>
      <c r="E59" s="641"/>
      <c r="F59" s="885" t="e">
        <f t="shared" si="15"/>
        <v>#DIV/0!</v>
      </c>
      <c r="G59" s="3003"/>
      <c r="H59" s="886" t="str">
        <f>项目基本情况!B37</f>
        <v>三级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8" t="e">
        <f t="shared" si="17"/>
        <v>#DIV/0!</v>
      </c>
      <c r="C63" s="171">
        <f t="shared" si="16"/>
        <v>0.15</v>
      </c>
      <c r="D63" s="944">
        <v>0.25</v>
      </c>
      <c r="E63" s="217">
        <f>'数据-汇总表'!E14</f>
        <v>0</v>
      </c>
      <c r="F63" s="885" t="e">
        <f t="shared" si="15"/>
        <v>#DIV/0!</v>
      </c>
      <c r="G63" s="1984" t="s">
        <v>1892</v>
      </c>
      <c r="H63" s="886" t="str">
        <f>项目基本情况!B37</f>
        <v>三级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1014.0699999999999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1"/>
      <c r="Q67" s="2721"/>
      <c r="R67" s="2721"/>
      <c r="S67" s="2721"/>
      <c r="T67" s="2721"/>
      <c r="U67" s="2721"/>
      <c r="V67" s="2721"/>
      <c r="W67" s="2721"/>
      <c r="X67" s="2721"/>
      <c r="Y67" s="2721"/>
      <c r="Z67" s="2721"/>
      <c r="AA67" s="2721"/>
      <c r="AB67" s="2721"/>
      <c r="AC67" s="2721"/>
    </row>
    <row r="68" spans="1:29" ht="21.75" thickBot="1">
      <c r="A68" s="693" t="s">
        <v>1798</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4"/>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4"/>
      <c r="Y5" s="3744"/>
      <c r="Z5" s="3745"/>
      <c r="AA5" s="3730"/>
      <c r="AB5" s="3730"/>
      <c r="AC5" s="3730"/>
    </row>
    <row r="6" spans="1:29" ht="15.75" thickBot="1">
      <c r="A6" s="360"/>
      <c r="B6" s="361"/>
      <c r="C6" s="3780" t="s">
        <v>1919</v>
      </c>
      <c r="D6" s="3781"/>
      <c r="E6" s="3782" t="s">
        <v>1919</v>
      </c>
      <c r="F6" s="3783"/>
      <c r="G6" s="3780" t="s">
        <v>1919</v>
      </c>
      <c r="H6" s="3781"/>
      <c r="I6" s="3780" t="s">
        <v>1919</v>
      </c>
      <c r="J6" s="3781"/>
      <c r="K6" s="559" t="s">
        <v>1678</v>
      </c>
      <c r="L6" s="2711"/>
      <c r="M6" s="2712"/>
      <c r="N6" s="2712"/>
      <c r="O6" s="2712"/>
      <c r="P6" s="3740"/>
      <c r="Q6" s="3741"/>
      <c r="R6" s="3744"/>
      <c r="S6" s="3745"/>
      <c r="T6" s="3746"/>
      <c r="U6" s="3747"/>
      <c r="V6" s="3748"/>
      <c r="W6" s="3748"/>
      <c r="X6" s="1354"/>
      <c r="Y6" s="3746"/>
      <c r="Z6" s="3747"/>
      <c r="AA6" s="3731"/>
      <c r="AB6" s="3731"/>
      <c r="AC6" s="3731"/>
    </row>
    <row r="7" spans="1:29" s="108" customFormat="1" ht="15.75" thickBot="1">
      <c r="A7" s="362" t="s">
        <v>1679</v>
      </c>
      <c r="B7" s="363"/>
      <c r="C7" s="364">
        <f>'数据-取费表'!B2</f>
        <v>45135</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53" t="s">
        <v>1683</v>
      </c>
      <c r="Q8" s="3754"/>
      <c r="R8" s="700" t="s">
        <v>14</v>
      </c>
      <c r="S8" s="701">
        <f t="shared" si="0"/>
        <v>0</v>
      </c>
      <c r="T8" s="700" t="s">
        <v>14</v>
      </c>
      <c r="U8" s="701">
        <f t="shared" si="1"/>
        <v>0</v>
      </c>
      <c r="V8" s="700" t="s">
        <v>14</v>
      </c>
      <c r="W8" s="701">
        <f t="shared" si="2"/>
        <v>0</v>
      </c>
      <c r="X8" s="702"/>
      <c r="Y8" s="3753" t="s">
        <v>1683</v>
      </c>
      <c r="Z8" s="3754"/>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17"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19"/>
      <c r="L10" s="2715"/>
      <c r="M10" s="2716"/>
      <c r="N10" s="2716"/>
      <c r="O10" s="2769"/>
      <c r="P10" s="3717"/>
      <c r="Q10" s="1342" t="str">
        <f t="shared" si="6"/>
        <v>土地使用年限（年）</v>
      </c>
      <c r="R10" s="700" t="s">
        <v>14</v>
      </c>
      <c r="S10" s="701">
        <f t="shared" si="0"/>
        <v>119</v>
      </c>
      <c r="T10" s="700" t="s">
        <v>14</v>
      </c>
      <c r="U10" s="701">
        <f t="shared" si="1"/>
        <v>119</v>
      </c>
      <c r="V10" s="700" t="s">
        <v>14</v>
      </c>
      <c r="W10" s="701">
        <f t="shared" si="2"/>
        <v>119</v>
      </c>
      <c r="X10" s="702"/>
      <c r="Y10" s="3573"/>
      <c r="Z10" s="52" t="str">
        <f t="shared" si="7"/>
        <v>土地使用年限（年）</v>
      </c>
      <c r="AA10" s="703">
        <f t="shared" si="3"/>
        <v>0.84033613445378152</v>
      </c>
      <c r="AB10" s="703">
        <f t="shared" si="4"/>
        <v>0.84033613445378152</v>
      </c>
      <c r="AC10" s="703">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17"/>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7"/>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7"/>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7"/>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15">
      <c r="A15" s="391" t="s">
        <v>1690</v>
      </c>
      <c r="B15" s="576" t="s">
        <v>1920</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19" t="s">
        <v>1691</v>
      </c>
      <c r="Q15" s="1351" t="str">
        <f t="shared" si="6"/>
        <v>产业集聚程度</v>
      </c>
      <c r="R15" s="704" t="s">
        <v>14</v>
      </c>
      <c r="S15" s="705">
        <f t="shared" si="0"/>
        <v>100</v>
      </c>
      <c r="T15" s="704" t="s">
        <v>14</v>
      </c>
      <c r="U15" s="705">
        <f t="shared" si="1"/>
        <v>100</v>
      </c>
      <c r="V15" s="704" t="s">
        <v>14</v>
      </c>
      <c r="W15" s="705">
        <f t="shared" si="2"/>
        <v>100</v>
      </c>
      <c r="X15" s="1354"/>
      <c r="Y15" s="371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720"/>
      <c r="Q16" s="1351"/>
      <c r="R16" s="704"/>
      <c r="S16" s="705"/>
      <c r="T16" s="704"/>
      <c r="U16" s="705"/>
      <c r="V16" s="704"/>
      <c r="W16" s="705"/>
      <c r="X16" s="1354"/>
      <c r="Y16" s="3720"/>
      <c r="Z16" s="1355"/>
      <c r="AA16" s="1352">
        <v>1</v>
      </c>
      <c r="AB16" s="1352">
        <v>1</v>
      </c>
      <c r="AC16" s="1352">
        <v>1</v>
      </c>
    </row>
    <row r="17" spans="1:29" ht="15">
      <c r="A17" s="379"/>
      <c r="B17" s="578" t="s">
        <v>1833</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20"/>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720"/>
      <c r="Q18" s="1351"/>
      <c r="R18" s="704"/>
      <c r="S18" s="705"/>
      <c r="T18" s="704"/>
      <c r="U18" s="705"/>
      <c r="V18" s="704"/>
      <c r="W18" s="705"/>
      <c r="X18" s="1354"/>
      <c r="Y18" s="3720"/>
      <c r="Z18" s="1355"/>
      <c r="AA18" s="1352">
        <v>1</v>
      </c>
      <c r="AB18" s="1352">
        <v>1</v>
      </c>
      <c r="AC18" s="1352">
        <v>1</v>
      </c>
    </row>
    <row r="19" spans="1:29" ht="15">
      <c r="A19" s="379"/>
      <c r="B19" s="578" t="s">
        <v>1871</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20"/>
      <c r="Q19" s="1351" t="str">
        <f t="shared" ref="Q19:Q33" si="8">B19</f>
        <v>区域土地利用方向</v>
      </c>
      <c r="R19" s="704" t="s">
        <v>14</v>
      </c>
      <c r="S19" s="705">
        <f>F19</f>
        <v>100</v>
      </c>
      <c r="T19" s="704" t="s">
        <v>14</v>
      </c>
      <c r="U19" s="705">
        <f>H19</f>
        <v>100</v>
      </c>
      <c r="V19" s="704" t="s">
        <v>14</v>
      </c>
      <c r="W19" s="705">
        <f>J19</f>
        <v>100</v>
      </c>
      <c r="X19" s="1354"/>
      <c r="Y19" s="372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720"/>
      <c r="Q20" s="1351"/>
      <c r="R20" s="704"/>
      <c r="S20" s="705"/>
      <c r="T20" s="704"/>
      <c r="U20" s="705"/>
      <c r="V20" s="704"/>
      <c r="W20" s="705"/>
      <c r="X20" s="1354"/>
      <c r="Y20" s="3720"/>
      <c r="Z20" s="1355"/>
      <c r="AA20" s="1352"/>
      <c r="AB20" s="1352"/>
      <c r="AC20" s="1352"/>
    </row>
    <row r="21" spans="1:29" ht="15">
      <c r="A21" s="358"/>
      <c r="B21" s="578" t="s">
        <v>1921</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20"/>
      <c r="Q21" s="1351" t="str">
        <f t="shared" si="8"/>
        <v>环境状况</v>
      </c>
      <c r="R21" s="704" t="s">
        <v>14</v>
      </c>
      <c r="S21" s="705">
        <f>F21</f>
        <v>100</v>
      </c>
      <c r="T21" s="704" t="s">
        <v>14</v>
      </c>
      <c r="U21" s="705">
        <f>H21</f>
        <v>100</v>
      </c>
      <c r="V21" s="704" t="s">
        <v>14</v>
      </c>
      <c r="W21" s="705">
        <f>J21</f>
        <v>100</v>
      </c>
      <c r="X21" s="1354"/>
      <c r="Y21" s="372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720"/>
      <c r="Q22" s="1351"/>
      <c r="R22" s="704"/>
      <c r="S22" s="705"/>
      <c r="T22" s="704"/>
      <c r="U22" s="705"/>
      <c r="V22" s="704"/>
      <c r="W22" s="705"/>
      <c r="X22" s="1354"/>
      <c r="Y22" s="3720"/>
      <c r="Z22" s="1355"/>
      <c r="AA22" s="1352">
        <v>1</v>
      </c>
      <c r="AB22" s="1352">
        <v>1</v>
      </c>
      <c r="AC22" s="1352">
        <v>1</v>
      </c>
    </row>
    <row r="23" spans="1:29" s="108" customFormat="1" ht="15">
      <c r="A23" s="596"/>
      <c r="B23" s="580" t="s">
        <v>1778</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20"/>
      <c r="Q23" s="1342" t="str">
        <f t="shared" si="8"/>
        <v>公共配套设施</v>
      </c>
      <c r="R23" s="700" t="s">
        <v>14</v>
      </c>
      <c r="S23" s="701">
        <f>F23</f>
        <v>100</v>
      </c>
      <c r="T23" s="700" t="s">
        <v>14</v>
      </c>
      <c r="U23" s="701">
        <f>H23</f>
        <v>100</v>
      </c>
      <c r="V23" s="700" t="s">
        <v>14</v>
      </c>
      <c r="W23" s="701">
        <f>J23</f>
        <v>100</v>
      </c>
      <c r="X23" s="702"/>
      <c r="Y23" s="3720"/>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3"/>
      <c r="M24" s="2714"/>
      <c r="N24" s="2714"/>
      <c r="O24" s="2768"/>
      <c r="P24" s="3720"/>
      <c r="Q24" s="1342"/>
      <c r="R24" s="700"/>
      <c r="S24" s="701"/>
      <c r="T24" s="700"/>
      <c r="U24" s="701"/>
      <c r="V24" s="700"/>
      <c r="W24" s="701"/>
      <c r="X24" s="702"/>
      <c r="Y24" s="3720"/>
      <c r="Z24" s="52"/>
      <c r="AA24" s="703">
        <v>1</v>
      </c>
      <c r="AB24" s="703">
        <v>1</v>
      </c>
      <c r="AC24" s="703">
        <v>1</v>
      </c>
    </row>
    <row r="25" spans="1:29" s="108" customFormat="1" ht="15">
      <c r="A25" s="596"/>
      <c r="B25" s="580" t="s">
        <v>1779</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20"/>
      <c r="Q25" s="1342"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3"/>
      <c r="M26" s="2714"/>
      <c r="N26" s="2714"/>
      <c r="O26" s="2768"/>
      <c r="P26" s="3720"/>
      <c r="Q26" s="1342"/>
      <c r="R26" s="700"/>
      <c r="S26" s="701"/>
      <c r="T26" s="700"/>
      <c r="U26" s="701"/>
      <c r="V26" s="700"/>
      <c r="W26" s="701"/>
      <c r="X26" s="702"/>
      <c r="Y26" s="372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2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0"/>
      <c r="Z27" s="1355" t="str">
        <f t="shared" ref="Z27:Z40" si="13">Q27</f>
        <v>临街状况</v>
      </c>
      <c r="AA27" s="1352">
        <f t="shared" si="3"/>
        <v>1</v>
      </c>
      <c r="AB27" s="1352">
        <f t="shared" si="4"/>
        <v>1</v>
      </c>
      <c r="AC27" s="1352">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20"/>
      <c r="Q28" s="1351" t="str">
        <f t="shared" si="8"/>
        <v>毗邻道路的类型与等级</v>
      </c>
      <c r="R28" s="704" t="s">
        <v>14</v>
      </c>
      <c r="S28" s="705">
        <f t="shared" si="10"/>
        <v>100</v>
      </c>
      <c r="T28" s="704" t="s">
        <v>14</v>
      </c>
      <c r="U28" s="705">
        <f t="shared" si="11"/>
        <v>100</v>
      </c>
      <c r="V28" s="704" t="s">
        <v>14</v>
      </c>
      <c r="W28" s="705">
        <f t="shared" si="12"/>
        <v>100</v>
      </c>
      <c r="X28" s="1354"/>
      <c r="Y28" s="372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720"/>
      <c r="Q29" s="1351"/>
      <c r="R29" s="704"/>
      <c r="S29" s="705"/>
      <c r="T29" s="704"/>
      <c r="U29" s="705"/>
      <c r="V29" s="704"/>
      <c r="W29" s="705"/>
      <c r="X29" s="1354"/>
      <c r="Y29" s="372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20"/>
      <c r="Q30" s="1351" t="str">
        <f t="shared" si="8"/>
        <v>土地级别</v>
      </c>
      <c r="R30" s="704" t="s">
        <v>14</v>
      </c>
      <c r="S30" s="705">
        <f t="shared" si="10"/>
        <v>100</v>
      </c>
      <c r="T30" s="704" t="s">
        <v>14</v>
      </c>
      <c r="U30" s="705">
        <f t="shared" si="11"/>
        <v>100</v>
      </c>
      <c r="V30" s="704" t="s">
        <v>14</v>
      </c>
      <c r="W30" s="705">
        <f t="shared" si="12"/>
        <v>100</v>
      </c>
      <c r="X30" s="1354"/>
      <c r="Y30" s="3720"/>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0"/>
      <c r="Q31" s="1351">
        <f t="shared" si="8"/>
        <v>111</v>
      </c>
      <c r="R31" s="704" t="s">
        <v>14</v>
      </c>
      <c r="S31" s="705">
        <f t="shared" si="10"/>
        <v>100</v>
      </c>
      <c r="T31" s="704" t="s">
        <v>14</v>
      </c>
      <c r="U31" s="705">
        <f t="shared" si="11"/>
        <v>100</v>
      </c>
      <c r="V31" s="704" t="s">
        <v>14</v>
      </c>
      <c r="W31" s="705">
        <f t="shared" si="12"/>
        <v>100</v>
      </c>
      <c r="X31" s="1354"/>
      <c r="Y31" s="3720"/>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75" t="s">
        <v>1696</v>
      </c>
      <c r="Q32" s="1351">
        <f t="shared" si="8"/>
        <v>111</v>
      </c>
      <c r="R32" s="704" t="s">
        <v>14</v>
      </c>
      <c r="S32" s="705">
        <f t="shared" si="10"/>
        <v>100</v>
      </c>
      <c r="T32" s="704" t="s">
        <v>14</v>
      </c>
      <c r="U32" s="705">
        <f t="shared" si="11"/>
        <v>100</v>
      </c>
      <c r="V32" s="704" t="s">
        <v>14</v>
      </c>
      <c r="W32" s="705">
        <f t="shared" si="12"/>
        <v>100</v>
      </c>
      <c r="X32" s="1354"/>
      <c r="Y32" s="3724" t="s">
        <v>1696</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4"/>
      <c r="Q33" s="1351">
        <f t="shared" si="8"/>
        <v>111</v>
      </c>
      <c r="R33" s="707" t="s">
        <v>14</v>
      </c>
      <c r="S33" s="708">
        <f t="shared" si="10"/>
        <v>100</v>
      </c>
      <c r="T33" s="707" t="s">
        <v>14</v>
      </c>
      <c r="U33" s="708">
        <f t="shared" si="11"/>
        <v>100</v>
      </c>
      <c r="V33" s="707" t="s">
        <v>14</v>
      </c>
      <c r="W33" s="708">
        <f t="shared" si="12"/>
        <v>100</v>
      </c>
      <c r="X33" s="709"/>
      <c r="Y33" s="372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24"/>
      <c r="Q34" s="1351" t="str">
        <f>B34</f>
        <v>宗地面积</v>
      </c>
      <c r="R34" s="704" t="s">
        <v>14</v>
      </c>
      <c r="S34" s="705" t="e">
        <f t="shared" si="10"/>
        <v>#N/A</v>
      </c>
      <c r="T34" s="704" t="s">
        <v>14</v>
      </c>
      <c r="U34" s="705" t="e">
        <f t="shared" si="11"/>
        <v>#N/A</v>
      </c>
      <c r="V34" s="704" t="s">
        <v>14</v>
      </c>
      <c r="W34" s="705"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24"/>
      <c r="Q35" s="1351" t="str">
        <f t="shared" ref="Q35:Q40" si="14">B35</f>
        <v>宗地形状</v>
      </c>
      <c r="R35" s="704" t="s">
        <v>14</v>
      </c>
      <c r="S35" s="705">
        <f t="shared" si="10"/>
        <v>100</v>
      </c>
      <c r="T35" s="704" t="s">
        <v>14</v>
      </c>
      <c r="U35" s="705">
        <f t="shared" si="11"/>
        <v>100</v>
      </c>
      <c r="V35" s="704" t="s">
        <v>14</v>
      </c>
      <c r="W35" s="705">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24"/>
      <c r="Q36" s="1351"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24" t="s">
        <v>1696</v>
      </c>
      <c r="Q37" s="1351" t="str">
        <f t="shared" si="14"/>
        <v>工程地质条件</v>
      </c>
      <c r="R37" s="704" t="s">
        <v>14</v>
      </c>
      <c r="S37" s="705">
        <f t="shared" si="10"/>
        <v>100</v>
      </c>
      <c r="T37" s="704" t="s">
        <v>14</v>
      </c>
      <c r="U37" s="705">
        <f t="shared" si="11"/>
        <v>100</v>
      </c>
      <c r="V37" s="704" t="s">
        <v>14</v>
      </c>
      <c r="W37" s="705">
        <f t="shared" si="12"/>
        <v>100</v>
      </c>
      <c r="X37" s="1354"/>
      <c r="Y37" s="372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4"/>
      <c r="Q38" s="1351">
        <f t="shared" si="14"/>
        <v>111</v>
      </c>
      <c r="R38" s="704" t="s">
        <v>14</v>
      </c>
      <c r="S38" s="705">
        <f t="shared" si="10"/>
        <v>100</v>
      </c>
      <c r="T38" s="704" t="s">
        <v>14</v>
      </c>
      <c r="U38" s="705">
        <f t="shared" si="11"/>
        <v>100</v>
      </c>
      <c r="V38" s="704" t="s">
        <v>14</v>
      </c>
      <c r="W38" s="705">
        <f t="shared" si="12"/>
        <v>100</v>
      </c>
      <c r="X38" s="1354"/>
      <c r="Y38" s="372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4"/>
      <c r="Q39" s="1351">
        <f t="shared" si="14"/>
        <v>111</v>
      </c>
      <c r="R39" s="704" t="s">
        <v>14</v>
      </c>
      <c r="S39" s="705">
        <f t="shared" si="10"/>
        <v>100</v>
      </c>
      <c r="T39" s="704" t="s">
        <v>14</v>
      </c>
      <c r="U39" s="705">
        <f t="shared" si="11"/>
        <v>100</v>
      </c>
      <c r="V39" s="704" t="s">
        <v>14</v>
      </c>
      <c r="W39" s="705">
        <f t="shared" si="12"/>
        <v>100</v>
      </c>
      <c r="X39" s="1354"/>
      <c r="Y39" s="3724"/>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4"/>
      <c r="Q40" s="1351">
        <f t="shared" si="14"/>
        <v>111</v>
      </c>
      <c r="R40" s="707" t="s">
        <v>14</v>
      </c>
      <c r="S40" s="708">
        <f t="shared" si="10"/>
        <v>100</v>
      </c>
      <c r="T40" s="707" t="s">
        <v>14</v>
      </c>
      <c r="U40" s="708">
        <f t="shared" si="11"/>
        <v>100</v>
      </c>
      <c r="V40" s="707" t="s">
        <v>14</v>
      </c>
      <c r="W40" s="708">
        <f t="shared" si="12"/>
        <v>100</v>
      </c>
      <c r="X40" s="709"/>
      <c r="Y40" s="3724"/>
      <c r="Z40" s="710">
        <f t="shared" si="13"/>
        <v>111</v>
      </c>
      <c r="AA40" s="1352">
        <f t="shared" si="3"/>
        <v>1</v>
      </c>
      <c r="AB40" s="1352">
        <f t="shared" si="4"/>
        <v>1</v>
      </c>
      <c r="AC40" s="1352">
        <f t="shared" si="5"/>
        <v>1</v>
      </c>
    </row>
    <row r="41" spans="1:31" ht="15">
      <c r="A41" s="430" t="s">
        <v>1844</v>
      </c>
      <c r="B41" s="1979" t="s">
        <v>1922</v>
      </c>
      <c r="C41" s="629" t="s">
        <v>0</v>
      </c>
      <c r="D41" s="432"/>
      <c r="E41" s="433"/>
      <c r="F41" s="434"/>
      <c r="G41" s="435"/>
      <c r="H41" s="436"/>
      <c r="I41" s="433"/>
      <c r="J41" s="436"/>
      <c r="K41" s="713"/>
      <c r="L41" s="2720"/>
      <c r="M41" s="2712"/>
      <c r="N41" s="2712"/>
      <c r="O41" s="2721"/>
      <c r="P41" s="3717" t="str">
        <f>A41</f>
        <v>成交单价</v>
      </c>
      <c r="Q41" s="3717"/>
      <c r="R41" s="3748">
        <f>E41</f>
        <v>0</v>
      </c>
      <c r="S41" s="3748"/>
      <c r="T41" s="3748">
        <f>G41</f>
        <v>0</v>
      </c>
      <c r="U41" s="3748"/>
      <c r="V41" s="3748">
        <f>I41</f>
        <v>0</v>
      </c>
      <c r="W41" s="3748"/>
      <c r="X41" s="689"/>
      <c r="Y41" s="711"/>
      <c r="Z41" s="689"/>
      <c r="AA41" s="689"/>
      <c r="AB41" s="689"/>
      <c r="AC41" s="689"/>
    </row>
    <row r="42" spans="1:31" ht="15.75" thickBot="1">
      <c r="A42" s="437" t="s">
        <v>1793</v>
      </c>
      <c r="B42" s="630"/>
      <c r="C42" s="440" t="e">
        <f>R43</f>
        <v>#DIV/0!</v>
      </c>
      <c r="D42" s="2314" t="s">
        <v>2138</v>
      </c>
      <c r="E42" s="440" t="e">
        <f>R42</f>
        <v>#DIV/0!</v>
      </c>
      <c r="F42" s="2315"/>
      <c r="G42" s="439" t="e">
        <f>T42</f>
        <v>#DIV/0!</v>
      </c>
      <c r="H42" s="2315"/>
      <c r="I42" s="440" t="e">
        <f>V42</f>
        <v>#DIV/0!</v>
      </c>
      <c r="J42" s="2315"/>
      <c r="K42" s="2317">
        <f>F42+H42+J42</f>
        <v>0</v>
      </c>
      <c r="L42" s="2720"/>
      <c r="M42" s="2712"/>
      <c r="N42" s="2712"/>
      <c r="O42" s="2721"/>
      <c r="P42" s="3717" t="str">
        <f>A42</f>
        <v>比较价值（元/平方米）</v>
      </c>
      <c r="Q42" s="3717"/>
      <c r="R42" s="3777" t="e">
        <f>ROUND(PRODUCT(R41,AA7:AA40),0)</f>
        <v>#DIV/0!</v>
      </c>
      <c r="S42" s="3777"/>
      <c r="T42" s="3777" t="e">
        <f>ROUND(PRODUCT(T41,AB7:AB40),0)</f>
        <v>#DIV/0!</v>
      </c>
      <c r="U42" s="3777"/>
      <c r="V42" s="3777" t="e">
        <f>ROUND(PRODUCT(V41,AC7:AC40),0)</f>
        <v>#DIV/0!</v>
      </c>
      <c r="W42" s="377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0"/>
      <c r="M43" s="2712"/>
      <c r="N43" s="2712"/>
      <c r="O43" s="2721"/>
      <c r="P43" s="3714" t="str">
        <f>A43</f>
        <v>估价对象XX用房的比较价值（楼面单价，元/平方米）</v>
      </c>
      <c r="Q43" s="3715"/>
      <c r="R43" s="3778" t="e">
        <f>ROUND(IF(D42="简单平均",AVERAGE(R42:W42),R42*F42+T42*H42+V42*J42),0)</f>
        <v>#DIV/0!</v>
      </c>
      <c r="S43" s="3778"/>
      <c r="T43" s="3778"/>
      <c r="U43" s="3778"/>
      <c r="V43" s="3778"/>
      <c r="W43" s="377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732" t="s">
        <v>1887</v>
      </c>
      <c r="H50" s="3779"/>
      <c r="I50" s="1355" t="s">
        <v>1923</v>
      </c>
      <c r="J50" s="1355">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3">
        <v>1</v>
      </c>
      <c r="E51" s="637">
        <f>'数据-汇总表'!E8+'数据-汇总表'!E9</f>
        <v>1014.0699999999999</v>
      </c>
      <c r="F51" s="638" t="e">
        <f t="shared" ref="F51:F60" si="15">ROUND(B51*E51/10000,0)</f>
        <v>#DIV/0!</v>
      </c>
      <c r="G51" s="3728"/>
      <c r="H51" s="3717"/>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8" t="e">
        <f>ROUND($C$43*C52*D52,0)</f>
        <v>#DIV/0!</v>
      </c>
      <c r="C52" s="171">
        <f t="shared" ref="C52:C60" si="16">IF($C$50="北京市系数",I52,J52)</f>
        <v>0.6</v>
      </c>
      <c r="D52" s="944">
        <v>0.25</v>
      </c>
      <c r="E52" s="641"/>
      <c r="F52" s="638" t="e">
        <f t="shared" si="15"/>
        <v>#DIV/0!</v>
      </c>
      <c r="G52" s="3002" t="s">
        <v>1892</v>
      </c>
      <c r="H52" s="886" t="str">
        <f>项目基本情况!B37</f>
        <v>三级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8" t="e">
        <f t="shared" ref="B53:B60" si="17">ROUND($C$43*C53*D53,0)</f>
        <v>#DIV/0!</v>
      </c>
      <c r="C53" s="171">
        <f t="shared" si="16"/>
        <v>0.3</v>
      </c>
      <c r="D53" s="944">
        <v>0.25</v>
      </c>
      <c r="E53" s="641"/>
      <c r="F53" s="638" t="e">
        <f t="shared" si="15"/>
        <v>#DIV/0!</v>
      </c>
      <c r="G53" s="3003"/>
      <c r="H53" s="886" t="str">
        <f>项目基本情况!B37</f>
        <v>三级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8" t="e">
        <f t="shared" si="17"/>
        <v>#DIV/0!</v>
      </c>
      <c r="C54" s="171">
        <f t="shared" si="16"/>
        <v>0.25</v>
      </c>
      <c r="D54" s="944">
        <v>0.25</v>
      </c>
      <c r="E54" s="641"/>
      <c r="F54" s="638" t="e">
        <f t="shared" si="15"/>
        <v>#DIV/0!</v>
      </c>
      <c r="G54" s="3003"/>
      <c r="H54" s="886" t="str">
        <f>项目基本情况!B37</f>
        <v>三级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8" t="e">
        <f t="shared" si="17"/>
        <v>#DIV/0!</v>
      </c>
      <c r="C56" s="171">
        <f t="shared" si="16"/>
        <v>0</v>
      </c>
      <c r="D56" s="944">
        <v>0.25</v>
      </c>
      <c r="E56" s="217">
        <f>'数据-汇总表'!E11</f>
        <v>0</v>
      </c>
      <c r="F56" s="638" t="e">
        <f t="shared" si="15"/>
        <v>#DIV/0!</v>
      </c>
      <c r="G56" s="1984" t="s">
        <v>1896</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8" t="e">
        <f t="shared" si="17"/>
        <v>#DIV/0!</v>
      </c>
      <c r="C59" s="171">
        <f t="shared" si="16"/>
        <v>0.15</v>
      </c>
      <c r="D59" s="944">
        <v>0.25</v>
      </c>
      <c r="E59" s="217">
        <f>'数据-汇总表'!E14</f>
        <v>0</v>
      </c>
      <c r="F59" s="638" t="e">
        <f t="shared" si="15"/>
        <v>#DIV/0!</v>
      </c>
      <c r="G59" s="1984" t="s">
        <v>1892</v>
      </c>
      <c r="H59" s="886" t="str">
        <f>项目基本情况!B37</f>
        <v>三级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8" t="e">
        <f t="shared" si="17"/>
        <v>#DIV/0!</v>
      </c>
      <c r="C60" s="171">
        <f t="shared" si="16"/>
        <v>0</v>
      </c>
      <c r="D60" s="944">
        <v>0.25</v>
      </c>
      <c r="E60" s="217">
        <f>'数据-汇总表'!E15</f>
        <v>0</v>
      </c>
      <c r="F60" s="638" t="e">
        <f t="shared" si="15"/>
        <v>#DIV/0!</v>
      </c>
      <c r="G60" s="1985" t="s">
        <v>1896</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3" t="s">
        <v>1798</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2783</v>
      </c>
      <c r="C2" s="2142" t="s">
        <v>2074</v>
      </c>
      <c r="D2" s="2142" t="s">
        <v>2075</v>
      </c>
      <c r="E2" s="2608">
        <f ca="1">SUMIF(E6:E13,"&lt;&gt;#ref!",E6:E13)</f>
        <v>0</v>
      </c>
      <c r="F2" s="2789"/>
      <c r="G2" s="2789"/>
      <c r="H2" s="2789"/>
      <c r="I2" s="2789"/>
      <c r="J2" s="2789"/>
      <c r="K2" s="2789"/>
      <c r="L2" s="2789"/>
      <c r="M2" s="2789"/>
      <c r="N2" s="2789"/>
      <c r="O2" s="2789"/>
      <c r="P2" s="2789"/>
    </row>
    <row r="3" spans="1:16" ht="15.75">
      <c r="A3" s="2142" t="s">
        <v>2076</v>
      </c>
      <c r="B3" s="2598" t="e">
        <f ca="1">ROUND(B2*10000/E2,0)</f>
        <v>#DIV/0!</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2783</v>
      </c>
      <c r="C6" s="2142"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3559</v>
      </c>
      <c r="D1" s="1361" t="s">
        <v>43</v>
      </c>
      <c r="E1" s="1362" t="s">
        <v>678</v>
      </c>
      <c r="F1" s="1061">
        <f ca="1">J53</f>
        <v>25.17</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4337</v>
      </c>
      <c r="C2" s="1386" t="s">
        <v>805</v>
      </c>
      <c r="D2" s="1386"/>
      <c r="E2" s="1387"/>
      <c r="F2" s="1388"/>
      <c r="G2" s="2702"/>
      <c r="H2" s="2691"/>
      <c r="I2" s="2691"/>
      <c r="J2" s="2691"/>
      <c r="K2" s="2692"/>
      <c r="L2" s="2691"/>
      <c r="M2" s="2691"/>
    </row>
    <row r="3" spans="1:37" ht="18" customHeight="1" thickBot="1">
      <c r="A3" s="1389" t="s">
        <v>806</v>
      </c>
      <c r="B3" s="1390">
        <f ca="1">IF(ISERROR(B2*10000/F43),0,ROUND(B2*10000/F43,0))</f>
        <v>42768</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323</v>
      </c>
      <c r="D5" s="1363" t="s">
        <v>693</v>
      </c>
      <c r="E5" s="1070"/>
      <c r="F5" s="1071"/>
      <c r="G5" s="1383"/>
      <c r="H5" s="299">
        <v>1</v>
      </c>
      <c r="I5" s="300" t="s">
        <v>692</v>
      </c>
      <c r="J5" s="1069">
        <f ca="1">J6+J10+J12</f>
        <v>0</v>
      </c>
      <c r="K5" s="1363" t="s">
        <v>693</v>
      </c>
      <c r="L5" s="1070"/>
      <c r="M5" s="1071"/>
    </row>
    <row r="6" spans="1:37" ht="18" customHeight="1">
      <c r="A6" s="1068" t="s">
        <v>398</v>
      </c>
      <c r="B6" s="3688" t="s">
        <v>694</v>
      </c>
      <c r="C6" s="1073">
        <f ca="1">ROUND(F6*F8*F7*(1-F9)/10000,0)</f>
        <v>323</v>
      </c>
      <c r="D6" s="155" t="s">
        <v>2109</v>
      </c>
      <c r="E6" s="302" t="s">
        <v>696</v>
      </c>
      <c r="F6" s="303">
        <f ca="1">INDIRECT("'数据-取费表'!u"&amp;$G$1)</f>
        <v>9.6999999999999993</v>
      </c>
      <c r="G6" s="1383"/>
      <c r="H6" s="1068" t="s">
        <v>398</v>
      </c>
      <c r="I6" s="3688" t="s">
        <v>694</v>
      </c>
      <c r="J6" s="301">
        <f ca="1">ROUND(M6*M8*M7*(1-M9)/10000,0)</f>
        <v>0</v>
      </c>
      <c r="K6" s="155" t="s">
        <v>2108</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1014.0699999999999</v>
      </c>
      <c r="G7" s="1383"/>
      <c r="H7" s="304"/>
      <c r="I7" s="3689"/>
      <c r="J7" s="306"/>
      <c r="K7" s="307"/>
      <c r="L7" s="302" t="s">
        <v>697</v>
      </c>
      <c r="M7" s="303">
        <f ca="1">F7</f>
        <v>1014.0699999999999</v>
      </c>
    </row>
    <row r="8" spans="1:37" ht="18" customHeight="1">
      <c r="A8" s="304"/>
      <c r="B8" s="3689"/>
      <c r="C8" s="306"/>
      <c r="D8" s="307"/>
      <c r="E8" s="302" t="s">
        <v>698</v>
      </c>
      <c r="F8" s="303">
        <f ca="1">INDIRECT("'数据-取费表'!ai"&amp;$G$1)</f>
        <v>365</v>
      </c>
      <c r="G8" s="1383"/>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3"/>
      <c r="H9" s="304"/>
      <c r="I9" s="369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t="s">
        <v>3409</v>
      </c>
      <c r="G10" s="1383"/>
      <c r="H10" s="1068" t="s">
        <v>402</v>
      </c>
      <c r="I10" s="1364" t="s">
        <v>700</v>
      </c>
      <c r="J10" s="301">
        <f ca="1">ROUND(IF(M10="押一",J6/12*M11,IF(M10="押二",J6/12*2*M11,IF(M10="押三",J6/12*3*M11,J11*M11))),0)</f>
        <v>0</v>
      </c>
      <c r="K10" s="1365" t="s">
        <v>2116</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374</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355</v>
      </c>
      <c r="D14" s="1344" t="s">
        <v>708</v>
      </c>
      <c r="E14" s="1341"/>
      <c r="F14" s="319"/>
      <c r="G14" s="1383"/>
      <c r="H14" s="981" t="s">
        <v>398</v>
      </c>
      <c r="I14" s="302" t="s">
        <v>709</v>
      </c>
      <c r="J14" s="21">
        <f ca="1">C29</f>
        <v>520</v>
      </c>
      <c r="K14" s="12"/>
      <c r="L14" s="806"/>
      <c r="M14" s="807"/>
    </row>
    <row r="15" spans="1:37" s="1396" customFormat="1" ht="18" customHeight="1" thickBot="1">
      <c r="A15" s="981" t="s">
        <v>399</v>
      </c>
      <c r="B15" s="302" t="s">
        <v>710</v>
      </c>
      <c r="C15" s="21">
        <f ca="1">ROUND(C14*F15,0)</f>
        <v>11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3</v>
      </c>
      <c r="K16" s="1086" t="s">
        <v>715</v>
      </c>
      <c r="L16" s="1087"/>
      <c r="M16" s="1071"/>
    </row>
    <row r="17" spans="1:37" s="1396" customFormat="1" ht="18" customHeight="1">
      <c r="A17" s="981" t="s">
        <v>681</v>
      </c>
      <c r="B17" s="302" t="s">
        <v>716</v>
      </c>
      <c r="C17" s="21">
        <f ca="1">ROUND(F17*(F43+INDIRECT("'数据-取费表'!S"&amp;$G$1))/10000,0)</f>
        <v>15</v>
      </c>
      <c r="D17" s="302" t="s">
        <v>717</v>
      </c>
      <c r="E17" s="302" t="s">
        <v>718</v>
      </c>
      <c r="F17" s="23">
        <f>'数据-取费表'!B35</f>
        <v>150</v>
      </c>
      <c r="G17" s="1395"/>
      <c r="H17" s="981"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386</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8</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2.6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v>
      </c>
      <c r="K25" s="1094" t="s">
        <v>753</v>
      </c>
      <c r="L25" s="1095"/>
      <c r="M25" s="1096"/>
    </row>
    <row r="26" spans="1:37">
      <c r="A26" s="981" t="s">
        <v>397</v>
      </c>
      <c r="B26" s="302" t="s">
        <v>754</v>
      </c>
      <c r="C26" s="21">
        <f ca="1">ROUND((C19+C20)*F26,0)</f>
        <v>79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520</v>
      </c>
      <c r="D29" s="1091"/>
      <c r="E29" s="1089"/>
      <c r="F29" s="1092"/>
      <c r="G29" s="1395"/>
      <c r="H29" s="334" t="s">
        <v>396</v>
      </c>
      <c r="I29" s="335" t="s">
        <v>768</v>
      </c>
      <c r="J29" s="336">
        <f ca="1">ROUND(J26/(1+F40)^F41,0)</f>
        <v>0</v>
      </c>
      <c r="K29" s="337" t="s">
        <v>769</v>
      </c>
      <c r="L29" s="338"/>
      <c r="M29" s="339">
        <f ca="1">INDIRECT("'数据-取费表'!k"&amp;$G$1)</f>
        <v>1014.0699999999999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59</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54.14</v>
      </c>
      <c r="D31" s="1344" t="s">
        <v>720</v>
      </c>
      <c r="E31" s="1343" t="s">
        <v>770</v>
      </c>
      <c r="F31" s="2312" t="str">
        <f>IF(项目基本情况!B11="企业","——",IF(M47="住宅",IF(F6*F7*F8/12/(1+'数据-取费表'!F30)&gt;100000,4%,2.5%),IF(F6*F7*F8/12/(1+'数据-取费表'!F30)&gt;100000,12%,7%)))</f>
        <v>——</v>
      </c>
      <c r="G31" s="1383"/>
      <c r="H31" s="2804" t="s">
        <v>2299</v>
      </c>
      <c r="I31" s="1397"/>
      <c r="J31" s="1398"/>
      <c r="K31" s="2471"/>
      <c r="L31" s="2694"/>
      <c r="M31" s="2695"/>
    </row>
    <row r="32" spans="1:37" ht="18" customHeight="1">
      <c r="A32" s="981" t="s">
        <v>397</v>
      </c>
      <c r="B32" s="302" t="s">
        <v>723</v>
      </c>
      <c r="C32" s="21">
        <f ca="1">IF(项目基本情况!B11="自然人","——",ROUND(C6*F32/(1+'数据-取费表'!C42),2))</f>
        <v>17.23</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36.909999999999997</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2.6</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0.56000000000000005</v>
      </c>
      <c r="D37" s="1343" t="s">
        <v>743</v>
      </c>
      <c r="E37" s="302" t="s">
        <v>744</v>
      </c>
      <c r="F37" s="330">
        <f ca="1">INDIRECT("'数据-取费表'!Al"&amp;$G$1)</f>
        <v>1.5E-3</v>
      </c>
      <c r="G37" s="1383"/>
      <c r="H37" s="2696"/>
      <c r="I37" s="1397"/>
      <c r="J37" s="1398"/>
      <c r="K37" s="2540"/>
      <c r="L37" s="2696"/>
      <c r="M37" s="2696"/>
    </row>
    <row r="38" spans="1:18" ht="18" customHeight="1" thickBot="1">
      <c r="A38" s="1088" t="s">
        <v>684</v>
      </c>
      <c r="B38" s="1089" t="s">
        <v>728</v>
      </c>
      <c r="C38" s="1090">
        <f ca="1">ROUND(C5*F38,2)</f>
        <v>1.62</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264</v>
      </c>
      <c r="D39" s="1094" t="s">
        <v>773</v>
      </c>
      <c r="E39" s="1095"/>
      <c r="F39" s="1096"/>
      <c r="G39" s="1383"/>
      <c r="H39" s="2696"/>
      <c r="I39" s="1397"/>
      <c r="J39" s="1398"/>
      <c r="K39" s="2700"/>
      <c r="L39" s="2696"/>
      <c r="M39" s="2696"/>
    </row>
    <row r="40" spans="1:18" ht="18" customHeight="1">
      <c r="A40" s="299" t="s">
        <v>395</v>
      </c>
      <c r="B40" s="300" t="s">
        <v>774</v>
      </c>
      <c r="C40" s="301">
        <f ca="1">ROUND(C39*(1-((1+F42)/(1+F40))^F41)/(F40-F42),0)</f>
        <v>4303</v>
      </c>
      <c r="D40" s="324" t="s">
        <v>758</v>
      </c>
      <c r="E40" s="302" t="s">
        <v>759</v>
      </c>
      <c r="F40" s="312">
        <f ca="1">INDIRECT("'数据-取费表'!I"&amp;$G$1)</f>
        <v>0.06</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25.17</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42433</v>
      </c>
      <c r="D43" s="337" t="s">
        <v>777</v>
      </c>
      <c r="E43" s="338" t="s">
        <v>778</v>
      </c>
      <c r="F43" s="339">
        <f ca="1">INDIRECT("'数据-取费表'!k"&amp;$G$1)</f>
        <v>1014.0699999999999</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-4341</v>
      </c>
      <c r="D46" s="1405" t="str">
        <f>C2</f>
        <v>万元</v>
      </c>
      <c r="E46" s="1399"/>
      <c r="F46" s="1399"/>
      <c r="I46" s="1406" t="s">
        <v>810</v>
      </c>
      <c r="J46" s="1407"/>
      <c r="K46" s="1408"/>
      <c r="L46" s="1409">
        <f ca="1">IF(M47="住宅",0,IF(L48&gt;J51,L60,J60))</f>
        <v>34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40</v>
      </c>
      <c r="M47" s="1379" t="str">
        <f>IF(ISNUMBER(FIND("住宅",C1)),"住宅","非住宅")</f>
        <v>非住宅</v>
      </c>
      <c r="O47" s="1417" t="s">
        <v>403</v>
      </c>
      <c r="P47" s="1418" t="s">
        <v>817</v>
      </c>
      <c r="Q47" s="1419">
        <f ca="1">C40+J29</f>
        <v>4303</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25.17</v>
      </c>
      <c r="O48" s="1417" t="s">
        <v>404</v>
      </c>
      <c r="P48" s="1418" t="s">
        <v>821</v>
      </c>
      <c r="Q48" s="1419">
        <f ca="1">J60</f>
        <v>34</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1998</v>
      </c>
      <c r="K49" s="1422" t="s">
        <v>824</v>
      </c>
      <c r="L49" s="1426"/>
      <c r="O49" s="1427" t="s">
        <v>405</v>
      </c>
      <c r="P49" s="1418" t="s">
        <v>825</v>
      </c>
      <c r="Q49" s="1419">
        <f ca="1">C29</f>
        <v>520</v>
      </c>
      <c r="R49" s="1419" t="s">
        <v>818</v>
      </c>
    </row>
    <row r="50" spans="1:18" s="1383" customFormat="1" ht="13.5" thickBot="1">
      <c r="A50" s="975"/>
      <c r="B50" s="978"/>
      <c r="C50" s="1117"/>
      <c r="D50" s="952"/>
      <c r="E50" s="1055" t="s">
        <v>697</v>
      </c>
      <c r="F50" s="1056">
        <f ca="1">F7</f>
        <v>1014.0699999999999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3660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25.17</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5">
        <f ca="1">IF(M47="住宅",IF(D1="——",MAX(J51,L48),MAX(J51,L48-'数据-取费表'!B24)),IF(D1="——",MIN(J51,L48),MIN(J51,L48-'数据-取费表'!B24)))</f>
        <v>25.17</v>
      </c>
      <c r="K53" s="3691" t="s">
        <v>837</v>
      </c>
      <c r="L53" s="3692"/>
      <c r="O53" s="1417" t="s">
        <v>409</v>
      </c>
      <c r="P53" s="1418" t="s">
        <v>838</v>
      </c>
      <c r="Q53" s="1419">
        <f ca="1">Q47+Q48</f>
        <v>4337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0.16400000000000001</v>
      </c>
      <c r="K55" s="1444" t="s">
        <v>841</v>
      </c>
      <c r="L55" s="1445"/>
      <c r="O55" s="1410" t="s">
        <v>811</v>
      </c>
      <c r="P55" s="1411" t="s">
        <v>812</v>
      </c>
      <c r="Q55" s="1412" t="s">
        <v>813</v>
      </c>
      <c r="R55" s="1412" t="s">
        <v>814</v>
      </c>
    </row>
    <row r="56" spans="1:18" s="1383" customFormat="1" ht="25.5" thickTop="1" thickBot="1">
      <c r="A56" s="956">
        <v>2</v>
      </c>
      <c r="B56" s="957" t="s">
        <v>704</v>
      </c>
      <c r="C56" s="232">
        <f ca="1">C13</f>
        <v>374</v>
      </c>
      <c r="D56" s="1446"/>
      <c r="E56" s="1447"/>
      <c r="F56" s="1439"/>
      <c r="I56" s="1448" t="s">
        <v>842</v>
      </c>
      <c r="J56" s="1449" t="s">
        <v>3377</v>
      </c>
      <c r="K56" s="1420" t="s">
        <v>843</v>
      </c>
      <c r="L56" s="1423" t="str">
        <f ca="1">IF(L48&lt;J51,"——",L48-J53)</f>
        <v>——</v>
      </c>
      <c r="O56" s="1417" t="s">
        <v>403</v>
      </c>
      <c r="P56" s="1418" t="s">
        <v>817</v>
      </c>
      <c r="Q56" s="1419">
        <f ca="1">C40+J29</f>
        <v>4303</v>
      </c>
      <c r="R56" s="1419" t="s">
        <v>818</v>
      </c>
    </row>
    <row r="57" spans="1:18" s="1383" customFormat="1" ht="24.75" thickBot="1">
      <c r="A57" s="1450"/>
      <c r="B57" s="949" t="s">
        <v>767</v>
      </c>
      <c r="C57" s="238">
        <f ca="1">C29</f>
        <v>520</v>
      </c>
      <c r="D57" s="1451"/>
      <c r="E57" s="1452"/>
      <c r="F57" s="1453"/>
      <c r="I57" s="1454" t="s">
        <v>844</v>
      </c>
      <c r="J57" s="1455">
        <f ca="1">IF(OR(M47="住宅",J51&lt;L48,J56="是"),"——",J51-L48)</f>
        <v>9.8299999999999983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208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34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4303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0.56000000000000005</v>
      </c>
      <c r="D65" s="963" t="s">
        <v>743</v>
      </c>
      <c r="E65" s="949" t="s">
        <v>744</v>
      </c>
      <c r="F65" s="330">
        <f t="shared" ca="1" si="0"/>
        <v>1.5E-3</v>
      </c>
      <c r="I65" s="1461" t="s">
        <v>867</v>
      </c>
      <c r="J65" s="1462">
        <v>40</v>
      </c>
      <c r="K65" s="1462">
        <v>30</v>
      </c>
      <c r="L65" s="1462">
        <v>50</v>
      </c>
      <c r="M65" s="1464">
        <v>0.02</v>
      </c>
      <c r="O65" s="1417" t="s">
        <v>403</v>
      </c>
      <c r="P65" s="1418" t="s">
        <v>868</v>
      </c>
      <c r="Q65" s="1419">
        <f ca="1">C40+J29</f>
        <v>4303</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v>
      </c>
      <c r="D67" s="962" t="s">
        <v>753</v>
      </c>
      <c r="E67" s="967"/>
      <c r="F67" s="968"/>
      <c r="O67" s="1427" t="s">
        <v>405</v>
      </c>
      <c r="P67" s="1418" t="s">
        <v>850</v>
      </c>
      <c r="Q67" s="1465">
        <f ca="1">L51</f>
        <v>3660</v>
      </c>
      <c r="R67" s="1419" t="s">
        <v>870</v>
      </c>
    </row>
    <row r="68" spans="1:18" s="1383" customFormat="1" ht="16.5" thickBot="1">
      <c r="A68" s="946" t="s">
        <v>395</v>
      </c>
      <c r="B68" s="947" t="s">
        <v>774</v>
      </c>
      <c r="C68" s="301">
        <f ca="1">ROUND(C67*(1-((1+F70)/(1+F68))^F69)/(F68-F70),0)</f>
        <v>-38</v>
      </c>
      <c r="D68" s="964" t="s">
        <v>758</v>
      </c>
      <c r="E68" s="949" t="s">
        <v>759</v>
      </c>
      <c r="F68" s="312">
        <f ca="1">F40</f>
        <v>0.06</v>
      </c>
      <c r="O68" s="1427" t="s">
        <v>406</v>
      </c>
      <c r="P68" s="1466" t="s">
        <v>871</v>
      </c>
      <c r="Q68" s="1419">
        <f ca="1">ROUND(Q69-Q70*Q71,0)</f>
        <v>238</v>
      </c>
      <c r="R68" s="1419" t="s">
        <v>414</v>
      </c>
    </row>
    <row r="69" spans="1:18" s="1383" customFormat="1" ht="13.5" thickBot="1">
      <c r="A69" s="950"/>
      <c r="B69" s="951"/>
      <c r="C69" s="306"/>
      <c r="D69" s="969" t="s">
        <v>762</v>
      </c>
      <c r="E69" s="949" t="s">
        <v>763</v>
      </c>
      <c r="F69" s="333">
        <f ca="1">F41</f>
        <v>25.17</v>
      </c>
      <c r="O69" s="1427" t="s">
        <v>411</v>
      </c>
      <c r="P69" s="1466" t="s">
        <v>872</v>
      </c>
      <c r="Q69" s="1419">
        <f ca="1">C39</f>
        <v>264</v>
      </c>
      <c r="R69" s="1419" t="s">
        <v>818</v>
      </c>
    </row>
    <row r="70" spans="1:18" s="1383" customFormat="1" ht="13.5" thickBot="1">
      <c r="A70" s="953"/>
      <c r="B70" s="954"/>
      <c r="C70" s="310"/>
      <c r="D70" s="965"/>
      <c r="E70" s="949" t="s">
        <v>766</v>
      </c>
      <c r="F70" s="1053"/>
      <c r="O70" s="1427" t="s">
        <v>412</v>
      </c>
      <c r="P70" s="1466" t="s">
        <v>873</v>
      </c>
      <c r="Q70" s="1419">
        <f ca="1">C13</f>
        <v>374</v>
      </c>
      <c r="R70" s="1419" t="s">
        <v>818</v>
      </c>
    </row>
    <row r="71" spans="1:18" s="1383" customFormat="1" ht="13.5" thickBot="1">
      <c r="A71" s="970" t="s">
        <v>396</v>
      </c>
      <c r="B71" s="971" t="s">
        <v>776</v>
      </c>
      <c r="C71" s="336">
        <f ca="1">ROUND(C68*10000/F71,0)</f>
        <v>-375</v>
      </c>
      <c r="D71" s="972" t="s">
        <v>777</v>
      </c>
      <c r="E71" s="973" t="s">
        <v>778</v>
      </c>
      <c r="F71" s="339">
        <f ca="1">F43</f>
        <v>1014.0699999999999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26</v>
      </c>
      <c r="D75" s="1383"/>
      <c r="E75" s="1383"/>
      <c r="F75" s="1383"/>
      <c r="K75" s="1401"/>
      <c r="L75" s="1383"/>
      <c r="O75" s="1417" t="s">
        <v>409</v>
      </c>
      <c r="P75" s="1418" t="s">
        <v>838</v>
      </c>
      <c r="Q75" s="1419">
        <f ca="1">Q65+Q66</f>
        <v>4303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0.90200000000000002</v>
      </c>
    </row>
    <row r="80" spans="1:18">
      <c r="B80" s="340" t="s">
        <v>800</v>
      </c>
      <c r="C80" s="274">
        <f ca="1">ROUND(C75/C39,3)</f>
        <v>9.8000000000000004E-2</v>
      </c>
    </row>
    <row r="81" spans="2:3">
      <c r="B81" s="270" t="s">
        <v>801</v>
      </c>
      <c r="C81" s="238"/>
    </row>
    <row r="82" spans="2:3">
      <c r="B82" s="273" t="s">
        <v>802</v>
      </c>
      <c r="C82" s="275">
        <f ca="1">1-C83</f>
        <v>0.91300000000000003</v>
      </c>
    </row>
    <row r="83" spans="2:3">
      <c r="B83" s="273" t="s">
        <v>803</v>
      </c>
      <c r="C83" s="274">
        <f ca="1">ROUND(C13/C40,3)</f>
        <v>8.6999999999999994E-2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
  <sheetViews>
    <sheetView zoomScale="80" zoomScaleNormal="80" workbookViewId="0">
      <pane ySplit="1" topLeftCell="A2" activePane="bottomLeft" state="frozen"/>
      <selection pane="bottomLeft" activeCell="M14" sqref="M14"/>
    </sheetView>
  </sheetViews>
  <sheetFormatPr defaultColWidth="14.625" defaultRowHeight="40.15" customHeight="1"/>
  <cols>
    <col min="1" max="1" width="6.375" style="3473" customWidth="1"/>
    <col min="2" max="2" width="19.125" style="3473" customWidth="1"/>
    <col min="3" max="3" width="15.75" style="3473" customWidth="1"/>
    <col min="4" max="4" width="9.5" style="3473" customWidth="1"/>
    <col min="5" max="5" width="10.75" style="3473" customWidth="1"/>
    <col min="6" max="6" width="16.75" style="3473" customWidth="1"/>
    <col min="7" max="8" width="28.375" style="3473" customWidth="1"/>
    <col min="9" max="9" width="29.5" style="3473" customWidth="1"/>
    <col min="10" max="10" width="10.75" style="3478" customWidth="1"/>
    <col min="11" max="12" width="12.875" style="3479" customWidth="1"/>
    <col min="13" max="13" width="20.125" style="3480" customWidth="1"/>
    <col min="14" max="14" width="14.5" style="3480" customWidth="1"/>
    <col min="15" max="15" width="10.75" style="3473" customWidth="1"/>
    <col min="16" max="16" width="16" style="3473" customWidth="1"/>
    <col min="17" max="18" width="10.75" style="3473" customWidth="1"/>
    <col min="19" max="16384" width="14.625" style="3473"/>
  </cols>
  <sheetData>
    <row r="1" spans="1:39" s="3457" customFormat="1" ht="40.15" customHeight="1" thickBot="1">
      <c r="A1" s="3784" t="s">
        <v>3502</v>
      </c>
      <c r="B1" s="3784"/>
      <c r="C1" s="3784"/>
      <c r="D1" s="3784"/>
      <c r="E1" s="3784"/>
      <c r="F1" s="3784"/>
      <c r="G1" s="3784"/>
      <c r="H1" s="3784"/>
      <c r="I1" s="3784"/>
      <c r="J1" s="3784"/>
      <c r="K1" s="3784"/>
      <c r="L1" s="3784"/>
      <c r="M1" s="3784"/>
      <c r="N1" s="3784"/>
      <c r="O1" s="3784"/>
      <c r="P1" s="3784"/>
      <c r="Q1" s="3784"/>
      <c r="R1" s="3784"/>
      <c r="T1" s="3457">
        <v>12</v>
      </c>
      <c r="U1" s="3457">
        <f>ROUND(T1*U2,1)</f>
        <v>7.2</v>
      </c>
      <c r="V1" s="3457">
        <f>ROUND(T1*V2,1)</f>
        <v>6</v>
      </c>
    </row>
    <row r="2" spans="1:39" s="3459" customFormat="1" ht="40.15" customHeight="1">
      <c r="A2" s="3785" t="s">
        <v>3503</v>
      </c>
      <c r="B2" s="3785"/>
      <c r="C2" s="3785"/>
      <c r="D2" s="3785"/>
      <c r="E2" s="3786" t="s">
        <v>3504</v>
      </c>
      <c r="F2" s="3787"/>
      <c r="G2" s="3787"/>
      <c r="H2" s="3787"/>
      <c r="I2" s="3787"/>
      <c r="J2" s="3787"/>
      <c r="K2" s="3787"/>
      <c r="L2" s="3787"/>
      <c r="M2" s="3787"/>
      <c r="N2" s="3787"/>
      <c r="O2" s="3787"/>
      <c r="P2" s="3787"/>
      <c r="Q2" s="3787"/>
      <c r="R2" s="3787"/>
      <c r="S2" s="3458"/>
      <c r="T2" s="3458">
        <v>1</v>
      </c>
      <c r="U2" s="3481">
        <v>0.6</v>
      </c>
      <c r="V2" s="3481">
        <v>0.5</v>
      </c>
      <c r="W2" s="3458"/>
      <c r="X2" s="3458"/>
      <c r="Y2" s="3458"/>
      <c r="Z2" s="3458"/>
      <c r="AA2" s="3458"/>
      <c r="AB2" s="3458"/>
      <c r="AC2" s="3458"/>
      <c r="AD2" s="3458"/>
      <c r="AE2" s="3458"/>
      <c r="AF2" s="3458"/>
      <c r="AG2" s="3458"/>
      <c r="AH2" s="3458"/>
      <c r="AI2" s="3458"/>
      <c r="AJ2" s="3458"/>
      <c r="AK2" s="3458"/>
      <c r="AL2" s="3458"/>
      <c r="AM2" s="3458"/>
    </row>
    <row r="3" spans="1:39" s="3466" customFormat="1" ht="40.15" customHeight="1">
      <c r="A3" s="3460" t="s">
        <v>3505</v>
      </c>
      <c r="B3" s="3460" t="s">
        <v>3506</v>
      </c>
      <c r="C3" s="3461" t="s">
        <v>3507</v>
      </c>
      <c r="D3" s="3460" t="s">
        <v>3508</v>
      </c>
      <c r="E3" s="3462" t="s">
        <v>3509</v>
      </c>
      <c r="F3" s="3463" t="s">
        <v>3510</v>
      </c>
      <c r="G3" s="3463" t="s">
        <v>3511</v>
      </c>
      <c r="H3" s="3463" t="s">
        <v>3512</v>
      </c>
      <c r="I3" s="3463" t="s">
        <v>3513</v>
      </c>
      <c r="J3" s="3464" t="s">
        <v>3514</v>
      </c>
      <c r="K3" s="3463" t="s">
        <v>3515</v>
      </c>
      <c r="L3" s="3463" t="s">
        <v>3516</v>
      </c>
      <c r="M3" s="3465" t="s">
        <v>3517</v>
      </c>
      <c r="N3" s="3465" t="s">
        <v>3518</v>
      </c>
      <c r="O3" s="3463" t="s">
        <v>3519</v>
      </c>
      <c r="P3" s="3463" t="s">
        <v>3520</v>
      </c>
      <c r="Q3" s="3463" t="s">
        <v>3521</v>
      </c>
      <c r="R3" s="3463" t="s">
        <v>3522</v>
      </c>
      <c r="S3" s="3466" t="s">
        <v>3562</v>
      </c>
      <c r="T3" s="3466">
        <v>1</v>
      </c>
      <c r="U3" s="3466">
        <v>2</v>
      </c>
    </row>
    <row r="4" spans="1:39" ht="40.15" customHeight="1">
      <c r="A4" s="3467">
        <v>1</v>
      </c>
      <c r="B4" s="3468" t="s">
        <v>3523</v>
      </c>
      <c r="C4" s="3468" t="s">
        <v>3524</v>
      </c>
      <c r="D4" s="3468">
        <v>1014.07</v>
      </c>
      <c r="E4" s="3468" t="s">
        <v>3525</v>
      </c>
      <c r="F4" s="3468" t="s">
        <v>3526</v>
      </c>
      <c r="G4" s="3468" t="s">
        <v>3527</v>
      </c>
      <c r="H4" s="3468" t="str">
        <f>案例!AL5</f>
        <v>老广酒楼</v>
      </c>
      <c r="I4" s="3469" t="s">
        <v>3528</v>
      </c>
      <c r="J4" s="3470">
        <v>636.5</v>
      </c>
      <c r="K4" s="3467" t="s">
        <v>3529</v>
      </c>
      <c r="L4" s="3467" t="s">
        <v>3530</v>
      </c>
      <c r="M4" s="3471">
        <v>1800000</v>
      </c>
      <c r="N4" s="3472">
        <f>M4/365/J4</f>
        <v>7.7478505095287797</v>
      </c>
      <c r="O4" s="3468" t="s">
        <v>3531</v>
      </c>
      <c r="P4" s="3468" t="s">
        <v>3532</v>
      </c>
      <c r="Q4" s="3468" t="s">
        <v>3533</v>
      </c>
      <c r="R4" s="3468">
        <v>324000</v>
      </c>
      <c r="T4" s="3473">
        <v>84.5</v>
      </c>
      <c r="U4" s="3473">
        <v>364</v>
      </c>
      <c r="V4" s="3473">
        <f>ROUND((T1*T4+U1*U4)/(T4+U4),1)</f>
        <v>8.1</v>
      </c>
      <c r="W4" s="3473">
        <f>ROUND(V4*(U4+T4)*365/10000,0)</f>
        <v>133</v>
      </c>
    </row>
    <row r="5" spans="1:39" ht="40.15" customHeight="1">
      <c r="A5" s="3467">
        <v>2</v>
      </c>
      <c r="B5" s="3468" t="s">
        <v>3523</v>
      </c>
      <c r="C5" s="3468" t="s">
        <v>3534</v>
      </c>
      <c r="D5" s="3468">
        <v>1014.07</v>
      </c>
      <c r="E5" s="3468" t="s">
        <v>3525</v>
      </c>
      <c r="F5" s="3468" t="s">
        <v>3535</v>
      </c>
      <c r="G5" s="3468" t="s">
        <v>3527</v>
      </c>
      <c r="H5" s="3468" t="str">
        <f>案例!AL4</f>
        <v>红玫瑰烧腊豉油鸡饭</v>
      </c>
      <c r="I5" s="3469" t="s">
        <v>3536</v>
      </c>
      <c r="J5" s="3470">
        <v>102.86</v>
      </c>
      <c r="K5" s="3467" t="s">
        <v>3529</v>
      </c>
      <c r="L5" s="3467" t="s">
        <v>3537</v>
      </c>
      <c r="M5" s="3471">
        <v>600000</v>
      </c>
      <c r="N5" s="3472">
        <f>M5/365/J5</f>
        <v>15.981291235060821</v>
      </c>
      <c r="O5" s="3468" t="s">
        <v>3538</v>
      </c>
      <c r="P5" s="3468" t="s">
        <v>3539</v>
      </c>
      <c r="Q5" s="3468" t="s">
        <v>3540</v>
      </c>
      <c r="R5" s="3468">
        <v>54000</v>
      </c>
      <c r="T5" s="3473">
        <v>102.86</v>
      </c>
      <c r="V5" s="3473">
        <v>16</v>
      </c>
      <c r="W5" s="3473">
        <f>ROUND(V5*(U5+T5)*365/10000,0)</f>
        <v>60</v>
      </c>
    </row>
    <row r="6" spans="1:39" ht="40.15" customHeight="1">
      <c r="A6" s="3467">
        <v>3</v>
      </c>
      <c r="B6" s="3468" t="s">
        <v>3523</v>
      </c>
      <c r="C6" s="3468" t="s">
        <v>3541</v>
      </c>
      <c r="D6" s="3468">
        <v>1014.07</v>
      </c>
      <c r="E6" s="3468" t="s">
        <v>3525</v>
      </c>
      <c r="F6" s="3468" t="s">
        <v>3542</v>
      </c>
      <c r="G6" s="3468" t="s">
        <v>3527</v>
      </c>
      <c r="H6" s="3468" t="str">
        <f>案例!AL3</f>
        <v>永和大王</v>
      </c>
      <c r="I6" s="3469" t="s">
        <v>3543</v>
      </c>
      <c r="J6" s="3470">
        <v>120</v>
      </c>
      <c r="K6" s="3467" t="s">
        <v>3544</v>
      </c>
      <c r="L6" s="3467" t="s">
        <v>3545</v>
      </c>
      <c r="M6" s="3471">
        <v>1155000</v>
      </c>
      <c r="N6" s="3472">
        <f>M6/365/J6</f>
        <v>26.36986301369863</v>
      </c>
      <c r="O6" s="3468" t="s">
        <v>3531</v>
      </c>
      <c r="P6" s="3468" t="s">
        <v>3546</v>
      </c>
      <c r="Q6" s="3468" t="s">
        <v>3547</v>
      </c>
      <c r="R6" s="3468">
        <v>192500</v>
      </c>
      <c r="T6" s="3473">
        <v>120</v>
      </c>
      <c r="V6" s="3473">
        <v>16</v>
      </c>
      <c r="W6" s="3473">
        <f>ROUND(V6*(U6+T6)*365/10000,0)</f>
        <v>70</v>
      </c>
    </row>
    <row r="7" spans="1:39" ht="45" customHeight="1">
      <c r="A7" s="3467">
        <v>4</v>
      </c>
      <c r="B7" s="3468" t="s">
        <v>3523</v>
      </c>
      <c r="C7" s="3468" t="s">
        <v>3548</v>
      </c>
      <c r="D7" s="3468">
        <v>1014.07</v>
      </c>
      <c r="E7" s="3468" t="s">
        <v>3549</v>
      </c>
      <c r="F7" s="3468" t="s">
        <v>3550</v>
      </c>
      <c r="G7" s="3468" t="s">
        <v>3527</v>
      </c>
      <c r="H7" s="3468" t="str">
        <f>H4</f>
        <v>老广酒楼</v>
      </c>
      <c r="I7" s="3469" t="s">
        <v>3551</v>
      </c>
      <c r="J7" s="3470">
        <v>390.14</v>
      </c>
      <c r="K7" s="3467" t="s">
        <v>3552</v>
      </c>
      <c r="L7" s="3467" t="s">
        <v>3530</v>
      </c>
      <c r="M7" s="3471">
        <v>1737294</v>
      </c>
      <c r="N7" s="3472">
        <f>M7/365/J7</f>
        <v>12.200004073002244</v>
      </c>
      <c r="O7" s="3468" t="s">
        <v>3531</v>
      </c>
      <c r="P7" s="3468" t="s">
        <v>3553</v>
      </c>
      <c r="Q7" s="3468" t="s">
        <v>3554</v>
      </c>
      <c r="R7" s="3468">
        <v>304027</v>
      </c>
      <c r="T7" s="3473">
        <f>T9-T6-T5-T4</f>
        <v>54.20999999999998</v>
      </c>
      <c r="U7" s="3473">
        <f>U9-U4</f>
        <v>288.5</v>
      </c>
      <c r="V7" s="3473">
        <f>ROUND((T1*T7+U1*U7)/(T7+U7),1)</f>
        <v>8</v>
      </c>
      <c r="W7" s="3473">
        <f>ROUND(V7*(U7+T7)*365/10000,0)</f>
        <v>100</v>
      </c>
    </row>
    <row r="8" spans="1:39" ht="40.15" customHeight="1">
      <c r="A8" s="3467"/>
      <c r="B8" s="3468"/>
      <c r="C8" s="3468"/>
      <c r="D8" s="3468"/>
      <c r="E8" s="3468"/>
      <c r="F8" s="3468"/>
      <c r="G8" s="3468"/>
      <c r="H8" s="3468"/>
      <c r="I8" s="3469"/>
      <c r="J8" s="3470"/>
      <c r="K8" s="3467"/>
      <c r="L8" s="3467"/>
      <c r="M8" s="3471"/>
      <c r="N8" s="3472"/>
      <c r="O8" s="3468"/>
      <c r="P8" s="3468"/>
      <c r="Q8" s="3468"/>
      <c r="R8" s="3468"/>
      <c r="W8" s="3473">
        <f>SUM(W4:W7)</f>
        <v>363</v>
      </c>
    </row>
    <row r="9" spans="1:39" ht="40.15" customHeight="1">
      <c r="A9" s="3474">
        <f>COUNT(A4:A8)</f>
        <v>4</v>
      </c>
      <c r="B9" s="3475"/>
      <c r="C9" s="3475"/>
      <c r="D9" s="3475"/>
      <c r="E9" s="3475"/>
      <c r="F9" s="3475"/>
      <c r="G9" s="3475"/>
      <c r="H9" s="3475"/>
      <c r="I9" s="3475"/>
      <c r="J9" s="3476">
        <f>SUM(J4:J8)</f>
        <v>1249.5</v>
      </c>
      <c r="K9" s="3474"/>
      <c r="L9" s="3474"/>
      <c r="M9" s="3477">
        <f>SUM(M4:M8)</f>
        <v>5292294</v>
      </c>
      <c r="N9" s="3477"/>
      <c r="O9" s="3475"/>
      <c r="P9" s="3475"/>
      <c r="Q9" s="3475"/>
      <c r="R9" s="3475"/>
      <c r="T9" s="3473">
        <f>'数据-基础表'!I13</f>
        <v>361.57</v>
      </c>
      <c r="U9" s="3473">
        <f>'数据-基础表'!I14</f>
        <v>652.5</v>
      </c>
    </row>
    <row r="10" spans="1:39" ht="40.15" customHeight="1">
      <c r="M10" s="3480">
        <f>M9/10000</f>
        <v>529.22940000000006</v>
      </c>
    </row>
    <row r="11" spans="1:39" ht="40.15" customHeight="1">
      <c r="S11" s="3473" t="s">
        <v>3561</v>
      </c>
      <c r="T11" s="3473">
        <v>1</v>
      </c>
      <c r="U11" s="3473">
        <v>2</v>
      </c>
      <c r="V11" s="3473">
        <v>3</v>
      </c>
    </row>
    <row r="12" spans="1:39" ht="40.15" customHeight="1">
      <c r="T12" s="3473">
        <v>84.5</v>
      </c>
      <c r="U12" s="3473">
        <v>364</v>
      </c>
      <c r="V12" s="3473">
        <v>188</v>
      </c>
      <c r="W12" s="3473">
        <v>7.75</v>
      </c>
      <c r="X12" s="3473">
        <f>ROUND((T1*T12+U1*U12+V1*V12)/J4,1)</f>
        <v>7.5</v>
      </c>
      <c r="Y12" s="3473">
        <f>ROUND(X12*J4*365/10000,0)</f>
        <v>174</v>
      </c>
    </row>
    <row r="13" spans="1:39" ht="40.15" customHeight="1">
      <c r="T13" s="3473">
        <v>102.86</v>
      </c>
      <c r="W13" s="3473">
        <v>15.98</v>
      </c>
      <c r="X13" s="3473">
        <v>16</v>
      </c>
      <c r="Y13" s="3473">
        <f>ROUND(X13*J5*365/10000,0)</f>
        <v>60</v>
      </c>
    </row>
    <row r="14" spans="1:39" ht="40.15" customHeight="1">
      <c r="T14" s="3473">
        <v>120</v>
      </c>
      <c r="W14" s="3473">
        <v>26.37</v>
      </c>
      <c r="X14" s="3473">
        <v>16</v>
      </c>
      <c r="Y14" s="3473">
        <f>ROUND(X14*J6*365/10000,0)</f>
        <v>70</v>
      </c>
    </row>
    <row r="15" spans="1:39" ht="40.15" customHeight="1">
      <c r="T15" s="3473">
        <f>54.21+47.43</f>
        <v>101.64</v>
      </c>
      <c r="U15" s="3473">
        <v>288.5</v>
      </c>
      <c r="W15" s="3473">
        <v>12.2</v>
      </c>
      <c r="X15" s="3473">
        <f>ROUND((T1*T15+U1*U15)/J7,1)</f>
        <v>8.5</v>
      </c>
      <c r="Y15" s="3473">
        <f>ROUND(X15*J7*365/10000,0)</f>
        <v>121</v>
      </c>
    </row>
    <row r="16" spans="1:39" ht="40.15" customHeight="1">
      <c r="S16" s="3473">
        <f>SUM(T16:V16)</f>
        <v>1249.5</v>
      </c>
      <c r="T16" s="3473">
        <f>SUM(T12:T15)</f>
        <v>409</v>
      </c>
      <c r="U16" s="3473">
        <f>SUM(U12:U15)</f>
        <v>652.5</v>
      </c>
      <c r="V16" s="3473">
        <f>SUM(V12:V15)</f>
        <v>188</v>
      </c>
      <c r="Y16" s="3473">
        <f>SUM(Y12:Y15)</f>
        <v>425</v>
      </c>
    </row>
  </sheetData>
  <mergeCells count="3">
    <mergeCell ref="A1:R1"/>
    <mergeCell ref="A2:D2"/>
    <mergeCell ref="E2:R2"/>
  </mergeCells>
  <phoneticPr fontId="134" type="noConversion"/>
  <pageMargins left="0.15748031496063" right="0.15748031496063" top="0.23622047244094499" bottom="0.15748031496063" header="0.15748031496063" footer="0.15748031496063"/>
  <pageSetup paperSize="9" scale="84" orientation="landscape"/>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K45" sqref="K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t="s">
        <v>3495</v>
      </c>
      <c r="F1" s="1878" t="s">
        <v>3496</v>
      </c>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1014.0699999999999</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4"/>
      <c r="Y4" s="3742" t="s">
        <v>1775</v>
      </c>
      <c r="Z4" s="3743"/>
      <c r="AA4" s="3729" t="s">
        <v>1771</v>
      </c>
      <c r="AB4" s="3748"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4"/>
      <c r="Y5" s="3744"/>
      <c r="Z5" s="3745"/>
      <c r="AA5" s="3730"/>
      <c r="AB5" s="3748"/>
      <c r="AC5" s="3730"/>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4"/>
      <c r="Y6" s="3746"/>
      <c r="Z6" s="3747"/>
      <c r="AA6" s="3731"/>
      <c r="AB6" s="3748"/>
      <c r="AC6" s="3731"/>
    </row>
    <row r="7" spans="1:29" s="108" customFormat="1" ht="15.75" thickBot="1">
      <c r="A7" s="362" t="s">
        <v>1679</v>
      </c>
      <c r="B7" s="363"/>
      <c r="C7" s="364">
        <f>'数据-取费表'!B2</f>
        <v>45135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60"/>
      <c r="L8" s="2713"/>
      <c r="M8" s="2714"/>
      <c r="N8" s="2714"/>
      <c r="O8" s="2714"/>
      <c r="P8" s="3753" t="s">
        <v>1683</v>
      </c>
      <c r="Q8" s="3754"/>
      <c r="R8" s="700" t="s">
        <v>14</v>
      </c>
      <c r="S8" s="701">
        <f t="shared" si="0"/>
        <v>102</v>
      </c>
      <c r="T8" s="700" t="s">
        <v>14</v>
      </c>
      <c r="U8" s="701">
        <f t="shared" si="1"/>
        <v>102</v>
      </c>
      <c r="V8" s="700" t="s">
        <v>14</v>
      </c>
      <c r="W8" s="701">
        <f t="shared" si="2"/>
        <v>102</v>
      </c>
      <c r="X8" s="702"/>
      <c r="Y8" s="3753" t="s">
        <v>1683</v>
      </c>
      <c r="Z8" s="3754"/>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28" t="s">
        <v>1686</v>
      </c>
      <c r="Q9" s="1342" t="str">
        <f t="shared" ref="Q9:Q15" si="6">B9</f>
        <v>用途</v>
      </c>
      <c r="R9" s="700" t="s">
        <v>14</v>
      </c>
      <c r="S9" s="701">
        <f t="shared" si="0"/>
        <v>100</v>
      </c>
      <c r="T9" s="700" t="s">
        <v>14</v>
      </c>
      <c r="U9" s="701">
        <f t="shared" si="1"/>
        <v>100</v>
      </c>
      <c r="V9" s="700" t="s">
        <v>14</v>
      </c>
      <c r="W9" s="701">
        <f t="shared" si="2"/>
        <v>100</v>
      </c>
      <c r="X9" s="702"/>
      <c r="Y9" s="3573"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8"/>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8"/>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8"/>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8"/>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8"/>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26" t="s">
        <v>1691</v>
      </c>
      <c r="Q15" s="1351" t="str">
        <f t="shared" si="6"/>
        <v>商业繁华度</v>
      </c>
      <c r="R15" s="704" t="s">
        <v>14</v>
      </c>
      <c r="S15" s="705">
        <f t="shared" si="0"/>
        <v>100</v>
      </c>
      <c r="T15" s="704" t="s">
        <v>14</v>
      </c>
      <c r="U15" s="705">
        <f t="shared" si="1"/>
        <v>100</v>
      </c>
      <c r="V15" s="704" t="s">
        <v>14</v>
      </c>
      <c r="W15" s="705">
        <f t="shared" si="2"/>
        <v>100</v>
      </c>
      <c r="X15" s="1354"/>
      <c r="Y15" s="371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7"/>
      <c r="Q16" s="1351"/>
      <c r="R16" s="704"/>
      <c r="S16" s="705"/>
      <c r="T16" s="704"/>
      <c r="U16" s="705"/>
      <c r="V16" s="704"/>
      <c r="W16" s="705"/>
      <c r="X16" s="1354"/>
      <c r="Y16" s="3720"/>
      <c r="Z16" s="1355"/>
      <c r="AA16" s="1352">
        <v>1</v>
      </c>
      <c r="AB16" s="1352">
        <v>1</v>
      </c>
      <c r="AC16" s="1352">
        <v>1</v>
      </c>
    </row>
    <row r="17" spans="1:29" ht="15">
      <c r="A17" s="379"/>
      <c r="B17" s="402" t="s">
        <v>1259</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27"/>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27"/>
      <c r="Q18" s="1351"/>
      <c r="R18" s="704"/>
      <c r="S18" s="705"/>
      <c r="T18" s="704"/>
      <c r="U18" s="705"/>
      <c r="V18" s="704"/>
      <c r="W18" s="705"/>
      <c r="X18" s="1354"/>
      <c r="Y18" s="3720"/>
      <c r="Z18" s="1355"/>
      <c r="AA18" s="1352">
        <v>1</v>
      </c>
      <c r="AB18" s="1352">
        <v>1</v>
      </c>
      <c r="AC18" s="1352">
        <v>1</v>
      </c>
    </row>
    <row r="19" spans="1:29" ht="15">
      <c r="A19" s="379"/>
      <c r="B19" s="402" t="s">
        <v>1778</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27"/>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27"/>
      <c r="Q20" s="1351"/>
      <c r="R20" s="704"/>
      <c r="S20" s="705"/>
      <c r="T20" s="704"/>
      <c r="U20" s="705"/>
      <c r="V20" s="704"/>
      <c r="W20" s="705"/>
      <c r="X20" s="1354"/>
      <c r="Y20" s="3720"/>
      <c r="Z20" s="1355"/>
      <c r="AA20" s="1352">
        <v>1</v>
      </c>
      <c r="AB20" s="1352">
        <v>1</v>
      </c>
      <c r="AC20" s="1352">
        <v>1</v>
      </c>
    </row>
    <row r="21" spans="1:29" ht="15">
      <c r="A21" s="379"/>
      <c r="B21" s="1130"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27"/>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27"/>
      <c r="Q22" s="1351"/>
      <c r="R22" s="704"/>
      <c r="S22" s="705"/>
      <c r="T22" s="704"/>
      <c r="U22" s="705"/>
      <c r="V22" s="704"/>
      <c r="W22" s="705"/>
      <c r="X22" s="1354"/>
      <c r="Y22" s="3720"/>
      <c r="Z22" s="1355"/>
      <c r="AA22" s="1352">
        <v>1</v>
      </c>
      <c r="AB22" s="1352">
        <v>1</v>
      </c>
      <c r="AC22" s="1352">
        <v>1</v>
      </c>
    </row>
    <row r="23" spans="1:29" ht="15">
      <c r="A23" s="379"/>
      <c r="B23" s="402" t="s">
        <v>1261</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27"/>
      <c r="Q23" s="1351" t="str">
        <f>B23</f>
        <v>自然及人文环境</v>
      </c>
      <c r="R23" s="704" t="s">
        <v>14</v>
      </c>
      <c r="S23" s="705">
        <f>F23</f>
        <v>100</v>
      </c>
      <c r="T23" s="704" t="s">
        <v>14</v>
      </c>
      <c r="U23" s="705">
        <f>H23</f>
        <v>100</v>
      </c>
      <c r="V23" s="704" t="s">
        <v>14</v>
      </c>
      <c r="W23" s="705">
        <f>J23</f>
        <v>100</v>
      </c>
      <c r="X23" s="1354"/>
      <c r="Y23" s="372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27"/>
      <c r="Q24" s="1351"/>
      <c r="R24" s="704"/>
      <c r="S24" s="705"/>
      <c r="T24" s="704"/>
      <c r="U24" s="705"/>
      <c r="V24" s="704"/>
      <c r="W24" s="705"/>
      <c r="X24" s="1354"/>
      <c r="Y24" s="372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8"/>
      <c r="M25" s="2712"/>
      <c r="N25" s="2712"/>
      <c r="O25" s="2712"/>
      <c r="P25" s="3727"/>
      <c r="Q25" s="1351" t="str">
        <f t="shared" ref="Q25:Q46" si="11">B25</f>
        <v>临街状况</v>
      </c>
      <c r="R25" s="704" t="s">
        <v>14</v>
      </c>
      <c r="S25" s="705">
        <f>F25</f>
        <v>100</v>
      </c>
      <c r="T25" s="704" t="s">
        <v>14</v>
      </c>
      <c r="U25" s="705">
        <f>H25</f>
        <v>100</v>
      </c>
      <c r="V25" s="704" t="s">
        <v>14</v>
      </c>
      <c r="W25" s="705">
        <f>J25</f>
        <v>100</v>
      </c>
      <c r="X25" s="1354"/>
      <c r="Y25" s="372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7"/>
      <c r="Q26" s="1351" t="str">
        <f t="shared" si="11"/>
        <v>平面位置/可视性</v>
      </c>
      <c r="R26" s="704" t="s">
        <v>14</v>
      </c>
      <c r="S26" s="705">
        <f>F26</f>
        <v>100</v>
      </c>
      <c r="T26" s="704" t="s">
        <v>14</v>
      </c>
      <c r="U26" s="705">
        <f>H26</f>
        <v>100</v>
      </c>
      <c r="V26" s="704" t="s">
        <v>14</v>
      </c>
      <c r="W26" s="705">
        <f>J26</f>
        <v>100</v>
      </c>
      <c r="X26" s="1354"/>
      <c r="Y26" s="3720"/>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v>2</v>
      </c>
      <c r="L27" s="2713"/>
      <c r="M27" s="2714"/>
      <c r="N27" s="2714"/>
      <c r="O27" s="2714"/>
      <c r="P27" s="3727"/>
      <c r="Q27" s="1342" t="str">
        <f t="shared" si="11"/>
        <v>人流量</v>
      </c>
      <c r="R27" s="700" t="s">
        <v>14</v>
      </c>
      <c r="S27" s="701">
        <f>F27</f>
        <v>100</v>
      </c>
      <c r="T27" s="700" t="s">
        <v>14</v>
      </c>
      <c r="U27" s="701">
        <f>H27</f>
        <v>100</v>
      </c>
      <c r="V27" s="700" t="s">
        <v>14</v>
      </c>
      <c r="W27" s="701">
        <f>J27</f>
        <v>100</v>
      </c>
      <c r="X27" s="702"/>
      <c r="Y27" s="372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7"/>
      <c r="Q29" s="1351">
        <f t="shared" si="11"/>
        <v>111</v>
      </c>
      <c r="R29" s="704" t="s">
        <v>14</v>
      </c>
      <c r="S29" s="705">
        <f t="shared" si="12"/>
        <v>100</v>
      </c>
      <c r="T29" s="704" t="s">
        <v>14</v>
      </c>
      <c r="U29" s="705">
        <f t="shared" si="13"/>
        <v>100</v>
      </c>
      <c r="V29" s="704" t="s">
        <v>14</v>
      </c>
      <c r="W29" s="705">
        <f t="shared" si="14"/>
        <v>100</v>
      </c>
      <c r="X29" s="1354"/>
      <c r="Y29" s="372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7"/>
      <c r="Q30" s="1351">
        <f t="shared" si="11"/>
        <v>111</v>
      </c>
      <c r="R30" s="704" t="s">
        <v>14</v>
      </c>
      <c r="S30" s="705">
        <f t="shared" si="12"/>
        <v>100</v>
      </c>
      <c r="T30" s="704" t="s">
        <v>14</v>
      </c>
      <c r="U30" s="705">
        <f t="shared" si="13"/>
        <v>100</v>
      </c>
      <c r="V30" s="704" t="s">
        <v>14</v>
      </c>
      <c r="W30" s="705">
        <f t="shared" si="14"/>
        <v>100</v>
      </c>
      <c r="X30" s="1354"/>
      <c r="Y30" s="372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7"/>
      <c r="Q31" s="1351">
        <f t="shared" si="11"/>
        <v>111</v>
      </c>
      <c r="R31" s="704" t="s">
        <v>14</v>
      </c>
      <c r="S31" s="705">
        <f t="shared" si="12"/>
        <v>100</v>
      </c>
      <c r="T31" s="704" t="s">
        <v>14</v>
      </c>
      <c r="U31" s="705">
        <f t="shared" si="13"/>
        <v>100</v>
      </c>
      <c r="V31" s="704" t="s">
        <v>14</v>
      </c>
      <c r="W31" s="705">
        <f t="shared" si="14"/>
        <v>100</v>
      </c>
      <c r="X31" s="1354"/>
      <c r="Y31" s="372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8"/>
      <c r="M32" s="2712"/>
      <c r="N32" s="2712"/>
      <c r="O32" s="2712"/>
      <c r="P32" s="3721" t="s">
        <v>1696</v>
      </c>
      <c r="Q32" s="1351" t="str">
        <f t="shared" si="11"/>
        <v>商业类型</v>
      </c>
      <c r="R32" s="704" t="s">
        <v>14</v>
      </c>
      <c r="S32" s="705">
        <f t="shared" si="12"/>
        <v>100</v>
      </c>
      <c r="T32" s="704" t="s">
        <v>14</v>
      </c>
      <c r="U32" s="705">
        <f t="shared" si="13"/>
        <v>100</v>
      </c>
      <c r="V32" s="704" t="s">
        <v>14</v>
      </c>
      <c r="W32" s="705">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7"/>
      <c r="M33" s="2719"/>
      <c r="N33" s="2719"/>
      <c r="O33" s="2719"/>
      <c r="P33" s="3722"/>
      <c r="Q33" s="706" t="str">
        <f t="shared" si="11"/>
        <v>项目建筑规模</v>
      </c>
      <c r="R33" s="707" t="s">
        <v>14</v>
      </c>
      <c r="S33" s="708">
        <f t="shared" si="12"/>
        <v>100</v>
      </c>
      <c r="T33" s="707" t="s">
        <v>14</v>
      </c>
      <c r="U33" s="708">
        <f t="shared" si="13"/>
        <v>100</v>
      </c>
      <c r="V33" s="707" t="s">
        <v>14</v>
      </c>
      <c r="W33" s="708">
        <f t="shared" si="14"/>
        <v>100</v>
      </c>
      <c r="X33" s="709"/>
      <c r="Y33" s="3724"/>
      <c r="Z33" s="710" t="str">
        <f t="shared" si="15"/>
        <v>项目建筑规模</v>
      </c>
      <c r="AA33" s="1352">
        <f t="shared" si="3"/>
        <v>1</v>
      </c>
      <c r="AB33" s="1352">
        <f t="shared" si="4"/>
        <v>1</v>
      </c>
      <c r="AC33" s="1352">
        <f t="shared" si="5"/>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561">
        <v>2</v>
      </c>
      <c r="L34" s="2718"/>
      <c r="M34" s="2712"/>
      <c r="N34" s="2712"/>
      <c r="O34" s="2712"/>
      <c r="P34" s="3722"/>
      <c r="Q34" s="1351" t="str">
        <f t="shared" si="11"/>
        <v>建筑结构</v>
      </c>
      <c r="R34" s="704" t="s">
        <v>14</v>
      </c>
      <c r="S34" s="705">
        <f t="shared" si="12"/>
        <v>100</v>
      </c>
      <c r="T34" s="704" t="s">
        <v>14</v>
      </c>
      <c r="U34" s="705">
        <f t="shared" si="13"/>
        <v>100</v>
      </c>
      <c r="V34" s="704" t="s">
        <v>14</v>
      </c>
      <c r="W34" s="705">
        <f t="shared" si="14"/>
        <v>100</v>
      </c>
      <c r="X34" s="1354"/>
      <c r="Y34" s="3724"/>
      <c r="Z34" s="1355" t="str">
        <f t="shared" si="15"/>
        <v>建筑结构</v>
      </c>
      <c r="AA34" s="1352">
        <f t="shared" si="3"/>
        <v>1</v>
      </c>
      <c r="AB34" s="1352">
        <f t="shared" si="4"/>
        <v>1</v>
      </c>
      <c r="AC34" s="1352">
        <f t="shared" si="5"/>
        <v>1</v>
      </c>
    </row>
    <row r="35" spans="1:29" ht="15">
      <c r="A35" s="423"/>
      <c r="B35" s="375" t="s">
        <v>1785</v>
      </c>
      <c r="C35" s="1905" t="s">
        <v>3456</v>
      </c>
      <c r="D35" s="386">
        <v>100</v>
      </c>
      <c r="E35" s="1905" t="s">
        <v>3456</v>
      </c>
      <c r="F35" s="412">
        <f>SUMIF(107:107,E35,108:108)-SUMIF(107:107,C35,108:108)+100</f>
        <v>100</v>
      </c>
      <c r="G35" s="1905" t="s">
        <v>3456</v>
      </c>
      <c r="H35" s="386">
        <f>SUMIF(107:107,G35,108:108)-SUMIF(107:107,C35,108:108)+100</f>
        <v>100</v>
      </c>
      <c r="I35" s="1905" t="s">
        <v>3456</v>
      </c>
      <c r="J35" s="386">
        <f>SUMIF(107:107,I35,108:108)-SUMIF(107:107,C35,108:108)+100</f>
        <v>100</v>
      </c>
      <c r="K35" s="561">
        <v>2</v>
      </c>
      <c r="L35" s="2718"/>
      <c r="M35" s="2712"/>
      <c r="N35" s="2712"/>
      <c r="O35" s="2712"/>
      <c r="P35" s="3722"/>
      <c r="Q35" s="1351" t="str">
        <f t="shared" si="11"/>
        <v>公共部分装修</v>
      </c>
      <c r="R35" s="704" t="s">
        <v>14</v>
      </c>
      <c r="S35" s="705">
        <f t="shared" si="12"/>
        <v>100</v>
      </c>
      <c r="T35" s="704" t="s">
        <v>14</v>
      </c>
      <c r="U35" s="705">
        <f t="shared" si="13"/>
        <v>100</v>
      </c>
      <c r="V35" s="704" t="s">
        <v>14</v>
      </c>
      <c r="W35" s="705">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8"/>
      <c r="M36" s="2712"/>
      <c r="N36" s="2712"/>
      <c r="O36" s="2712"/>
      <c r="P36" s="3722"/>
      <c r="Q36" s="1351" t="str">
        <f t="shared" si="11"/>
        <v>成新度</v>
      </c>
      <c r="R36" s="704" t="s">
        <v>14</v>
      </c>
      <c r="S36" s="705" t="e">
        <f t="shared" si="12"/>
        <v>#N/A</v>
      </c>
      <c r="T36" s="704" t="s">
        <v>14</v>
      </c>
      <c r="U36" s="705" t="e">
        <f t="shared" si="13"/>
        <v>#N/A</v>
      </c>
      <c r="V36" s="704" t="s">
        <v>14</v>
      </c>
      <c r="W36" s="705"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3"/>
      <c r="M37" s="2714"/>
      <c r="N37" s="2714"/>
      <c r="O37" s="2714"/>
      <c r="P37" s="3722"/>
      <c r="Q37" s="1342"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8"/>
      <c r="M38" s="2712"/>
      <c r="N38" s="2712"/>
      <c r="O38" s="2712"/>
      <c r="P38" s="3722" t="s">
        <v>1696</v>
      </c>
      <c r="Q38" s="1351" t="str">
        <f t="shared" si="11"/>
        <v>业态</v>
      </c>
      <c r="R38" s="704" t="s">
        <v>14</v>
      </c>
      <c r="S38" s="705">
        <f t="shared" si="12"/>
        <v>100</v>
      </c>
      <c r="T38" s="704" t="s">
        <v>14</v>
      </c>
      <c r="U38" s="705">
        <f t="shared" si="13"/>
        <v>100</v>
      </c>
      <c r="V38" s="704" t="s">
        <v>14</v>
      </c>
      <c r="W38" s="705">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8"/>
      <c r="M39" s="2712"/>
      <c r="N39" s="2712"/>
      <c r="O39" s="2712"/>
      <c r="P39" s="3722"/>
      <c r="Q39" s="1351" t="str">
        <f t="shared" si="11"/>
        <v>层高</v>
      </c>
      <c r="R39" s="704" t="s">
        <v>14</v>
      </c>
      <c r="S39" s="705">
        <f t="shared" si="12"/>
        <v>100</v>
      </c>
      <c r="T39" s="704" t="s">
        <v>14</v>
      </c>
      <c r="U39" s="705">
        <f t="shared" si="13"/>
        <v>100</v>
      </c>
      <c r="V39" s="704" t="s">
        <v>14</v>
      </c>
      <c r="W39" s="705">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2"/>
      <c r="Q40" s="1351" t="str">
        <f t="shared" si="11"/>
        <v>单套建筑面积</v>
      </c>
      <c r="R40" s="704" t="s">
        <v>14</v>
      </c>
      <c r="S40" s="705">
        <f t="shared" si="12"/>
        <v>100</v>
      </c>
      <c r="T40" s="704" t="s">
        <v>14</v>
      </c>
      <c r="U40" s="705">
        <f t="shared" si="13"/>
        <v>100</v>
      </c>
      <c r="V40" s="704" t="s">
        <v>14</v>
      </c>
      <c r="W40" s="705">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t="s">
        <v>3494</v>
      </c>
      <c r="D41" s="386">
        <v>100</v>
      </c>
      <c r="E41" s="565" t="s">
        <v>3494</v>
      </c>
      <c r="F41" s="412">
        <f>SUMIF(120:120,E41,121:121)-SUMIF(120:120,C41,121:121)+100</f>
        <v>100</v>
      </c>
      <c r="G41" s="565" t="s">
        <v>3494</v>
      </c>
      <c r="H41" s="386">
        <f>SUMIF(120:120,G41,121:121)-SUMIF(120:120,C41,121:121)+100</f>
        <v>100</v>
      </c>
      <c r="I41" s="565" t="s">
        <v>3494</v>
      </c>
      <c r="J41" s="386">
        <f>SUMIF(120:120,I41,121:121)-SUMIF(120:120,C41,121:121)+100</f>
        <v>100</v>
      </c>
      <c r="K41" s="561">
        <v>2</v>
      </c>
      <c r="L41" s="2717"/>
      <c r="M41" s="2719"/>
      <c r="N41" s="2719"/>
      <c r="O41" s="2719"/>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8"/>
      <c r="M42" s="2712"/>
      <c r="N42" s="2712"/>
      <c r="O42" s="2712"/>
      <c r="P42" s="3722"/>
      <c r="Q42" s="1351" t="str">
        <f t="shared" si="11"/>
        <v>内部装修</v>
      </c>
      <c r="R42" s="704" t="s">
        <v>14</v>
      </c>
      <c r="S42" s="705">
        <f t="shared" si="12"/>
        <v>100</v>
      </c>
      <c r="T42" s="704" t="s">
        <v>14</v>
      </c>
      <c r="U42" s="705">
        <f t="shared" si="13"/>
        <v>100</v>
      </c>
      <c r="V42" s="704" t="s">
        <v>14</v>
      </c>
      <c r="W42" s="705">
        <f t="shared" si="14"/>
        <v>100</v>
      </c>
      <c r="X42" s="1354"/>
      <c r="Y42" s="3724"/>
      <c r="Z42" s="1355" t="str">
        <f t="shared" si="15"/>
        <v>内部装修</v>
      </c>
      <c r="AA42" s="1352">
        <f t="shared" si="3"/>
        <v>1</v>
      </c>
      <c r="AB42" s="1352">
        <f t="shared" si="4"/>
        <v>1</v>
      </c>
      <c r="AC42" s="1352">
        <f t="shared" si="5"/>
        <v>1</v>
      </c>
    </row>
    <row r="43" spans="1:29" ht="15">
      <c r="A43" s="423"/>
      <c r="B43" s="375" t="s">
        <v>1707</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561">
        <v>2</v>
      </c>
      <c r="L43" s="2718"/>
      <c r="M43" s="2712"/>
      <c r="N43" s="2712"/>
      <c r="O43" s="2712"/>
      <c r="P43" s="3722"/>
      <c r="Q43" s="1351" t="str">
        <f t="shared" si="11"/>
        <v>内部装修维护情况</v>
      </c>
      <c r="R43" s="704" t="s">
        <v>14</v>
      </c>
      <c r="S43" s="705">
        <f t="shared" si="12"/>
        <v>100</v>
      </c>
      <c r="T43" s="704" t="s">
        <v>14</v>
      </c>
      <c r="U43" s="705">
        <f t="shared" si="13"/>
        <v>100</v>
      </c>
      <c r="V43" s="704" t="s">
        <v>14</v>
      </c>
      <c r="W43" s="705">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2"/>
      <c r="Q44" s="1342">
        <f t="shared" si="11"/>
        <v>111</v>
      </c>
      <c r="R44" s="700" t="s">
        <v>14</v>
      </c>
      <c r="S44" s="701">
        <f t="shared" si="12"/>
        <v>100</v>
      </c>
      <c r="T44" s="700" t="s">
        <v>14</v>
      </c>
      <c r="U44" s="701">
        <f t="shared" si="13"/>
        <v>100</v>
      </c>
      <c r="V44" s="700" t="s">
        <v>14</v>
      </c>
      <c r="W44" s="701">
        <f t="shared" si="14"/>
        <v>100</v>
      </c>
      <c r="X44" s="702"/>
      <c r="Y44" s="372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2"/>
      <c r="Q45" s="1351">
        <f t="shared" si="11"/>
        <v>111</v>
      </c>
      <c r="R45" s="704" t="s">
        <v>14</v>
      </c>
      <c r="S45" s="705">
        <f t="shared" si="12"/>
        <v>100</v>
      </c>
      <c r="T45" s="704" t="s">
        <v>14</v>
      </c>
      <c r="U45" s="705">
        <f t="shared" si="13"/>
        <v>100</v>
      </c>
      <c r="V45" s="704" t="s">
        <v>14</v>
      </c>
      <c r="W45" s="705">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3"/>
      <c r="Q46" s="1351">
        <f t="shared" si="11"/>
        <v>111</v>
      </c>
      <c r="R46" s="704" t="s">
        <v>14</v>
      </c>
      <c r="S46" s="705">
        <f t="shared" si="12"/>
        <v>100</v>
      </c>
      <c r="T46" s="704" t="s">
        <v>14</v>
      </c>
      <c r="U46" s="705">
        <f t="shared" si="13"/>
        <v>100</v>
      </c>
      <c r="V46" s="704" t="s">
        <v>14</v>
      </c>
      <c r="W46" s="705">
        <f t="shared" si="14"/>
        <v>100</v>
      </c>
      <c r="X46" s="1354"/>
      <c r="Y46" s="372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0"/>
      <c r="M47" s="2721"/>
      <c r="N47" s="2712"/>
      <c r="O47" s="2721"/>
      <c r="P47" s="3717" t="str">
        <f>A47</f>
        <v>成交单价（元/平方米）</v>
      </c>
      <c r="Q47" s="3717"/>
      <c r="R47" s="3748">
        <f>E47</f>
        <v>0</v>
      </c>
      <c r="S47" s="3748"/>
      <c r="T47" s="3748">
        <f>G47</f>
        <v>0</v>
      </c>
      <c r="U47" s="3748"/>
      <c r="V47" s="3748">
        <f>I47</f>
        <v>0</v>
      </c>
      <c r="W47" s="3748"/>
      <c r="X47" s="689"/>
      <c r="Y47" s="711"/>
      <c r="Z47" s="689"/>
      <c r="AA47" s="689"/>
      <c r="AB47" s="689"/>
      <c r="AC47" s="689"/>
    </row>
    <row r="48" spans="1:29" ht="15.75" thickBot="1">
      <c r="A48" s="437" t="s">
        <v>1793</v>
      </c>
      <c r="B48" s="438"/>
      <c r="C48" s="1159" t="e">
        <f>R49</f>
        <v>#DIV/0!</v>
      </c>
      <c r="D48" s="2314" t="s">
        <v>2138</v>
      </c>
      <c r="E48" s="1160" t="e">
        <f>R48</f>
        <v>#DIV/0!</v>
      </c>
      <c r="F48" s="2315"/>
      <c r="G48" s="1159" t="e">
        <f>T48</f>
        <v>#DIV/0!</v>
      </c>
      <c r="H48" s="2315"/>
      <c r="I48" s="1160" t="e">
        <f>V48</f>
        <v>#DIV/0!</v>
      </c>
      <c r="J48" s="2315"/>
      <c r="K48" s="2317">
        <f>F48+H48+J48</f>
        <v>0</v>
      </c>
      <c r="L48" s="2720"/>
      <c r="M48" s="2721"/>
      <c r="N48" s="2712"/>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0"/>
      <c r="M49" s="2721"/>
      <c r="N49" s="2712"/>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1798</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50" t="s">
        <v>3458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t="s">
        <v>3459</v>
      </c>
      <c r="D65" s="532" t="s">
        <v>3460</v>
      </c>
      <c r="E65" s="3451" t="s">
        <v>3461</v>
      </c>
      <c r="F65" s="532" t="s">
        <v>3462</v>
      </c>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0.5</v>
      </c>
      <c r="E68" s="498">
        <v>1</v>
      </c>
      <c r="F68" s="498">
        <v>1.5</v>
      </c>
      <c r="G68" s="498">
        <v>2</v>
      </c>
      <c r="H68" s="498">
        <v>2.5</v>
      </c>
      <c r="I68" s="498">
        <v>3</v>
      </c>
      <c r="J68" s="498">
        <v>3.5</v>
      </c>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7" t="s">
        <v>1799</v>
      </c>
      <c r="D82" s="607" t="s">
        <v>1800</v>
      </c>
      <c r="E82" s="607" t="s">
        <v>1801</v>
      </c>
      <c r="F82" s="607" t="s">
        <v>1802</v>
      </c>
      <c r="G82" s="607"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48" t="s">
        <v>3463</v>
      </c>
      <c r="D86" s="3448" t="s">
        <v>3464</v>
      </c>
      <c r="E86" s="3448" t="s">
        <v>3465</v>
      </c>
      <c r="F86" s="3448" t="s">
        <v>3466</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48" t="s">
        <v>3467</v>
      </c>
      <c r="D88" s="3448" t="s">
        <v>3468</v>
      </c>
      <c r="E88" s="3448" t="s">
        <v>3469</v>
      </c>
      <c r="F88" s="3452" t="s">
        <v>3470</v>
      </c>
      <c r="G88" s="3448" t="s">
        <v>3471</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8" t="s">
        <v>3472</v>
      </c>
      <c r="D90" s="3448" t="s">
        <v>3473</v>
      </c>
      <c r="E90" s="3448" t="s">
        <v>3469</v>
      </c>
      <c r="F90" s="3448" t="s">
        <v>3474</v>
      </c>
      <c r="G90" s="3448" t="s">
        <v>3475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3476</v>
      </c>
      <c r="D92" s="503" t="s">
        <v>3477</v>
      </c>
      <c r="E92" s="503" t="s">
        <v>3478</v>
      </c>
      <c r="F92" s="503" t="s">
        <v>3479</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60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53" t="s">
        <v>3480</v>
      </c>
      <c r="D100" s="3453" t="s">
        <v>3481</v>
      </c>
      <c r="E100" s="3453" t="s">
        <v>3482</v>
      </c>
      <c r="F100" s="3453" t="s">
        <v>3483</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v>
      </c>
      <c r="E103" s="544">
        <v>50</v>
      </c>
      <c r="F103" s="544">
        <v>100</v>
      </c>
      <c r="G103" s="544">
        <v>500</v>
      </c>
      <c r="H103" s="544">
        <v>10000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8" t="s">
        <v>3440</v>
      </c>
      <c r="D105" s="3448" t="s">
        <v>3484</v>
      </c>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48" t="s">
        <v>3441</v>
      </c>
      <c r="D107" s="3448" t="s">
        <v>3442</v>
      </c>
      <c r="E107" s="3448" t="s">
        <v>3443</v>
      </c>
      <c r="F107" s="3449" t="s">
        <v>3444</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8" t="s">
        <v>3485</v>
      </c>
      <c r="D114" s="3448" t="s">
        <v>3486</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8" t="s">
        <v>3487</v>
      </c>
      <c r="D116" s="3448" t="s">
        <v>3488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49" t="s">
        <v>3489</v>
      </c>
      <c r="D120" s="3449" t="s">
        <v>3490</v>
      </c>
      <c r="E120" s="3449" t="s">
        <v>3469</v>
      </c>
      <c r="F120" s="3449" t="s">
        <v>3491</v>
      </c>
      <c r="G120" s="3454" t="s">
        <v>3492</v>
      </c>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8" t="s">
        <v>3441</v>
      </c>
      <c r="D122" s="3448" t="s">
        <v>3442</v>
      </c>
      <c r="E122" s="3448" t="s">
        <v>3443</v>
      </c>
      <c r="F122" s="3449" t="s">
        <v>3444</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0" priority="21"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91" t="s">
        <v>2084</v>
      </c>
      <c r="D1" s="3792"/>
      <c r="E1" s="3792"/>
      <c r="F1" s="3792"/>
      <c r="G1" s="3792"/>
      <c r="H1" s="3792"/>
      <c r="I1" s="3792"/>
      <c r="J1" s="3792"/>
      <c r="K1" s="3792"/>
      <c r="L1" s="3792"/>
      <c r="M1" s="3792"/>
      <c r="N1" s="3792"/>
      <c r="O1" s="3792"/>
      <c r="P1" s="3792"/>
      <c r="Q1" s="3792"/>
      <c r="R1" s="3792"/>
      <c r="S1" s="379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2093</v>
      </c>
      <c r="B17" s="2146"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48"/>
      <c r="E20" s="1340"/>
      <c r="F20" s="982" t="e">
        <f ca="1">SUMIF(INDIRECT("'"&amp;H20&amp;"'"&amp;"!A:A"),"承租人权益价值",INDIRECT("'"&amp;H20&amp;"'"&amp;"!c:c"))</f>
        <v>#REF!</v>
      </c>
      <c r="G20" s="982" t="s">
        <v>2097</v>
      </c>
      <c r="H20" s="2149"/>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2587</v>
      </c>
      <c r="B1" s="3068" t="s">
        <v>2588</v>
      </c>
      <c r="C1" s="3068" t="s">
        <v>2589</v>
      </c>
      <c r="D1" s="3068" t="s">
        <v>2590</v>
      </c>
      <c r="E1" s="3068" t="s">
        <v>2591</v>
      </c>
      <c r="F1" s="3068" t="s">
        <v>2592</v>
      </c>
      <c r="G1" s="3068" t="s">
        <v>2593</v>
      </c>
      <c r="H1" s="3068" t="s">
        <v>2594</v>
      </c>
      <c r="I1" s="3068" t="s">
        <v>2595</v>
      </c>
      <c r="J1" s="3068" t="s">
        <v>2596</v>
      </c>
      <c r="K1" s="3068" t="s">
        <v>2597</v>
      </c>
      <c r="L1" s="3068" t="s">
        <v>2598</v>
      </c>
      <c r="M1" s="3069" t="s">
        <v>2599</v>
      </c>
    </row>
    <row r="2" spans="1:13" ht="19.5" customHeight="1">
      <c r="A2" s="3071" t="s">
        <v>2600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2616</v>
      </c>
      <c r="B18" s="3093"/>
      <c r="C18" s="3094"/>
      <c r="D18" s="3094"/>
      <c r="E18" s="3093"/>
      <c r="F18" s="3094"/>
      <c r="G18" s="3094"/>
    </row>
    <row r="19" spans="1:13" ht="19.5" customHeight="1" thickBot="1">
      <c r="A19" s="3091" t="s">
        <v>2617</v>
      </c>
      <c r="B19" s="3096" t="s">
        <v>2618</v>
      </c>
      <c r="C19" s="3096" t="s">
        <v>2619</v>
      </c>
      <c r="D19" s="3097"/>
      <c r="E19" s="3091" t="s">
        <v>2620</v>
      </c>
      <c r="F19" s="3098"/>
      <c r="G19" s="3098"/>
    </row>
    <row r="20" spans="1:13" ht="19.5" customHeight="1">
      <c r="A20" s="3803" t="s">
        <v>2600</v>
      </c>
      <c r="B20" s="3798" t="s">
        <v>2621</v>
      </c>
      <c r="C20" s="3099" t="s">
        <v>2432</v>
      </c>
      <c r="D20" s="3100"/>
      <c r="E20" s="3101">
        <v>1</v>
      </c>
      <c r="F20" s="3102" t="s">
        <v>2433</v>
      </c>
      <c r="G20" s="3102"/>
    </row>
    <row r="21" spans="1:13" ht="19.5" customHeight="1">
      <c r="A21" s="3804"/>
      <c r="B21" s="3797"/>
      <c r="C21" s="3103" t="s">
        <v>2434</v>
      </c>
      <c r="D21" s="3104"/>
      <c r="E21" s="3105">
        <v>1</v>
      </c>
      <c r="F21" s="3102" t="s">
        <v>2435</v>
      </c>
      <c r="G21" s="3102"/>
    </row>
    <row r="22" spans="1:13" ht="19.5" customHeight="1">
      <c r="A22" s="3804"/>
      <c r="B22" s="3797"/>
      <c r="C22" s="3103" t="s">
        <v>2436</v>
      </c>
      <c r="D22" s="3104"/>
      <c r="E22" s="3105">
        <v>0.9</v>
      </c>
      <c r="F22" s="3102" t="s">
        <v>2437</v>
      </c>
      <c r="G22" s="3102"/>
    </row>
    <row r="23" spans="1:13" ht="19.5" customHeight="1">
      <c r="A23" s="3804"/>
      <c r="B23" s="3797"/>
      <c r="C23" s="3103" t="s">
        <v>2438</v>
      </c>
      <c r="D23" s="3104"/>
      <c r="E23" s="3105">
        <v>0.9</v>
      </c>
      <c r="F23" s="3102" t="s">
        <v>2439</v>
      </c>
      <c r="G23" s="3102"/>
    </row>
    <row r="24" spans="1:13" ht="19.5" customHeight="1">
      <c r="A24" s="3804"/>
      <c r="B24" s="3797"/>
      <c r="C24" s="3103" t="s">
        <v>2440</v>
      </c>
      <c r="D24" s="3104"/>
      <c r="E24" s="3105">
        <v>0.8</v>
      </c>
      <c r="F24" s="3102" t="s">
        <v>2441</v>
      </c>
      <c r="G24" s="3102"/>
    </row>
    <row r="25" spans="1:13" ht="19.5" customHeight="1" thickBot="1">
      <c r="A25" s="3805"/>
      <c r="B25" s="3799"/>
      <c r="C25" s="3106" t="s">
        <v>2442</v>
      </c>
      <c r="D25" s="3107"/>
      <c r="E25" s="3108">
        <v>0.8</v>
      </c>
      <c r="F25" s="3102" t="s">
        <v>2443</v>
      </c>
      <c r="G25" s="3102"/>
    </row>
    <row r="26" spans="1:13" ht="19.5" customHeight="1" thickBot="1">
      <c r="A26" s="3109" t="s">
        <v>2622</v>
      </c>
      <c r="B26" s="3110" t="s">
        <v>2621</v>
      </c>
      <c r="C26" s="3111" t="s">
        <v>2623</v>
      </c>
      <c r="D26" s="3112"/>
      <c r="E26" s="3113">
        <v>1</v>
      </c>
      <c r="F26" s="3102" t="s">
        <v>2444</v>
      </c>
      <c r="G26" s="3102"/>
    </row>
    <row r="27" spans="1:13" ht="19.5" customHeight="1">
      <c r="A27" s="3800" t="s">
        <v>2624</v>
      </c>
      <c r="B27" s="3798" t="s">
        <v>2605</v>
      </c>
      <c r="C27" s="3099" t="s">
        <v>2445</v>
      </c>
      <c r="D27" s="3100"/>
      <c r="E27" s="3101">
        <v>1</v>
      </c>
      <c r="F27" s="3102" t="s">
        <v>2446</v>
      </c>
      <c r="G27" s="3102"/>
    </row>
    <row r="28" spans="1:13" ht="19.5" customHeight="1">
      <c r="A28" s="3801"/>
      <c r="B28" s="3797"/>
      <c r="C28" s="3103" t="s">
        <v>2447</v>
      </c>
      <c r="D28" s="3104"/>
      <c r="E28" s="3105">
        <v>1</v>
      </c>
      <c r="F28" s="3102" t="s">
        <v>2448</v>
      </c>
      <c r="G28" s="3102"/>
    </row>
    <row r="29" spans="1:13" ht="19.5" customHeight="1">
      <c r="A29" s="3801"/>
      <c r="B29" s="3797"/>
      <c r="C29" s="3103" t="s">
        <v>2449</v>
      </c>
      <c r="D29" s="3104"/>
      <c r="E29" s="3105">
        <v>0.8</v>
      </c>
      <c r="F29" s="3102" t="s">
        <v>2450</v>
      </c>
      <c r="G29" s="3102"/>
    </row>
    <row r="30" spans="1:13" ht="19.5" customHeight="1">
      <c r="A30" s="3801"/>
      <c r="B30" s="3797"/>
      <c r="C30" s="3103" t="s">
        <v>2451</v>
      </c>
      <c r="D30" s="3104"/>
      <c r="E30" s="3105">
        <v>0.8</v>
      </c>
      <c r="F30" s="3102" t="s">
        <v>2452</v>
      </c>
      <c r="G30" s="3102"/>
    </row>
    <row r="31" spans="1:13" ht="19.5" customHeight="1">
      <c r="A31" s="3801"/>
      <c r="B31" s="3797"/>
      <c r="C31" s="3103" t="s">
        <v>2453</v>
      </c>
      <c r="D31" s="3104"/>
      <c r="E31" s="3105">
        <v>0.8</v>
      </c>
      <c r="F31" s="3102" t="s">
        <v>2454</v>
      </c>
      <c r="G31" s="3102"/>
    </row>
    <row r="32" spans="1:13" ht="19.5" customHeight="1">
      <c r="A32" s="3801"/>
      <c r="B32" s="3797"/>
      <c r="C32" s="3103" t="s">
        <v>2455</v>
      </c>
      <c r="D32" s="3104"/>
      <c r="E32" s="3105">
        <v>0.7</v>
      </c>
      <c r="F32" s="3102" t="s">
        <v>2456</v>
      </c>
      <c r="G32" s="3102"/>
    </row>
    <row r="33" spans="1:7" ht="19.5" customHeight="1">
      <c r="A33" s="3801"/>
      <c r="B33" s="3797"/>
      <c r="C33" s="3103" t="s">
        <v>2457</v>
      </c>
      <c r="D33" s="3104"/>
      <c r="E33" s="3105">
        <v>0.8</v>
      </c>
      <c r="F33" s="3102" t="s">
        <v>2458</v>
      </c>
      <c r="G33" s="3102"/>
    </row>
    <row r="34" spans="1:7" ht="19.5" customHeight="1">
      <c r="A34" s="3801"/>
      <c r="B34" s="3797"/>
      <c r="C34" s="3103" t="s">
        <v>2459</v>
      </c>
      <c r="D34" s="3104"/>
      <c r="E34" s="3105">
        <v>0.6</v>
      </c>
      <c r="F34" s="3102" t="s">
        <v>2460</v>
      </c>
      <c r="G34" s="3102"/>
    </row>
    <row r="35" spans="1:7" ht="19.5" customHeight="1">
      <c r="A35" s="3801"/>
      <c r="B35" s="3797"/>
      <c r="C35" s="3103" t="s">
        <v>2461</v>
      </c>
      <c r="D35" s="3104"/>
      <c r="E35" s="3105">
        <v>0.2</v>
      </c>
      <c r="F35" s="3102" t="s">
        <v>2462</v>
      </c>
      <c r="G35" s="3102"/>
    </row>
    <row r="36" spans="1:7" ht="19.5" customHeight="1">
      <c r="A36" s="3801"/>
      <c r="B36" s="3797"/>
      <c r="C36" s="3103" t="s">
        <v>2463</v>
      </c>
      <c r="D36" s="3104"/>
      <c r="E36" s="3105">
        <v>0.2</v>
      </c>
      <c r="F36" s="3102" t="s">
        <v>2464</v>
      </c>
      <c r="G36" s="3102"/>
    </row>
    <row r="37" spans="1:7" ht="19.5" customHeight="1">
      <c r="A37" s="3801"/>
      <c r="B37" s="3795" t="s">
        <v>2625</v>
      </c>
      <c r="C37" s="3103" t="s">
        <v>2465</v>
      </c>
      <c r="D37" s="3104"/>
      <c r="E37" s="3105">
        <v>0.6</v>
      </c>
      <c r="F37" s="3102" t="s">
        <v>2466</v>
      </c>
      <c r="G37" s="3102"/>
    </row>
    <row r="38" spans="1:7" ht="19.5" customHeight="1">
      <c r="A38" s="3801"/>
      <c r="B38" s="3797"/>
      <c r="C38" s="3103" t="s">
        <v>2467</v>
      </c>
      <c r="D38" s="3104"/>
      <c r="E38" s="3105">
        <v>0.6</v>
      </c>
      <c r="F38" s="3102" t="s">
        <v>2468</v>
      </c>
      <c r="G38" s="3102"/>
    </row>
    <row r="39" spans="1:7" ht="19.5" customHeight="1" thickBot="1">
      <c r="A39" s="3802"/>
      <c r="B39" s="3799"/>
      <c r="C39" s="3106" t="s">
        <v>2469</v>
      </c>
      <c r="D39" s="3107"/>
      <c r="E39" s="3108">
        <v>0.6</v>
      </c>
      <c r="F39" s="3102" t="s">
        <v>2470</v>
      </c>
      <c r="G39" s="3102"/>
    </row>
    <row r="40" spans="1:7" ht="19.5" customHeight="1" thickBot="1">
      <c r="A40" s="3109" t="s">
        <v>2602</v>
      </c>
      <c r="B40" s="3110" t="s">
        <v>2602</v>
      </c>
      <c r="C40" s="3111" t="s">
        <v>2626</v>
      </c>
      <c r="D40" s="3112"/>
      <c r="E40" s="3113">
        <v>1</v>
      </c>
      <c r="F40" s="3102" t="s">
        <v>2471</v>
      </c>
      <c r="G40" s="3102"/>
    </row>
    <row r="41" spans="1:7" ht="19.5" customHeight="1">
      <c r="A41" s="3803" t="s">
        <v>2603</v>
      </c>
      <c r="B41" s="3798" t="s">
        <v>2627</v>
      </c>
      <c r="C41" s="3099" t="s">
        <v>2472</v>
      </c>
      <c r="D41" s="3100"/>
      <c r="E41" s="3101">
        <v>1</v>
      </c>
      <c r="F41" s="3102" t="s">
        <v>2473</v>
      </c>
      <c r="G41" s="3102"/>
    </row>
    <row r="42" spans="1:7" ht="19.5" customHeight="1">
      <c r="A42" s="3804"/>
      <c r="B42" s="3797"/>
      <c r="C42" s="3103" t="s">
        <v>2474</v>
      </c>
      <c r="D42" s="3104"/>
      <c r="E42" s="3105">
        <v>1</v>
      </c>
      <c r="F42" s="3102" t="s">
        <v>2475</v>
      </c>
      <c r="G42" s="3102"/>
    </row>
    <row r="43" spans="1:7" ht="19.5" customHeight="1">
      <c r="A43" s="3804"/>
      <c r="B43" s="3796"/>
      <c r="C43" s="3103" t="s">
        <v>2476</v>
      </c>
      <c r="D43" s="3104"/>
      <c r="E43" s="3105">
        <v>1.5</v>
      </c>
      <c r="F43" s="3102" t="s">
        <v>2477</v>
      </c>
      <c r="G43" s="3102"/>
    </row>
    <row r="44" spans="1:7" ht="19.5" customHeight="1">
      <c r="A44" s="3804"/>
      <c r="B44" s="3114" t="s">
        <v>2628</v>
      </c>
      <c r="C44" s="3103" t="s">
        <v>2629</v>
      </c>
      <c r="D44" s="3104"/>
      <c r="E44" s="3105">
        <v>2</v>
      </c>
      <c r="F44" s="3102" t="s">
        <v>2478</v>
      </c>
      <c r="G44" s="3102"/>
    </row>
    <row r="45" spans="1:7" ht="19.5" customHeight="1">
      <c r="A45" s="3804"/>
      <c r="B45" s="3795" t="s">
        <v>2630</v>
      </c>
      <c r="C45" s="3103" t="s">
        <v>2479</v>
      </c>
      <c r="D45" s="3104"/>
      <c r="E45" s="3105">
        <v>1</v>
      </c>
      <c r="F45" s="3102" t="s">
        <v>2480</v>
      </c>
      <c r="G45" s="3102"/>
    </row>
    <row r="46" spans="1:7" ht="19.5" customHeight="1">
      <c r="A46" s="3804"/>
      <c r="B46" s="3797"/>
      <c r="C46" s="3103" t="s">
        <v>2481</v>
      </c>
      <c r="D46" s="3104"/>
      <c r="E46" s="3105">
        <v>1</v>
      </c>
      <c r="F46" s="3102" t="s">
        <v>2482</v>
      </c>
      <c r="G46" s="3102"/>
    </row>
    <row r="47" spans="1:7" ht="19.5" customHeight="1">
      <c r="A47" s="3804"/>
      <c r="B47" s="3797"/>
      <c r="C47" s="3103" t="s">
        <v>2483</v>
      </c>
      <c r="D47" s="3104"/>
      <c r="E47" s="3105">
        <v>1</v>
      </c>
      <c r="F47" s="3102" t="s">
        <v>2484</v>
      </c>
      <c r="G47" s="3102"/>
    </row>
    <row r="48" spans="1:7" ht="19.5" customHeight="1">
      <c r="A48" s="3804"/>
      <c r="B48" s="3797"/>
      <c r="C48" s="3103" t="s">
        <v>2485</v>
      </c>
      <c r="D48" s="3104"/>
      <c r="E48" s="3105">
        <v>1</v>
      </c>
      <c r="F48" s="3102" t="s">
        <v>2486</v>
      </c>
      <c r="G48" s="3102"/>
    </row>
    <row r="49" spans="1:7" ht="19.5" customHeight="1">
      <c r="A49" s="3804"/>
      <c r="B49" s="3797"/>
      <c r="C49" s="3103" t="s">
        <v>2487</v>
      </c>
      <c r="D49" s="3104"/>
      <c r="E49" s="3105">
        <v>1</v>
      </c>
      <c r="F49" s="3102" t="s">
        <v>2488</v>
      </c>
      <c r="G49" s="3102"/>
    </row>
    <row r="50" spans="1:7" ht="19.5" customHeight="1">
      <c r="A50" s="3804"/>
      <c r="B50" s="3797"/>
      <c r="C50" s="3103" t="s">
        <v>2489</v>
      </c>
      <c r="D50" s="3104"/>
      <c r="E50" s="3105">
        <v>1</v>
      </c>
      <c r="F50" s="3102" t="s">
        <v>2490</v>
      </c>
      <c r="G50" s="3102"/>
    </row>
    <row r="51" spans="1:7" ht="19.5" customHeight="1" thickBot="1">
      <c r="A51" s="3805"/>
      <c r="B51" s="3799"/>
      <c r="C51" s="3106" t="s">
        <v>2491</v>
      </c>
      <c r="D51" s="3107"/>
      <c r="E51" s="3108">
        <v>1</v>
      </c>
      <c r="F51" s="3102" t="s">
        <v>2492</v>
      </c>
      <c r="G51" s="3102"/>
    </row>
    <row r="52" spans="1:7" ht="19.5" customHeight="1">
      <c r="A52" s="3115"/>
      <c r="B52" s="3115"/>
      <c r="C52" s="3115"/>
      <c r="D52" s="3115"/>
      <c r="E52" s="3115"/>
      <c r="F52" s="3115"/>
      <c r="G52" s="3115"/>
    </row>
    <row r="54" spans="1:7" ht="19.5" customHeight="1">
      <c r="A54" s="3116"/>
      <c r="B54" s="3088" t="s">
        <v>2631</v>
      </c>
      <c r="C54" s="3088" t="s">
        <v>2631</v>
      </c>
      <c r="D54" s="3088" t="s">
        <v>2631</v>
      </c>
      <c r="E54" s="3091" t="s">
        <v>2631</v>
      </c>
      <c r="F54" s="3091" t="s">
        <v>2632</v>
      </c>
      <c r="G54" s="3091" t="s">
        <v>2633</v>
      </c>
    </row>
    <row r="55" spans="1:7" ht="19.5" customHeight="1">
      <c r="A55" s="3117"/>
      <c r="B55" s="3091" t="s">
        <v>2600</v>
      </c>
      <c r="C55" s="3091" t="s">
        <v>2600</v>
      </c>
      <c r="D55" s="3091" t="s">
        <v>2600</v>
      </c>
      <c r="E55" s="3088" t="s">
        <v>2601</v>
      </c>
      <c r="F55" s="3088" t="s">
        <v>2603</v>
      </c>
      <c r="G55" s="3088" t="s">
        <v>2634</v>
      </c>
    </row>
    <row r="56" spans="1:7" ht="19.5" customHeight="1">
      <c r="A56" s="3118"/>
      <c r="B56" s="3088">
        <v>1</v>
      </c>
      <c r="C56" s="3088">
        <v>2</v>
      </c>
      <c r="D56" s="3088">
        <v>3</v>
      </c>
      <c r="E56" s="3119" t="s">
        <v>2635</v>
      </c>
      <c r="F56" s="3119" t="s">
        <v>2635</v>
      </c>
      <c r="G56" s="3119" t="s">
        <v>2635</v>
      </c>
    </row>
    <row r="57" spans="1:7" ht="19.5" customHeight="1">
      <c r="A57" s="3120" t="s">
        <v>2588</v>
      </c>
      <c r="B57" s="3088">
        <v>0.7</v>
      </c>
      <c r="C57" s="3088">
        <v>0.4</v>
      </c>
      <c r="D57" s="3088">
        <v>0.3</v>
      </c>
      <c r="E57" s="3119">
        <v>0.3</v>
      </c>
      <c r="F57" s="3088">
        <v>0.3</v>
      </c>
      <c r="G57" s="3088">
        <v>0.2</v>
      </c>
    </row>
    <row r="58" spans="1:7" ht="19.5" customHeight="1">
      <c r="A58" s="3120" t="s">
        <v>2589</v>
      </c>
      <c r="B58" s="3088">
        <v>0.7</v>
      </c>
      <c r="C58" s="3088">
        <v>0.4</v>
      </c>
      <c r="D58" s="3088">
        <v>0.3</v>
      </c>
      <c r="E58" s="3088">
        <v>0.3</v>
      </c>
      <c r="F58" s="3088">
        <v>0.3</v>
      </c>
      <c r="G58" s="3088">
        <v>0.2</v>
      </c>
    </row>
    <row r="59" spans="1:7" ht="19.5" customHeight="1">
      <c r="A59" s="3120" t="s">
        <v>2590</v>
      </c>
      <c r="B59" s="3088">
        <v>0.6</v>
      </c>
      <c r="C59" s="3088">
        <v>0.3</v>
      </c>
      <c r="D59" s="3088">
        <v>0.25</v>
      </c>
      <c r="E59" s="3088">
        <v>0.25</v>
      </c>
      <c r="F59" s="3088">
        <v>0.25</v>
      </c>
      <c r="G59" s="3088">
        <v>0.15</v>
      </c>
    </row>
    <row r="60" spans="1:7" ht="19.5" customHeight="1">
      <c r="A60" s="3120" t="s">
        <v>2591</v>
      </c>
      <c r="B60" s="3088">
        <v>0.6</v>
      </c>
      <c r="C60" s="3088">
        <v>0.3</v>
      </c>
      <c r="D60" s="3088">
        <v>0.25</v>
      </c>
      <c r="E60" s="3088">
        <v>0.25</v>
      </c>
      <c r="F60" s="3088">
        <v>0.25</v>
      </c>
      <c r="G60" s="3088">
        <v>0.15</v>
      </c>
    </row>
    <row r="61" spans="1:7" ht="19.5" customHeight="1">
      <c r="A61" s="3120" t="s">
        <v>2592</v>
      </c>
      <c r="B61" s="3088">
        <v>0.6</v>
      </c>
      <c r="C61" s="3088">
        <v>0.3</v>
      </c>
      <c r="D61" s="3088">
        <v>0.25</v>
      </c>
      <c r="E61" s="3088">
        <v>0.25</v>
      </c>
      <c r="F61" s="3088">
        <v>0.25</v>
      </c>
      <c r="G61" s="3088">
        <v>0.15</v>
      </c>
    </row>
    <row r="62" spans="1:7" ht="19.5" customHeight="1">
      <c r="A62" s="3120" t="s">
        <v>2593</v>
      </c>
      <c r="B62" s="3088">
        <v>0.6</v>
      </c>
      <c r="C62" s="3088">
        <v>0.3</v>
      </c>
      <c r="D62" s="3088">
        <v>0.25</v>
      </c>
      <c r="E62" s="3088">
        <v>0.25</v>
      </c>
      <c r="F62" s="3088">
        <v>0.25</v>
      </c>
      <c r="G62" s="3088">
        <v>0.15</v>
      </c>
    </row>
    <row r="63" spans="1:7" ht="19.5" customHeight="1">
      <c r="A63" s="3120" t="s">
        <v>2594</v>
      </c>
      <c r="B63" s="3088">
        <v>0.6</v>
      </c>
      <c r="C63" s="3088">
        <v>0.3</v>
      </c>
      <c r="D63" s="3088">
        <v>0.25</v>
      </c>
      <c r="E63" s="3088">
        <v>0.25</v>
      </c>
      <c r="F63" s="3088">
        <v>0.25</v>
      </c>
      <c r="G63" s="3088">
        <v>0.15</v>
      </c>
    </row>
    <row r="64" spans="1:7" ht="19.5" customHeight="1">
      <c r="A64" s="3120" t="s">
        <v>2595</v>
      </c>
      <c r="B64" s="3088">
        <v>0.5</v>
      </c>
      <c r="C64" s="3088">
        <v>0.2</v>
      </c>
      <c r="D64" s="3088">
        <v>0.2</v>
      </c>
      <c r="E64" s="3088">
        <v>0.2</v>
      </c>
      <c r="F64" s="3088">
        <v>0.2</v>
      </c>
      <c r="G64" s="3088">
        <v>0.1</v>
      </c>
    </row>
    <row r="65" spans="1:7" ht="19.5" customHeight="1">
      <c r="A65" s="3120" t="s">
        <v>2596</v>
      </c>
      <c r="B65" s="3088">
        <v>0.5</v>
      </c>
      <c r="C65" s="3088">
        <v>0.2</v>
      </c>
      <c r="D65" s="3088">
        <v>0.2</v>
      </c>
      <c r="E65" s="3088">
        <v>0.2</v>
      </c>
      <c r="F65" s="3088">
        <v>0.2</v>
      </c>
      <c r="G65" s="3088">
        <v>0.1</v>
      </c>
    </row>
    <row r="66" spans="1:7" ht="19.5" customHeight="1">
      <c r="A66" s="3120" t="s">
        <v>2597</v>
      </c>
      <c r="B66" s="3088">
        <v>0.5</v>
      </c>
      <c r="C66" s="3088">
        <v>0.2</v>
      </c>
      <c r="D66" s="3088">
        <v>0.2</v>
      </c>
      <c r="E66" s="3088">
        <v>0.2</v>
      </c>
      <c r="F66" s="3088">
        <v>0.2</v>
      </c>
      <c r="G66" s="3088">
        <v>0.1</v>
      </c>
    </row>
    <row r="67" spans="1:7" ht="19.5" customHeight="1">
      <c r="A67" s="3120" t="s">
        <v>2598</v>
      </c>
      <c r="B67" s="3088">
        <v>0.5</v>
      </c>
      <c r="C67" s="3088">
        <v>0.2</v>
      </c>
      <c r="D67" s="3088">
        <v>0.2</v>
      </c>
      <c r="E67" s="3088">
        <v>0.2</v>
      </c>
      <c r="F67" s="3088">
        <v>0.2</v>
      </c>
      <c r="G67" s="3088">
        <v>0.1</v>
      </c>
    </row>
    <row r="68" spans="1:7" ht="19.5" customHeight="1">
      <c r="A68" s="3120" t="s">
        <v>2599</v>
      </c>
      <c r="B68" s="3088">
        <v>0.5</v>
      </c>
      <c r="C68" s="3088">
        <v>0.2</v>
      </c>
      <c r="D68" s="3088">
        <v>0.2</v>
      </c>
      <c r="E68" s="3088">
        <v>0.2</v>
      </c>
      <c r="F68" s="3088">
        <v>0.2</v>
      </c>
      <c r="G68" s="3088">
        <v>0.1</v>
      </c>
    </row>
    <row r="70" spans="1:7" ht="19.5" customHeight="1">
      <c r="A70" s="3121"/>
      <c r="B70" s="3122"/>
      <c r="C70" s="3122"/>
      <c r="D70" s="3122" t="s">
        <v>2636</v>
      </c>
      <c r="E70" s="3122"/>
      <c r="F70" s="3122"/>
    </row>
    <row r="71" spans="1:7" ht="19.5" customHeight="1">
      <c r="A71" s="3114" t="s">
        <v>2637</v>
      </c>
      <c r="B71" s="3114" t="s">
        <v>2638</v>
      </c>
      <c r="C71" s="3114" t="s">
        <v>2639</v>
      </c>
      <c r="D71" s="3114" t="s">
        <v>2640</v>
      </c>
      <c r="E71" s="3114" t="s">
        <v>2641</v>
      </c>
      <c r="F71" s="3114" t="s">
        <v>2642</v>
      </c>
    </row>
    <row r="72" spans="1:7" ht="13.5">
      <c r="A72" s="3114"/>
      <c r="B72" s="3114"/>
      <c r="C72" s="3114" t="s">
        <v>2643</v>
      </c>
      <c r="D72" s="3114"/>
      <c r="E72" s="3114" t="s">
        <v>2614</v>
      </c>
      <c r="F72" s="3114" t="s">
        <v>2614</v>
      </c>
    </row>
    <row r="73" spans="1:7" ht="13.5">
      <c r="A73" s="3114">
        <v>1</v>
      </c>
      <c r="B73" s="3795" t="s">
        <v>2644</v>
      </c>
      <c r="C73" s="3088" t="s">
        <v>2645</v>
      </c>
      <c r="D73" s="3088" t="s">
        <v>2646</v>
      </c>
      <c r="E73" s="3114">
        <v>0.2</v>
      </c>
      <c r="F73" s="3114">
        <v>25</v>
      </c>
    </row>
    <row r="74" spans="1:7" ht="24">
      <c r="A74" s="3114">
        <v>2</v>
      </c>
      <c r="B74" s="3797"/>
      <c r="C74" s="3088" t="s">
        <v>2647</v>
      </c>
      <c r="D74" s="3088" t="s">
        <v>2648</v>
      </c>
      <c r="E74" s="3114">
        <v>0.2</v>
      </c>
      <c r="F74" s="3114">
        <v>25</v>
      </c>
    </row>
    <row r="75" spans="1:7" ht="24">
      <c r="A75" s="3114">
        <v>3</v>
      </c>
      <c r="B75" s="3797"/>
      <c r="C75" s="3088" t="s">
        <v>2649</v>
      </c>
      <c r="D75" s="3088" t="s">
        <v>2650</v>
      </c>
      <c r="E75" s="3114">
        <v>0.2</v>
      </c>
      <c r="F75" s="3114">
        <v>25</v>
      </c>
    </row>
    <row r="76" spans="1:7" ht="13.5">
      <c r="A76" s="3114">
        <v>4</v>
      </c>
      <c r="B76" s="3797"/>
      <c r="C76" s="3088" t="s">
        <v>2651</v>
      </c>
      <c r="D76" s="3088" t="s">
        <v>2652</v>
      </c>
      <c r="E76" s="3114">
        <v>0.15</v>
      </c>
      <c r="F76" s="3114">
        <v>20</v>
      </c>
    </row>
    <row r="77" spans="1:7" ht="24">
      <c r="A77" s="3114">
        <v>5</v>
      </c>
      <c r="B77" s="3797"/>
      <c r="C77" s="3088" t="s">
        <v>2653</v>
      </c>
      <c r="D77" s="3088" t="s">
        <v>2654</v>
      </c>
      <c r="E77" s="3114">
        <v>0.15</v>
      </c>
      <c r="F77" s="3114">
        <v>20</v>
      </c>
    </row>
    <row r="78" spans="1:7" ht="24">
      <c r="A78" s="3114">
        <v>6</v>
      </c>
      <c r="B78" s="3797"/>
      <c r="C78" s="3088" t="s">
        <v>2655</v>
      </c>
      <c r="D78" s="3088" t="s">
        <v>2656</v>
      </c>
      <c r="E78" s="3114">
        <v>0.15</v>
      </c>
      <c r="F78" s="3114">
        <v>20</v>
      </c>
    </row>
    <row r="79" spans="1:7" ht="24">
      <c r="A79" s="3114">
        <v>7</v>
      </c>
      <c r="B79" s="3797"/>
      <c r="C79" s="3088" t="s">
        <v>2657</v>
      </c>
      <c r="D79" s="3088" t="s">
        <v>2658</v>
      </c>
      <c r="E79" s="3114">
        <v>0.15</v>
      </c>
      <c r="F79" s="3114">
        <v>20</v>
      </c>
    </row>
    <row r="80" spans="1:7" ht="24">
      <c r="A80" s="3114">
        <v>8</v>
      </c>
      <c r="B80" s="3797"/>
      <c r="C80" s="3088" t="s">
        <v>2659</v>
      </c>
      <c r="D80" s="3088" t="s">
        <v>2660</v>
      </c>
      <c r="E80" s="3114">
        <v>0.1</v>
      </c>
      <c r="F80" s="3114">
        <v>15</v>
      </c>
    </row>
    <row r="81" spans="1:6" ht="24">
      <c r="A81" s="3114">
        <v>9</v>
      </c>
      <c r="B81" s="3797"/>
      <c r="C81" s="3088" t="s">
        <v>2661</v>
      </c>
      <c r="D81" s="3088" t="s">
        <v>2662</v>
      </c>
      <c r="E81" s="3114">
        <v>0.1</v>
      </c>
      <c r="F81" s="3114">
        <v>15</v>
      </c>
    </row>
    <row r="82" spans="1:6" ht="24">
      <c r="A82" s="3114">
        <v>10</v>
      </c>
      <c r="B82" s="3797"/>
      <c r="C82" s="3088" t="s">
        <v>2663</v>
      </c>
      <c r="D82" s="3088" t="s">
        <v>2664</v>
      </c>
      <c r="E82" s="3114">
        <v>0.1</v>
      </c>
      <c r="F82" s="3114">
        <v>15</v>
      </c>
    </row>
    <row r="83" spans="1:6" ht="24">
      <c r="A83" s="3114">
        <v>11</v>
      </c>
      <c r="B83" s="3797"/>
      <c r="C83" s="3088" t="s">
        <v>2665</v>
      </c>
      <c r="D83" s="3088" t="s">
        <v>2666</v>
      </c>
      <c r="E83" s="3114">
        <v>0.1</v>
      </c>
      <c r="F83" s="3114">
        <v>15</v>
      </c>
    </row>
    <row r="84" spans="1:6" ht="24">
      <c r="A84" s="3114">
        <v>12</v>
      </c>
      <c r="B84" s="3797"/>
      <c r="C84" s="3088" t="s">
        <v>2667</v>
      </c>
      <c r="D84" s="3088" t="s">
        <v>2668</v>
      </c>
      <c r="E84" s="3114">
        <v>0.1</v>
      </c>
      <c r="F84" s="3114">
        <v>15</v>
      </c>
    </row>
    <row r="85" spans="1:6" ht="13.5">
      <c r="A85" s="3114">
        <v>13</v>
      </c>
      <c r="B85" s="3797"/>
      <c r="C85" s="3088" t="s">
        <v>2669</v>
      </c>
      <c r="D85" s="3088" t="s">
        <v>2670</v>
      </c>
      <c r="E85" s="3114">
        <v>0.1</v>
      </c>
      <c r="F85" s="3114">
        <v>15</v>
      </c>
    </row>
    <row r="86" spans="1:6" ht="13.5">
      <c r="A86" s="3114">
        <v>14</v>
      </c>
      <c r="B86" s="3797"/>
      <c r="C86" s="3088" t="s">
        <v>2671</v>
      </c>
      <c r="D86" s="3088" t="s">
        <v>2672</v>
      </c>
      <c r="E86" s="3114">
        <v>0.1</v>
      </c>
      <c r="F86" s="3114">
        <v>15</v>
      </c>
    </row>
    <row r="87" spans="1:6" ht="13.5">
      <c r="A87" s="3114">
        <v>15</v>
      </c>
      <c r="B87" s="3797"/>
      <c r="C87" s="3088" t="s">
        <v>2673</v>
      </c>
      <c r="D87" s="3088" t="s">
        <v>2674</v>
      </c>
      <c r="E87" s="3114">
        <v>0.1</v>
      </c>
      <c r="F87" s="3114">
        <v>15</v>
      </c>
    </row>
    <row r="88" spans="1:6" ht="24">
      <c r="A88" s="3114">
        <v>16</v>
      </c>
      <c r="B88" s="3797"/>
      <c r="C88" s="3088" t="s">
        <v>2675</v>
      </c>
      <c r="D88" s="3088" t="s">
        <v>2676</v>
      </c>
      <c r="E88" s="3114">
        <v>0.1</v>
      </c>
      <c r="F88" s="3114">
        <v>15</v>
      </c>
    </row>
    <row r="89" spans="1:6" ht="24">
      <c r="A89" s="3114">
        <v>17</v>
      </c>
      <c r="B89" s="3796"/>
      <c r="C89" s="3088" t="s">
        <v>2677</v>
      </c>
      <c r="D89" s="3088" t="s">
        <v>2678</v>
      </c>
      <c r="E89" s="3114">
        <v>0.1</v>
      </c>
      <c r="F89" s="3114">
        <v>15</v>
      </c>
    </row>
    <row r="90" spans="1:6" ht="13.5">
      <c r="A90" s="3114">
        <v>18</v>
      </c>
      <c r="B90" s="3795" t="s">
        <v>2679</v>
      </c>
      <c r="C90" s="3088" t="s">
        <v>2680</v>
      </c>
      <c r="D90" s="3088" t="s">
        <v>2681</v>
      </c>
      <c r="E90" s="3114">
        <v>0.2</v>
      </c>
      <c r="F90" s="3114">
        <v>25</v>
      </c>
    </row>
    <row r="91" spans="1:6" ht="24">
      <c r="A91" s="3114">
        <v>19</v>
      </c>
      <c r="B91" s="3797"/>
      <c r="C91" s="3088" t="s">
        <v>2682</v>
      </c>
      <c r="D91" s="3088" t="s">
        <v>2683</v>
      </c>
      <c r="E91" s="3114">
        <v>0.2</v>
      </c>
      <c r="F91" s="3114">
        <v>25</v>
      </c>
    </row>
    <row r="92" spans="1:6" ht="13.5">
      <c r="A92" s="3114">
        <v>20</v>
      </c>
      <c r="B92" s="3797"/>
      <c r="C92" s="3088" t="s">
        <v>2684</v>
      </c>
      <c r="D92" s="3088" t="s">
        <v>2685</v>
      </c>
      <c r="E92" s="3114">
        <v>0.15</v>
      </c>
      <c r="F92" s="3114">
        <v>20</v>
      </c>
    </row>
    <row r="93" spans="1:6" ht="13.5">
      <c r="A93" s="3114">
        <v>21</v>
      </c>
      <c r="B93" s="3797"/>
      <c r="C93" s="3088" t="s">
        <v>2686</v>
      </c>
      <c r="D93" s="3088" t="s">
        <v>2687</v>
      </c>
      <c r="E93" s="3114">
        <v>0.15</v>
      </c>
      <c r="F93" s="3114">
        <v>20</v>
      </c>
    </row>
    <row r="94" spans="1:6" ht="13.5">
      <c r="A94" s="3114">
        <v>22</v>
      </c>
      <c r="B94" s="3797"/>
      <c r="C94" s="3088" t="s">
        <v>2688</v>
      </c>
      <c r="D94" s="3088" t="s">
        <v>2689</v>
      </c>
      <c r="E94" s="3114">
        <v>0.15</v>
      </c>
      <c r="F94" s="3114">
        <v>20</v>
      </c>
    </row>
    <row r="95" spans="1:6" ht="36">
      <c r="A95" s="3114">
        <v>23</v>
      </c>
      <c r="B95" s="3797"/>
      <c r="C95" s="3088" t="s">
        <v>2690</v>
      </c>
      <c r="D95" s="3088" t="s">
        <v>2691</v>
      </c>
      <c r="E95" s="3114">
        <v>0.15</v>
      </c>
      <c r="F95" s="3114">
        <v>20</v>
      </c>
    </row>
    <row r="96" spans="1:6" ht="13.5">
      <c r="A96" s="3114">
        <v>24</v>
      </c>
      <c r="B96" s="3797"/>
      <c r="C96" s="3088" t="s">
        <v>2692</v>
      </c>
      <c r="D96" s="3088" t="s">
        <v>2693</v>
      </c>
      <c r="E96" s="3114">
        <v>0.1</v>
      </c>
      <c r="F96" s="3114">
        <v>15</v>
      </c>
    </row>
    <row r="97" spans="1:6" ht="13.5">
      <c r="A97" s="3114">
        <v>25</v>
      </c>
      <c r="B97" s="3797"/>
      <c r="C97" s="3088" t="s">
        <v>2694</v>
      </c>
      <c r="D97" s="3088" t="s">
        <v>2695</v>
      </c>
      <c r="E97" s="3114">
        <v>0.1</v>
      </c>
      <c r="F97" s="3114">
        <v>15</v>
      </c>
    </row>
    <row r="98" spans="1:6" ht="24">
      <c r="A98" s="3114">
        <v>26</v>
      </c>
      <c r="B98" s="3797"/>
      <c r="C98" s="3088" t="s">
        <v>2696</v>
      </c>
      <c r="D98" s="3088" t="s">
        <v>2697</v>
      </c>
      <c r="E98" s="3114">
        <v>0.1</v>
      </c>
      <c r="F98" s="3114">
        <v>15</v>
      </c>
    </row>
    <row r="99" spans="1:6" ht="24">
      <c r="A99" s="3114">
        <v>27</v>
      </c>
      <c r="B99" s="3797"/>
      <c r="C99" s="3088" t="s">
        <v>2698</v>
      </c>
      <c r="D99" s="3088" t="s">
        <v>2699</v>
      </c>
      <c r="E99" s="3114">
        <v>0.1</v>
      </c>
      <c r="F99" s="3114">
        <v>15</v>
      </c>
    </row>
    <row r="100" spans="1:6" ht="13.5">
      <c r="A100" s="3114">
        <v>28</v>
      </c>
      <c r="B100" s="3797"/>
      <c r="C100" s="3088" t="s">
        <v>2700</v>
      </c>
      <c r="D100" s="3088" t="s">
        <v>2701</v>
      </c>
      <c r="E100" s="3114">
        <v>0.1</v>
      </c>
      <c r="F100" s="3114">
        <v>15</v>
      </c>
    </row>
    <row r="101" spans="1:6" ht="13.5">
      <c r="A101" s="3114">
        <v>29</v>
      </c>
      <c r="B101" s="3797"/>
      <c r="C101" s="3088" t="s">
        <v>2702</v>
      </c>
      <c r="D101" s="3088" t="s">
        <v>2703</v>
      </c>
      <c r="E101" s="3114">
        <v>0.1</v>
      </c>
      <c r="F101" s="3114">
        <v>15</v>
      </c>
    </row>
    <row r="102" spans="1:6" ht="13.5">
      <c r="A102" s="3114">
        <v>30</v>
      </c>
      <c r="B102" s="3797"/>
      <c r="C102" s="3088" t="s">
        <v>2704</v>
      </c>
      <c r="D102" s="3088" t="s">
        <v>2705</v>
      </c>
      <c r="E102" s="3114">
        <v>0.1</v>
      </c>
      <c r="F102" s="3114">
        <v>15</v>
      </c>
    </row>
    <row r="103" spans="1:6" ht="24">
      <c r="A103" s="3114">
        <v>31</v>
      </c>
      <c r="B103" s="3797"/>
      <c r="C103" s="3088" t="s">
        <v>2706</v>
      </c>
      <c r="D103" s="3088" t="s">
        <v>2707</v>
      </c>
      <c r="E103" s="3114">
        <v>0.1</v>
      </c>
      <c r="F103" s="3114">
        <v>15</v>
      </c>
    </row>
    <row r="104" spans="1:6" ht="24">
      <c r="A104" s="3114">
        <v>32</v>
      </c>
      <c r="B104" s="3797"/>
      <c r="C104" s="3088" t="s">
        <v>2708</v>
      </c>
      <c r="D104" s="3088" t="s">
        <v>2709</v>
      </c>
      <c r="E104" s="3114">
        <v>0.1</v>
      </c>
      <c r="F104" s="3114">
        <v>15</v>
      </c>
    </row>
    <row r="105" spans="1:6" ht="24">
      <c r="A105" s="3114">
        <v>33</v>
      </c>
      <c r="B105" s="3797"/>
      <c r="C105" s="3088" t="s">
        <v>2710</v>
      </c>
      <c r="D105" s="3088" t="s">
        <v>2711</v>
      </c>
      <c r="E105" s="3114">
        <v>0.1</v>
      </c>
      <c r="F105" s="3114">
        <v>15</v>
      </c>
    </row>
    <row r="106" spans="1:6" ht="24">
      <c r="A106" s="3114">
        <v>34</v>
      </c>
      <c r="B106" s="3796"/>
      <c r="C106" s="3088" t="s">
        <v>2712</v>
      </c>
      <c r="D106" s="3088" t="s">
        <v>2713</v>
      </c>
      <c r="E106" s="3114">
        <v>0.1</v>
      </c>
      <c r="F106" s="3114">
        <v>15</v>
      </c>
    </row>
    <row r="107" spans="1:6" ht="24">
      <c r="A107" s="3114">
        <v>35</v>
      </c>
      <c r="B107" s="3795" t="s">
        <v>2714</v>
      </c>
      <c r="C107" s="3114" t="s">
        <v>2715</v>
      </c>
      <c r="D107" s="3088" t="s">
        <v>2716</v>
      </c>
      <c r="E107" s="3114">
        <v>0.15</v>
      </c>
      <c r="F107" s="3114">
        <v>20</v>
      </c>
    </row>
    <row r="108" spans="1:6" ht="13.5">
      <c r="A108" s="3114">
        <v>36</v>
      </c>
      <c r="B108" s="3797"/>
      <c r="C108" s="3114" t="s">
        <v>2717</v>
      </c>
      <c r="D108" s="3088" t="s">
        <v>2718</v>
      </c>
      <c r="E108" s="3114">
        <v>0.15</v>
      </c>
      <c r="F108" s="3114">
        <v>20</v>
      </c>
    </row>
    <row r="109" spans="1:6" ht="13.5">
      <c r="A109" s="3114">
        <v>37</v>
      </c>
      <c r="B109" s="3797"/>
      <c r="C109" s="3114" t="s">
        <v>2719</v>
      </c>
      <c r="D109" s="3088" t="s">
        <v>2720</v>
      </c>
      <c r="E109" s="3114">
        <v>0.15</v>
      </c>
      <c r="F109" s="3114">
        <v>20</v>
      </c>
    </row>
    <row r="110" spans="1:6" ht="13.5">
      <c r="A110" s="3114">
        <v>38</v>
      </c>
      <c r="B110" s="3797"/>
      <c r="C110" s="3114" t="s">
        <v>2721</v>
      </c>
      <c r="D110" s="3088" t="s">
        <v>2722</v>
      </c>
      <c r="E110" s="3114">
        <v>0.1</v>
      </c>
      <c r="F110" s="3114">
        <v>15</v>
      </c>
    </row>
    <row r="111" spans="1:6" ht="24">
      <c r="A111" s="3114">
        <v>39</v>
      </c>
      <c r="B111" s="3797"/>
      <c r="C111" s="3114" t="s">
        <v>2723</v>
      </c>
      <c r="D111" s="3088" t="s">
        <v>2724</v>
      </c>
      <c r="E111" s="3114">
        <v>0.1</v>
      </c>
      <c r="F111" s="3114">
        <v>15</v>
      </c>
    </row>
    <row r="112" spans="1:6" ht="24">
      <c r="A112" s="3114">
        <v>40</v>
      </c>
      <c r="B112" s="3796"/>
      <c r="C112" s="3114" t="s">
        <v>2725</v>
      </c>
      <c r="D112" s="3088" t="s">
        <v>2726</v>
      </c>
      <c r="E112" s="3114">
        <v>0.1</v>
      </c>
      <c r="F112" s="3114">
        <v>15</v>
      </c>
    </row>
    <row r="113" spans="1:6" ht="13.5">
      <c r="A113" s="3114">
        <v>41</v>
      </c>
      <c r="B113" s="3794" t="s">
        <v>2727</v>
      </c>
      <c r="C113" s="3114" t="s">
        <v>2728</v>
      </c>
      <c r="D113" s="3088" t="s">
        <v>2729</v>
      </c>
      <c r="E113" s="3114">
        <v>0.1</v>
      </c>
      <c r="F113" s="3114">
        <v>15</v>
      </c>
    </row>
    <row r="114" spans="1:6" ht="13.5">
      <c r="A114" s="3114">
        <v>42</v>
      </c>
      <c r="B114" s="3794"/>
      <c r="C114" s="3114" t="s">
        <v>2730</v>
      </c>
      <c r="D114" s="3088" t="s">
        <v>2731</v>
      </c>
      <c r="E114" s="3114">
        <v>0.1</v>
      </c>
      <c r="F114" s="3114">
        <v>15</v>
      </c>
    </row>
    <row r="115" spans="1:6" ht="24">
      <c r="A115" s="3114">
        <v>43</v>
      </c>
      <c r="B115" s="3794"/>
      <c r="C115" s="3114" t="s">
        <v>2732</v>
      </c>
      <c r="D115" s="3088" t="s">
        <v>2733</v>
      </c>
      <c r="E115" s="3114">
        <v>0.1</v>
      </c>
      <c r="F115" s="3114">
        <v>15</v>
      </c>
    </row>
    <row r="116" spans="1:6" ht="13.5">
      <c r="A116" s="3114">
        <v>44</v>
      </c>
      <c r="B116" s="3795" t="s">
        <v>2734</v>
      </c>
      <c r="C116" s="3114" t="s">
        <v>2735</v>
      </c>
      <c r="D116" s="3088" t="s">
        <v>2736</v>
      </c>
      <c r="E116" s="3114">
        <v>0.1</v>
      </c>
      <c r="F116" s="3114">
        <v>15</v>
      </c>
    </row>
    <row r="117" spans="1:6" ht="24">
      <c r="A117" s="3114">
        <v>45</v>
      </c>
      <c r="B117" s="3796"/>
      <c r="C117" s="3088" t="s">
        <v>2737</v>
      </c>
      <c r="D117" s="3088" t="s">
        <v>2738</v>
      </c>
      <c r="E117" s="3114">
        <v>0.1</v>
      </c>
      <c r="F117" s="3114">
        <v>15</v>
      </c>
    </row>
    <row r="118" spans="1:6" ht="24">
      <c r="A118" s="3114">
        <v>46</v>
      </c>
      <c r="B118" s="3795" t="s">
        <v>2739</v>
      </c>
      <c r="C118" s="3114" t="s">
        <v>2740</v>
      </c>
      <c r="D118" s="3088" t="s">
        <v>2741</v>
      </c>
      <c r="E118" s="3114">
        <v>0.1</v>
      </c>
      <c r="F118" s="3114">
        <v>15</v>
      </c>
    </row>
    <row r="119" spans="1:6" ht="24">
      <c r="A119" s="3114">
        <v>47</v>
      </c>
      <c r="B119" s="3796"/>
      <c r="C119" s="3114" t="s">
        <v>2742</v>
      </c>
      <c r="D119" s="3088" t="s">
        <v>2743</v>
      </c>
      <c r="E119" s="3114">
        <v>0.1</v>
      </c>
      <c r="F119" s="3114">
        <v>15</v>
      </c>
    </row>
    <row r="120" spans="1:6" ht="13.5">
      <c r="A120" s="3114">
        <v>48</v>
      </c>
      <c r="B120" s="3795" t="s">
        <v>2744</v>
      </c>
      <c r="C120" s="3114" t="s">
        <v>2745</v>
      </c>
      <c r="D120" s="3088" t="s">
        <v>2746</v>
      </c>
      <c r="E120" s="3114">
        <v>0.1</v>
      </c>
      <c r="F120" s="3114">
        <v>15</v>
      </c>
    </row>
    <row r="121" spans="1:6" ht="13.5">
      <c r="A121" s="3114">
        <v>49</v>
      </c>
      <c r="B121" s="3796"/>
      <c r="C121" s="3114" t="s">
        <v>2747</v>
      </c>
      <c r="D121" s="3088" t="s">
        <v>2748</v>
      </c>
      <c r="E121" s="3114">
        <v>0.1</v>
      </c>
      <c r="F121" s="3114">
        <v>15</v>
      </c>
    </row>
    <row r="122" spans="1:6" ht="24">
      <c r="A122" s="3114">
        <v>50</v>
      </c>
      <c r="B122" s="3794" t="s">
        <v>2749</v>
      </c>
      <c r="C122" s="3114" t="s">
        <v>2750</v>
      </c>
      <c r="D122" s="3088" t="s">
        <v>2751</v>
      </c>
      <c r="E122" s="3114">
        <v>0.1</v>
      </c>
      <c r="F122" s="3114">
        <v>15</v>
      </c>
    </row>
    <row r="123" spans="1:6" ht="24">
      <c r="A123" s="3114">
        <v>51</v>
      </c>
      <c r="B123" s="3794"/>
      <c r="C123" s="3114" t="s">
        <v>2752</v>
      </c>
      <c r="D123" s="3088" t="s">
        <v>2753</v>
      </c>
      <c r="E123" s="3114">
        <v>0.1</v>
      </c>
      <c r="F123" s="3114">
        <v>15</v>
      </c>
    </row>
    <row r="124" spans="1:6" ht="24">
      <c r="A124" s="3114">
        <v>52</v>
      </c>
      <c r="B124" s="3794" t="s">
        <v>2754</v>
      </c>
      <c r="C124" s="3114" t="s">
        <v>2755</v>
      </c>
      <c r="D124" s="3088" t="s">
        <v>2756</v>
      </c>
      <c r="E124" s="3114">
        <v>0.1</v>
      </c>
      <c r="F124" s="3114">
        <v>15</v>
      </c>
    </row>
    <row r="125" spans="1:6" ht="24">
      <c r="A125" s="3114">
        <v>53</v>
      </c>
      <c r="B125" s="3794"/>
      <c r="C125" s="3114" t="s">
        <v>2757</v>
      </c>
      <c r="D125" s="3088" t="s">
        <v>2758</v>
      </c>
      <c r="E125" s="3114">
        <v>0.1</v>
      </c>
      <c r="F125" s="3114">
        <v>15</v>
      </c>
    </row>
    <row r="126" spans="1:6" ht="13.5">
      <c r="A126" s="3114">
        <v>54</v>
      </c>
      <c r="B126" s="3114" t="s">
        <v>2759</v>
      </c>
      <c r="C126" s="3114" t="s">
        <v>2760</v>
      </c>
      <c r="D126" s="3088" t="s">
        <v>2761</v>
      </c>
      <c r="E126" s="3114">
        <v>0.1</v>
      </c>
      <c r="F126" s="3114">
        <v>15</v>
      </c>
    </row>
    <row r="127" spans="1:6" ht="13.5">
      <c r="A127" s="3114">
        <v>55</v>
      </c>
      <c r="B127" s="3794" t="s">
        <v>2762</v>
      </c>
      <c r="C127" s="3114" t="s">
        <v>2763</v>
      </c>
      <c r="D127" s="3088" t="s">
        <v>2764</v>
      </c>
      <c r="E127" s="3114">
        <v>0.1</v>
      </c>
      <c r="F127" s="3114">
        <v>15</v>
      </c>
    </row>
    <row r="128" spans="1:6" ht="13.5">
      <c r="A128" s="3114">
        <v>56</v>
      </c>
      <c r="B128" s="3794"/>
      <c r="C128" s="3114" t="s">
        <v>2765</v>
      </c>
      <c r="D128" s="3088" t="s">
        <v>2766</v>
      </c>
      <c r="E128" s="3114">
        <v>0.1</v>
      </c>
      <c r="F128" s="3114">
        <v>15</v>
      </c>
    </row>
    <row r="129" spans="1:6" ht="24">
      <c r="A129" s="3114">
        <v>57</v>
      </c>
      <c r="B129" s="3794"/>
      <c r="C129" s="3114" t="s">
        <v>2767</v>
      </c>
      <c r="D129" s="3088" t="s">
        <v>2768</v>
      </c>
      <c r="E129" s="3114">
        <v>0.1</v>
      </c>
      <c r="F129" s="3114">
        <v>15</v>
      </c>
    </row>
    <row r="130" spans="1:6" ht="24">
      <c r="A130" s="3114">
        <v>58</v>
      </c>
      <c r="B130" s="3794" t="s">
        <v>2769</v>
      </c>
      <c r="C130" s="3114" t="s">
        <v>2770</v>
      </c>
      <c r="D130" s="3088" t="s">
        <v>2771</v>
      </c>
      <c r="E130" s="3114">
        <v>0.1</v>
      </c>
      <c r="F130" s="3114">
        <v>15</v>
      </c>
    </row>
    <row r="131" spans="1:6" ht="13.5">
      <c r="A131" s="3114">
        <v>59</v>
      </c>
      <c r="B131" s="3794"/>
      <c r="C131" s="3114" t="s">
        <v>2772</v>
      </c>
      <c r="D131" s="3088" t="s">
        <v>2773</v>
      </c>
      <c r="E131" s="3114">
        <v>0.1</v>
      </c>
      <c r="F131" s="3114">
        <v>15</v>
      </c>
    </row>
    <row r="132" spans="1:6" ht="13.5">
      <c r="A132" s="3114">
        <v>60</v>
      </c>
      <c r="B132" s="3795" t="s">
        <v>2774</v>
      </c>
      <c r="C132" s="3114" t="s">
        <v>2775</v>
      </c>
      <c r="D132" s="3088" t="s">
        <v>2776</v>
      </c>
      <c r="E132" s="3114">
        <v>0.1</v>
      </c>
      <c r="F132" s="3114">
        <v>15</v>
      </c>
    </row>
    <row r="133" spans="1:6" ht="13.5">
      <c r="A133" s="3114">
        <v>61</v>
      </c>
      <c r="B133" s="3796"/>
      <c r="C133" s="3114" t="s">
        <v>2777</v>
      </c>
      <c r="D133" s="3088" t="s">
        <v>2778</v>
      </c>
      <c r="E133" s="3114">
        <v>0.1</v>
      </c>
      <c r="F133" s="3114">
        <v>15</v>
      </c>
    </row>
    <row r="134" spans="1:6" ht="24">
      <c r="A134" s="3114">
        <v>62</v>
      </c>
      <c r="B134" s="3114" t="s">
        <v>2779</v>
      </c>
      <c r="C134" s="3114" t="s">
        <v>2780</v>
      </c>
      <c r="D134" s="3088" t="s">
        <v>2781</v>
      </c>
      <c r="E134" s="3114">
        <v>0.1</v>
      </c>
      <c r="F134" s="3114">
        <v>15</v>
      </c>
    </row>
    <row r="135" spans="1:6" ht="13.5">
      <c r="A135" s="3114">
        <v>63</v>
      </c>
      <c r="B135" s="3794" t="s">
        <v>2782</v>
      </c>
      <c r="C135" s="3114" t="s">
        <v>2783</v>
      </c>
      <c r="D135" s="3088" t="s">
        <v>2784</v>
      </c>
      <c r="E135" s="3114">
        <v>0.1</v>
      </c>
      <c r="F135" s="3114">
        <v>15</v>
      </c>
    </row>
    <row r="136" spans="1:6" ht="13.5">
      <c r="A136" s="3114">
        <v>64</v>
      </c>
      <c r="B136" s="3794"/>
      <c r="C136" s="3114" t="s">
        <v>2785</v>
      </c>
      <c r="D136" s="3088" t="s">
        <v>2786</v>
      </c>
      <c r="E136" s="3114">
        <v>0.1</v>
      </c>
      <c r="F136" s="3114">
        <v>15</v>
      </c>
    </row>
    <row r="137" spans="1:6" ht="13.5">
      <c r="A137" s="3114">
        <v>65</v>
      </c>
      <c r="B137" s="3114" t="s">
        <v>2787</v>
      </c>
      <c r="C137" s="3114" t="s">
        <v>2788</v>
      </c>
      <c r="D137" s="3088" t="s">
        <v>2789</v>
      </c>
      <c r="E137" s="3114">
        <v>0.1</v>
      </c>
      <c r="F137" s="3114">
        <v>15</v>
      </c>
    </row>
    <row r="138" spans="1:6" ht="13.5">
      <c r="A138" s="3114"/>
      <c r="B138" s="3114"/>
      <c r="C138" s="3114"/>
      <c r="D138" s="3114"/>
      <c r="E138" s="3114" t="s">
        <v>2790</v>
      </c>
      <c r="F138" s="3114"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2791</v>
      </c>
      <c r="B1" s="3123"/>
      <c r="C1" s="3123"/>
      <c r="D1" s="3123"/>
      <c r="E1" s="3123"/>
      <c r="F1" s="3123"/>
      <c r="G1" s="3123"/>
      <c r="H1" s="3123"/>
      <c r="I1" s="3123"/>
      <c r="J1" s="3123"/>
      <c r="K1" s="3123"/>
      <c r="L1" s="3123"/>
      <c r="M1" s="3123"/>
      <c r="N1" s="748"/>
    </row>
    <row r="2" spans="1:20">
      <c r="A2" s="3124" t="s">
        <v>2792</v>
      </c>
      <c r="B2" s="3125" t="s">
        <v>2588</v>
      </c>
      <c r="C2" s="3125" t="s">
        <v>2589</v>
      </c>
      <c r="D2" s="3125" t="s">
        <v>2590</v>
      </c>
      <c r="E2" s="3125" t="s">
        <v>2591</v>
      </c>
      <c r="F2" s="3125" t="s">
        <v>2592</v>
      </c>
      <c r="G2" s="3125" t="s">
        <v>2593</v>
      </c>
      <c r="H2" s="3126" t="s">
        <v>2594</v>
      </c>
      <c r="I2" s="3126" t="s">
        <v>2595</v>
      </c>
      <c r="J2" s="3127" t="s">
        <v>2596</v>
      </c>
      <c r="K2" s="3127" t="s">
        <v>2597</v>
      </c>
      <c r="L2" s="3127" t="s">
        <v>2598</v>
      </c>
      <c r="M2" s="3128" t="s">
        <v>2599</v>
      </c>
      <c r="Q2" s="3138" t="s">
        <v>2797</v>
      </c>
      <c r="R2" s="3138" t="s">
        <v>2798</v>
      </c>
      <c r="S2" s="3138" t="s">
        <v>2799</v>
      </c>
      <c r="T2" s="3138" t="s">
        <v>2800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2793</v>
      </c>
      <c r="B93" s="3123"/>
      <c r="C93" s="3123"/>
      <c r="D93" s="3123"/>
      <c r="E93" s="3123"/>
      <c r="F93" s="3123"/>
      <c r="G93" s="3123"/>
      <c r="H93" s="3123"/>
      <c r="I93" s="3123"/>
      <c r="J93" s="3123"/>
      <c r="K93" s="3123"/>
      <c r="L93" s="3123"/>
      <c r="M93" s="3123"/>
    </row>
    <row r="94" spans="1:20">
      <c r="A94" s="3124" t="s">
        <v>2792</v>
      </c>
      <c r="B94" s="3125" t="s">
        <v>2588</v>
      </c>
      <c r="C94" s="3125" t="s">
        <v>2589</v>
      </c>
      <c r="D94" s="3125" t="s">
        <v>2590</v>
      </c>
      <c r="E94" s="3125" t="s">
        <v>2591</v>
      </c>
      <c r="F94" s="3125" t="s">
        <v>2592</v>
      </c>
      <c r="G94" s="3125" t="s">
        <v>2593</v>
      </c>
      <c r="H94" s="3126" t="s">
        <v>2594</v>
      </c>
      <c r="I94" s="3126" t="s">
        <v>2595</v>
      </c>
      <c r="J94" s="3127" t="s">
        <v>2596</v>
      </c>
      <c r="K94" s="3127" t="s">
        <v>2597</v>
      </c>
      <c r="L94" s="3127" t="s">
        <v>2598</v>
      </c>
      <c r="M94" s="3128" t="s">
        <v>2599</v>
      </c>
      <c r="N94" s="749">
        <f>SUMPRODUCT((A95:A184=ROUNDDOWN(基准地价修正!G3,1))*(B94:M94=基准地价修正!G2)*(B95:M184))</f>
        <v>1</v>
      </c>
      <c r="Q94" s="3138" t="s">
        <v>2797</v>
      </c>
      <c r="R94" s="3138" t="s">
        <v>2798</v>
      </c>
      <c r="S94" s="3138" t="s">
        <v>2799</v>
      </c>
      <c r="T94" s="3138" t="s">
        <v>2800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2794</v>
      </c>
      <c r="B185" s="3123"/>
      <c r="C185" s="3123"/>
      <c r="D185" s="3123"/>
      <c r="E185" s="3123"/>
      <c r="F185" s="3123"/>
      <c r="G185" s="3123"/>
      <c r="H185" s="3123"/>
      <c r="I185" s="3123"/>
      <c r="J185" s="3123"/>
      <c r="K185" s="3123"/>
      <c r="L185" s="3123"/>
      <c r="M185" s="3123"/>
    </row>
    <row r="186" spans="1:20">
      <c r="A186" s="3124" t="s">
        <v>2792</v>
      </c>
      <c r="B186" s="3125" t="s">
        <v>2588</v>
      </c>
      <c r="C186" s="3125" t="s">
        <v>2589</v>
      </c>
      <c r="D186" s="3125" t="s">
        <v>2590</v>
      </c>
      <c r="E186" s="3125" t="s">
        <v>2591</v>
      </c>
      <c r="F186" s="3125" t="s">
        <v>2592</v>
      </c>
      <c r="G186" s="3125" t="s">
        <v>2593</v>
      </c>
      <c r="H186" s="3126" t="s">
        <v>2594</v>
      </c>
      <c r="I186" s="3126" t="s">
        <v>2595</v>
      </c>
      <c r="J186" s="3127" t="s">
        <v>2596</v>
      </c>
      <c r="K186" s="3127" t="s">
        <v>2597</v>
      </c>
      <c r="L186" s="3127" t="s">
        <v>2598</v>
      </c>
      <c r="M186" s="3128" t="s">
        <v>2599</v>
      </c>
      <c r="Q186" s="3138" t="s">
        <v>2797</v>
      </c>
      <c r="R186" s="3138" t="s">
        <v>2798</v>
      </c>
      <c r="S186" s="3138" t="s">
        <v>2799</v>
      </c>
      <c r="T186" s="3138" t="s">
        <v>2800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2795</v>
      </c>
      <c r="B277" s="3123"/>
      <c r="C277" s="3123"/>
      <c r="D277" s="3123"/>
      <c r="E277" s="3123"/>
      <c r="F277" s="3123"/>
      <c r="G277" s="3123"/>
      <c r="H277" s="3123"/>
      <c r="I277" s="3123"/>
      <c r="J277" s="3123"/>
      <c r="K277" s="3123"/>
      <c r="L277" s="3123"/>
      <c r="M277" s="3123"/>
    </row>
    <row r="278" spans="1:21">
      <c r="A278" s="3124" t="s">
        <v>2792</v>
      </c>
      <c r="B278" s="3125" t="s">
        <v>2588</v>
      </c>
      <c r="C278" s="3125" t="s">
        <v>2589</v>
      </c>
      <c r="D278" s="3125" t="s">
        <v>2590</v>
      </c>
      <c r="E278" s="3125" t="s">
        <v>2591</v>
      </c>
      <c r="F278" s="3125" t="s">
        <v>2592</v>
      </c>
      <c r="G278" s="3125" t="s">
        <v>2593</v>
      </c>
      <c r="H278" s="3126" t="s">
        <v>2594</v>
      </c>
      <c r="I278" s="3126" t="s">
        <v>2595</v>
      </c>
      <c r="J278" s="3127" t="s">
        <v>2596</v>
      </c>
      <c r="K278" s="3127" t="s">
        <v>2597</v>
      </c>
      <c r="L278" s="3127" t="s">
        <v>2598</v>
      </c>
      <c r="M278" s="3128" t="s">
        <v>2599</v>
      </c>
      <c r="Q278" s="3138" t="s">
        <v>2797</v>
      </c>
      <c r="R278" s="3138" t="s">
        <v>2798</v>
      </c>
      <c r="S278" s="3138" t="s">
        <v>2801</v>
      </c>
      <c r="T278" s="3138" t="s">
        <v>2802</v>
      </c>
      <c r="U278" s="3138" t="s">
        <v>2800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2796</v>
      </c>
      <c r="B369" s="3136"/>
      <c r="C369" s="3136"/>
      <c r="D369" s="3136"/>
      <c r="E369" s="3136"/>
      <c r="F369" s="3136"/>
      <c r="G369" s="3136"/>
      <c r="H369" s="3136"/>
      <c r="I369" s="3136"/>
      <c r="J369" s="3136"/>
      <c r="K369" s="3136"/>
      <c r="L369" s="3136"/>
      <c r="M369" s="3136"/>
    </row>
    <row r="370" spans="1:20">
      <c r="A370" s="3124" t="s">
        <v>2792</v>
      </c>
      <c r="B370" s="3125" t="s">
        <v>2588</v>
      </c>
      <c r="C370" s="3125" t="s">
        <v>2589</v>
      </c>
      <c r="D370" s="3125" t="s">
        <v>2590</v>
      </c>
      <c r="E370" s="3125" t="s">
        <v>2591</v>
      </c>
      <c r="F370" s="3125" t="s">
        <v>2592</v>
      </c>
      <c r="G370" s="3125" t="s">
        <v>2593</v>
      </c>
      <c r="H370" s="3126" t="s">
        <v>2594</v>
      </c>
      <c r="I370" s="3126" t="s">
        <v>2595</v>
      </c>
      <c r="J370" s="3127" t="s">
        <v>2596</v>
      </c>
      <c r="K370" s="3127" t="s">
        <v>2597</v>
      </c>
      <c r="L370" s="3127" t="s">
        <v>2598</v>
      </c>
      <c r="M370" s="3128" t="s">
        <v>2599</v>
      </c>
      <c r="N370" s="749">
        <f>SUMPRODUCT((A371:A460=ROUNDDOWN(基准地价修正!G3,1))*(B370:M370=基准地价修正!G2)*(B371:M460))</f>
        <v>0.95120000000000005</v>
      </c>
      <c r="Q370" s="3138" t="s">
        <v>2797</v>
      </c>
      <c r="R370" s="3138" t="s">
        <v>2798</v>
      </c>
      <c r="S370" s="3138" t="s">
        <v>2799</v>
      </c>
      <c r="T370" s="3138" t="s">
        <v>2800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估价结果一览表（市场价值不需“结果表-1”）</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4314</v>
      </c>
      <c r="E5" s="1490"/>
    </row>
    <row r="6" spans="1:5" ht="15.75">
      <c r="A6" s="1490"/>
      <c r="B6" s="3485"/>
      <c r="C6" s="1493" t="s">
        <v>911</v>
      </c>
      <c r="D6" s="849" t="str">
        <f ca="1">NUMBERSTRING(INT(D5*10000),2)&amp;"元整"</f>
        <v>肆仟叁佰壹拾肆万元整</v>
      </c>
      <c r="E6" s="1490"/>
    </row>
    <row r="7" spans="1:5" ht="15.75">
      <c r="A7" s="1490"/>
      <c r="B7" s="3490"/>
      <c r="C7" s="1494" t="s">
        <v>912</v>
      </c>
      <c r="D7" s="850">
        <f ca="1">结果表!H102</f>
        <v>42541</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4314</v>
      </c>
      <c r="E13" s="1490"/>
    </row>
    <row r="14" spans="1:5" ht="15.75">
      <c r="A14" s="1490"/>
      <c r="B14" s="3485"/>
      <c r="C14" s="1493" t="s">
        <v>911</v>
      </c>
      <c r="D14" s="849" t="str">
        <f ca="1">NUMBERSTRING(INT(D13*10000),2)&amp;"元整"</f>
        <v>肆仟叁佰壹拾肆万元整</v>
      </c>
      <c r="E14" s="1490"/>
    </row>
    <row r="15" spans="1:5" ht="15">
      <c r="A15" s="1490"/>
      <c r="B15" s="3490"/>
      <c r="C15" s="1494" t="s">
        <v>921</v>
      </c>
      <c r="D15" s="858">
        <f ca="1">结果表!H108</f>
        <v>42541</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v>
      </c>
      <c r="C19" s="1498" t="s">
        <v>910</v>
      </c>
      <c r="D19" s="850" t="str">
        <f>结果表!H111</f>
        <v>——</v>
      </c>
      <c r="E19" s="1490"/>
    </row>
    <row r="20" spans="1:5" ht="15.75">
      <c r="A20" s="1490"/>
      <c r="B20" s="3485"/>
      <c r="C20" s="1493" t="s">
        <v>923</v>
      </c>
      <c r="D20" s="849" t="e">
        <f>NUMBERSTRING(INT(D19*10000),2)&amp;"元整"</f>
        <v>#VALUE!</v>
      </c>
      <c r="E20" s="1490"/>
    </row>
    <row r="21" spans="1:5" ht="15.75" thickBot="1">
      <c r="A21" s="1490"/>
      <c r="B21" s="348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28550</v>
      </c>
      <c r="C2" s="2" t="s">
        <v>106</v>
      </c>
      <c r="D2" s="199"/>
      <c r="E2" s="199"/>
      <c r="F2" s="199"/>
      <c r="G2" s="199"/>
    </row>
    <row r="3" spans="1:7" s="200" customFormat="1" ht="18" customHeight="1" thickBot="1">
      <c r="A3" s="203" t="s">
        <v>58</v>
      </c>
      <c r="B3" s="204">
        <f ca="1">ROUND(B2*10000/'数据-汇总表'!E3,0)</f>
        <v>281539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20</v>
      </c>
      <c r="D10" s="844">
        <f>'数据-汇总表'!E6</f>
        <v>1014.0699999999999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15</v>
      </c>
      <c r="D19" s="848">
        <f>'数据-汇总表'!E3</f>
        <v>1014.0699999999999</v>
      </c>
      <c r="E19" s="211">
        <f>'数据-取费表'!B31</f>
        <v>150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740</v>
      </c>
      <c r="D22" s="235">
        <f ca="1">C26</f>
        <v>4.0000000000000002E-4</v>
      </c>
      <c r="E22" s="236" t="s">
        <v>99</v>
      </c>
      <c r="F22" s="237">
        <f ca="1">'数据-取费表'!B40</f>
        <v>3.5499999999999997E-2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732</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355</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15</v>
      </c>
      <c r="D37" s="217">
        <f>'数据-汇总表'!E3</f>
        <v>1014.0699999999999</v>
      </c>
      <c r="E37" s="249">
        <f>'数据-取费表'!B35</f>
        <v>150</v>
      </c>
      <c r="F37" s="259"/>
      <c r="G37" s="261" t="s">
        <v>92</v>
      </c>
    </row>
    <row r="38" spans="1:7" ht="13.5" customHeight="1">
      <c r="A38" s="779" t="s">
        <v>354</v>
      </c>
      <c r="B38" s="215" t="s">
        <v>36</v>
      </c>
      <c r="C38" s="220">
        <f>ROUND(C34*F38,0)</f>
        <v>5</v>
      </c>
      <c r="D38" s="220"/>
      <c r="E38" s="220"/>
      <c r="F38" s="259">
        <f>'数据-取费表'!B36</f>
        <v>1.4999999999999999E-2</v>
      </c>
      <c r="G38" s="219" t="s">
        <v>90</v>
      </c>
    </row>
    <row r="39" spans="1:7" s="214" customFormat="1" ht="13.5" customHeight="1">
      <c r="A39" s="776" t="s">
        <v>338</v>
      </c>
      <c r="B39" s="210" t="s">
        <v>77</v>
      </c>
      <c r="C39" s="232">
        <f>ROUND(C33*F20,0)</f>
        <v>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7</v>
      </c>
      <c r="D41" s="235">
        <f ca="1">C44</f>
        <v>4.0000000000000002E-4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7</v>
      </c>
      <c r="D42" s="238"/>
      <c r="E42" s="238"/>
      <c r="F42" s="239"/>
      <c r="G42" s="3666" t="s">
        <v>94</v>
      </c>
    </row>
    <row r="43" spans="1:7" ht="13.5" customHeight="1">
      <c r="A43" s="779" t="s">
        <v>347</v>
      </c>
      <c r="B43" s="215" t="s">
        <v>426</v>
      </c>
      <c r="C43" s="238">
        <f ca="1">ROUND(IF('数据-取费表'!B22&lt;=1,C39*F22*'数据-取费表'!B21/2,C39*(POWER((1+F22),'数据-取费表'!B21/2)-1)),0)</f>
        <v>0</v>
      </c>
      <c r="D43" s="238"/>
      <c r="E43" s="238"/>
      <c r="F43" s="239"/>
      <c r="G43" s="3667"/>
    </row>
    <row r="44" spans="1:7" ht="13.5" customHeight="1">
      <c r="A44" s="779" t="s">
        <v>348</v>
      </c>
      <c r="B44" s="215" t="s">
        <v>428</v>
      </c>
      <c r="C44" s="238">
        <f ca="1">ROUND(IF('数据-取费表'!B22&lt;=1,C40*F22*'数据-取费表'!B21/2,C40*(POWER((1+F22),'数据-取费表'!B21/2)-1)),4)</f>
        <v>4.0000000000000002E-4</v>
      </c>
      <c r="D44" s="238"/>
      <c r="E44" s="238"/>
      <c r="F44" s="239"/>
      <c r="G44" s="3668"/>
    </row>
    <row r="45" spans="1:7" s="214" customFormat="1" ht="13.5" customHeight="1">
      <c r="A45" s="776" t="s">
        <v>341</v>
      </c>
      <c r="B45" s="244" t="s">
        <v>85</v>
      </c>
      <c r="C45" s="245">
        <f>C46</f>
        <v>79</v>
      </c>
      <c r="D45" s="235">
        <f>C47</f>
        <v>4.0000000000000001E-3</v>
      </c>
      <c r="E45" s="236" t="s">
        <v>102</v>
      </c>
      <c r="F45" s="246"/>
      <c r="G45" s="247" t="s">
        <v>434</v>
      </c>
    </row>
    <row r="46" spans="1:7" s="214" customFormat="1" ht="13.5" customHeight="1">
      <c r="A46" s="779" t="s">
        <v>349</v>
      </c>
      <c r="B46" s="248" t="s">
        <v>427</v>
      </c>
      <c r="C46" s="249">
        <f>ROUND((C33+C39)*F27,0)</f>
        <v>79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520</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374</v>
      </c>
      <c r="D51" s="232"/>
      <c r="E51" s="232"/>
      <c r="F51" s="264"/>
      <c r="G51" s="234" t="s">
        <v>37</v>
      </c>
    </row>
    <row r="52" spans="1:7" s="208" customFormat="1" ht="16.5" thickBot="1">
      <c r="A52" s="265" t="s">
        <v>38</v>
      </c>
      <c r="B52" s="266"/>
      <c r="C52" s="267">
        <f ca="1">C31+C51</f>
        <v>28550</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8" t="s">
        <v>2834</v>
      </c>
      <c r="B1" s="3808"/>
      <c r="C1" s="3808"/>
      <c r="D1" s="3808"/>
      <c r="E1" s="3808"/>
      <c r="F1" s="3808"/>
      <c r="G1" s="3809"/>
      <c r="I1" s="3219" t="s">
        <v>2835</v>
      </c>
      <c r="J1" s="3220" t="s">
        <v>2836</v>
      </c>
      <c r="K1" s="3220" t="s">
        <v>2837</v>
      </c>
      <c r="L1" s="3220" t="s">
        <v>2838</v>
      </c>
      <c r="M1" s="3220" t="s">
        <v>2839</v>
      </c>
      <c r="N1" s="3220" t="s">
        <v>2840</v>
      </c>
      <c r="O1" s="3220" t="s">
        <v>2841</v>
      </c>
      <c r="P1" s="3220" t="s">
        <v>2842</v>
      </c>
      <c r="Q1" s="3220" t="s">
        <v>2843</v>
      </c>
      <c r="R1" s="3220" t="s">
        <v>2844</v>
      </c>
      <c r="S1" s="3220" t="s">
        <v>2845</v>
      </c>
      <c r="T1" s="3221" t="s">
        <v>2846</v>
      </c>
    </row>
    <row r="2" spans="1:20" ht="12" thickBot="1">
      <c r="A2" s="3223" t="s">
        <v>2847</v>
      </c>
      <c r="B2" s="3223"/>
      <c r="C2" s="3223"/>
      <c r="D2" s="3223"/>
      <c r="E2" s="3223"/>
      <c r="F2" s="3223"/>
      <c r="G2" s="3224" t="s">
        <v>2848</v>
      </c>
      <c r="I2" s="3225" t="s">
        <v>2849</v>
      </c>
      <c r="J2" s="3225" t="s">
        <v>2850</v>
      </c>
      <c r="K2" s="3225" t="s">
        <v>2851</v>
      </c>
      <c r="L2" s="3225" t="s">
        <v>2852</v>
      </c>
      <c r="M2" s="3225" t="s">
        <v>2853</v>
      </c>
      <c r="N2" s="3225" t="s">
        <v>2854</v>
      </c>
      <c r="O2" s="3225" t="s">
        <v>2855</v>
      </c>
      <c r="P2" s="3225" t="s">
        <v>2856</v>
      </c>
      <c r="Q2" s="3225" t="s">
        <v>2857</v>
      </c>
      <c r="R2" s="3225" t="s">
        <v>2858</v>
      </c>
      <c r="S2" s="3225" t="s">
        <v>2859</v>
      </c>
      <c r="T2" s="3225" t="s">
        <v>2860</v>
      </c>
    </row>
    <row r="3" spans="1:20" s="3231" customFormat="1">
      <c r="A3" s="3806" t="s">
        <v>2861</v>
      </c>
      <c r="B3" s="3226"/>
      <c r="C3" s="3227" t="s">
        <v>2804</v>
      </c>
      <c r="D3" s="3227" t="s">
        <v>2862</v>
      </c>
      <c r="E3" s="3227" t="s">
        <v>2806</v>
      </c>
      <c r="F3" s="3227" t="s">
        <v>2863</v>
      </c>
      <c r="G3" s="3227" t="s">
        <v>2624</v>
      </c>
      <c r="H3" s="3228"/>
      <c r="I3" s="3229" t="s">
        <v>2864</v>
      </c>
      <c r="J3" s="3230" t="s">
        <v>128</v>
      </c>
      <c r="K3" s="3230" t="s">
        <v>129</v>
      </c>
      <c r="L3" s="3229" t="s">
        <v>130</v>
      </c>
      <c r="M3" s="3229" t="s">
        <v>131</v>
      </c>
      <c r="N3" s="3229" t="s">
        <v>132</v>
      </c>
      <c r="O3" s="3229" t="s">
        <v>133</v>
      </c>
      <c r="P3" s="3229" t="s">
        <v>134</v>
      </c>
      <c r="Q3" s="3229" t="s">
        <v>135</v>
      </c>
      <c r="R3" s="3229" t="s">
        <v>136</v>
      </c>
      <c r="S3" s="3229" t="s">
        <v>2865</v>
      </c>
      <c r="T3" s="3229" t="s">
        <v>2866</v>
      </c>
    </row>
    <row r="4" spans="1:20" s="3231" customFormat="1" ht="12" thickBot="1">
      <c r="A4" s="3807"/>
      <c r="B4" s="3232" t="s">
        <v>2867</v>
      </c>
      <c r="C4" s="3232" t="s">
        <v>2868</v>
      </c>
      <c r="D4" s="3232" t="s">
        <v>2868</v>
      </c>
      <c r="E4" s="3232" t="s">
        <v>2868</v>
      </c>
      <c r="F4" s="3233" t="s">
        <v>2868</v>
      </c>
      <c r="G4" s="3233" t="s">
        <v>2868</v>
      </c>
      <c r="H4" s="3228"/>
      <c r="I4" s="3230" t="s">
        <v>137</v>
      </c>
      <c r="J4" s="3230" t="s">
        <v>111</v>
      </c>
      <c r="K4" s="3230" t="s">
        <v>138</v>
      </c>
      <c r="L4" s="3229" t="s">
        <v>139</v>
      </c>
      <c r="M4" s="3229" t="s">
        <v>140</v>
      </c>
      <c r="N4" s="3229" t="s">
        <v>141</v>
      </c>
      <c r="O4" s="3229" t="s">
        <v>142</v>
      </c>
      <c r="P4" s="3229" t="s">
        <v>143</v>
      </c>
      <c r="Q4" s="3229" t="s">
        <v>2869</v>
      </c>
      <c r="R4" s="3229" t="s">
        <v>2870</v>
      </c>
      <c r="S4" s="3229" t="s">
        <v>2871</v>
      </c>
      <c r="T4" s="3229" t="s">
        <v>2872</v>
      </c>
    </row>
    <row r="5" spans="1:20">
      <c r="A5" s="3234" t="s">
        <v>2835</v>
      </c>
      <c r="B5" s="3225" t="s">
        <v>2849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2873</v>
      </c>
      <c r="R5" s="3229" t="s">
        <v>2874</v>
      </c>
      <c r="S5" s="3229" t="s">
        <v>153</v>
      </c>
      <c r="T5" s="3229" t="s">
        <v>2875</v>
      </c>
    </row>
    <row r="6" spans="1:20" ht="12" thickBot="1">
      <c r="A6" s="3229" t="s">
        <v>144</v>
      </c>
      <c r="B6" s="3229" t="s">
        <v>2864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2876</v>
      </c>
      <c r="Q6" s="3229" t="s">
        <v>2877</v>
      </c>
      <c r="R6" s="3229" t="s">
        <v>161</v>
      </c>
      <c r="S6" s="3229" t="s">
        <v>2878</v>
      </c>
      <c r="T6" s="3229" t="s">
        <v>2879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2880</v>
      </c>
      <c r="Q7" s="3229" t="s">
        <v>2881</v>
      </c>
      <c r="R7" s="3229" t="s">
        <v>2882</v>
      </c>
      <c r="S7" s="3229" t="s">
        <v>2883</v>
      </c>
      <c r="T7" s="3229" t="s">
        <v>2884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2885</v>
      </c>
      <c r="Q8" s="3229" t="s">
        <v>174</v>
      </c>
      <c r="R8" s="3229" t="s">
        <v>2886</v>
      </c>
      <c r="S8" s="3229" t="s">
        <v>2887</v>
      </c>
      <c r="T8" s="3236" t="s">
        <v>2888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2889</v>
      </c>
      <c r="Q9" s="3229" t="s">
        <v>182</v>
      </c>
      <c r="R9" s="3229" t="s">
        <v>183</v>
      </c>
      <c r="S9" s="3229" t="s">
        <v>200</v>
      </c>
    </row>
    <row r="10" spans="1:20">
      <c r="A10" s="3234" t="s">
        <v>184</v>
      </c>
      <c r="B10" s="3225" t="s">
        <v>2850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2891</v>
      </c>
      <c r="P11" s="3229" t="s">
        <v>191</v>
      </c>
      <c r="Q11" s="3229" t="s">
        <v>199</v>
      </c>
      <c r="R11" s="3229" t="s">
        <v>2892</v>
      </c>
      <c r="S11" s="3229" t="s">
        <v>2893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2894</v>
      </c>
      <c r="P12" s="3229" t="s">
        <v>2895</v>
      </c>
      <c r="Q12" s="3229" t="s">
        <v>2896</v>
      </c>
      <c r="R12" s="3229" t="s">
        <v>2897</v>
      </c>
      <c r="S12" s="3229" t="s">
        <v>2898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2900</v>
      </c>
      <c r="K14" s="3230" t="s">
        <v>215</v>
      </c>
      <c r="L14" s="3229" t="s">
        <v>216</v>
      </c>
      <c r="M14" s="3229" t="s">
        <v>217</v>
      </c>
      <c r="N14" s="3229" t="s">
        <v>218</v>
      </c>
      <c r="O14" s="3229" t="s">
        <v>240</v>
      </c>
      <c r="P14" s="3229" t="s">
        <v>213</v>
      </c>
      <c r="Q14" s="3229" t="s">
        <v>2901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2902</v>
      </c>
      <c r="P15" s="3229" t="s">
        <v>2903</v>
      </c>
      <c r="Q15" s="3229" t="s">
        <v>242</v>
      </c>
      <c r="R15" s="3229" t="s">
        <v>2904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2905</v>
      </c>
      <c r="P16" s="3229" t="s">
        <v>227</v>
      </c>
      <c r="Q16" s="3229" t="s">
        <v>250</v>
      </c>
      <c r="R16" s="3229" t="s">
        <v>207</v>
      </c>
      <c r="S16" s="3229" t="s">
        <v>2906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2907</v>
      </c>
      <c r="P17" s="3229" t="s">
        <v>2908</v>
      </c>
      <c r="Q17" s="3229" t="s">
        <v>256</v>
      </c>
      <c r="R17" s="3229" t="s">
        <v>2909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2910</v>
      </c>
      <c r="P18" s="3229" t="s">
        <v>241</v>
      </c>
      <c r="Q18" s="3229" t="s">
        <v>2911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2912</v>
      </c>
      <c r="P19" s="3229" t="s">
        <v>249</v>
      </c>
      <c r="Q19" s="3229" t="s">
        <v>2913</v>
      </c>
      <c r="R19" s="3229" t="s">
        <v>265</v>
      </c>
      <c r="S19" s="3229" t="s">
        <v>2914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2915</v>
      </c>
      <c r="P20" s="3229" t="s">
        <v>2916</v>
      </c>
      <c r="Q20" s="3229" t="s">
        <v>290</v>
      </c>
      <c r="R20" s="3229" t="s">
        <v>2917</v>
      </c>
      <c r="S20" s="3229" t="s">
        <v>277</v>
      </c>
    </row>
    <row r="21" spans="1:19" ht="14.25" customHeight="1" thickBot="1">
      <c r="A21" s="3229" t="s">
        <v>184</v>
      </c>
      <c r="B21" s="3230" t="s">
        <v>208</v>
      </c>
      <c r="C21" s="3229">
        <v>32370</v>
      </c>
      <c r="D21" s="3229">
        <v>26730</v>
      </c>
      <c r="E21" s="3229">
        <v>26640</v>
      </c>
      <c r="F21" s="3229"/>
      <c r="G21" s="3229">
        <v>19440</v>
      </c>
      <c r="J21" s="3236" t="s">
        <v>2918</v>
      </c>
      <c r="K21" s="3230" t="s">
        <v>267</v>
      </c>
      <c r="L21" s="3229" t="s">
        <v>268</v>
      </c>
      <c r="M21" s="3229" t="s">
        <v>269</v>
      </c>
      <c r="N21" s="3229" t="s">
        <v>270</v>
      </c>
      <c r="O21" s="3229" t="s">
        <v>264</v>
      </c>
      <c r="P21" s="3229" t="s">
        <v>283</v>
      </c>
      <c r="Q21" s="3229" t="s">
        <v>293</v>
      </c>
      <c r="R21" s="3229" t="s">
        <v>2919</v>
      </c>
      <c r="S21" s="3236" t="s">
        <v>2920</v>
      </c>
    </row>
    <row r="22" spans="1:19" ht="14.25" customHeight="1">
      <c r="A22" s="3229" t="s">
        <v>184</v>
      </c>
      <c r="B22" s="3230" t="s">
        <v>2900</v>
      </c>
      <c r="C22" s="3229">
        <v>29830</v>
      </c>
      <c r="D22" s="3229">
        <v>27600</v>
      </c>
      <c r="E22" s="3229">
        <v>28150</v>
      </c>
      <c r="F22" s="3229"/>
      <c r="G22" s="3229">
        <v>20080</v>
      </c>
      <c r="K22" s="3230" t="s">
        <v>2921</v>
      </c>
      <c r="L22" s="3229" t="s">
        <v>272</v>
      </c>
      <c r="M22" s="3229" t="s">
        <v>273</v>
      </c>
      <c r="N22" s="3229" t="s">
        <v>274</v>
      </c>
      <c r="O22" s="3229" t="s">
        <v>2922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2923</v>
      </c>
      <c r="L23" s="3229" t="s">
        <v>278</v>
      </c>
      <c r="M23" s="3229" t="s">
        <v>279</v>
      </c>
      <c r="N23" s="3229" t="s">
        <v>2924</v>
      </c>
      <c r="O23" s="3229" t="s">
        <v>2925</v>
      </c>
      <c r="P23" s="3229" t="s">
        <v>289</v>
      </c>
      <c r="Q23" s="3229" t="s">
        <v>298</v>
      </c>
      <c r="R23" s="3229" t="s">
        <v>2926</v>
      </c>
    </row>
    <row r="24" spans="1:19" ht="14.25" customHeight="1">
      <c r="A24" s="3229" t="s">
        <v>184</v>
      </c>
      <c r="B24" s="3230" t="s">
        <v>230</v>
      </c>
      <c r="C24" s="3229">
        <v>27930</v>
      </c>
      <c r="D24" s="3229">
        <v>32260</v>
      </c>
      <c r="E24" s="3229">
        <v>32120</v>
      </c>
      <c r="F24" s="3229"/>
      <c r="G24" s="3229">
        <v>23470</v>
      </c>
      <c r="K24" s="3230" t="s">
        <v>2927</v>
      </c>
      <c r="L24" s="3229" t="s">
        <v>281</v>
      </c>
      <c r="M24" s="3229" t="s">
        <v>282</v>
      </c>
      <c r="N24" s="3229" t="s">
        <v>2928</v>
      </c>
      <c r="O24" s="3229" t="s">
        <v>285</v>
      </c>
      <c r="P24" s="3229" t="s">
        <v>2929</v>
      </c>
      <c r="Q24" s="3238" t="s">
        <v>2930</v>
      </c>
      <c r="R24" s="3229" t="s">
        <v>2931</v>
      </c>
    </row>
    <row r="25" spans="1:19" ht="14.25" customHeight="1">
      <c r="A25" s="3229" t="s">
        <v>184</v>
      </c>
      <c r="B25" s="3230" t="s">
        <v>235</v>
      </c>
      <c r="C25" s="3229">
        <v>32230</v>
      </c>
      <c r="D25" s="3229">
        <v>29640</v>
      </c>
      <c r="E25" s="3229">
        <v>29510</v>
      </c>
      <c r="F25" s="3229"/>
      <c r="G25" s="3229">
        <v>21560</v>
      </c>
      <c r="K25" s="3230" t="s">
        <v>2932</v>
      </c>
      <c r="L25" s="3229" t="s">
        <v>2933</v>
      </c>
      <c r="M25" s="3229" t="s">
        <v>284</v>
      </c>
      <c r="N25" s="3229" t="s">
        <v>292</v>
      </c>
      <c r="O25" s="3229" t="s">
        <v>288</v>
      </c>
      <c r="P25" s="3229" t="s">
        <v>275</v>
      </c>
      <c r="Q25" s="3238" t="s">
        <v>271</v>
      </c>
      <c r="R25" s="3229" t="s">
        <v>2934</v>
      </c>
    </row>
    <row r="26" spans="1:19" ht="14.25" customHeight="1" thickBot="1">
      <c r="A26" s="3229" t="s">
        <v>184</v>
      </c>
      <c r="B26" s="3230" t="s">
        <v>244</v>
      </c>
      <c r="C26" s="3229">
        <v>31690</v>
      </c>
      <c r="D26" s="3229">
        <v>27650</v>
      </c>
      <c r="E26" s="3229">
        <v>28200</v>
      </c>
      <c r="F26" s="3229"/>
      <c r="G26" s="3229">
        <v>20110</v>
      </c>
      <c r="K26" s="3235" t="s">
        <v>2935</v>
      </c>
      <c r="L26" s="3229" t="s">
        <v>2936</v>
      </c>
      <c r="M26" s="3229" t="s">
        <v>287</v>
      </c>
      <c r="N26" s="3229" t="s">
        <v>294</v>
      </c>
      <c r="O26" s="3229" t="s">
        <v>2937</v>
      </c>
      <c r="P26" s="3229" t="s">
        <v>2938</v>
      </c>
      <c r="Q26" s="3238" t="s">
        <v>276</v>
      </c>
      <c r="R26" s="3229" t="s">
        <v>2939</v>
      </c>
    </row>
    <row r="27" spans="1:19" ht="14.25" customHeight="1">
      <c r="A27" s="3229" t="s">
        <v>184</v>
      </c>
      <c r="B27" s="3230" t="s">
        <v>251</v>
      </c>
      <c r="C27" s="3229">
        <v>29610</v>
      </c>
      <c r="D27" s="3229">
        <v>27770</v>
      </c>
      <c r="E27" s="3229">
        <v>28300</v>
      </c>
      <c r="F27" s="3229"/>
      <c r="G27" s="3229">
        <v>20210</v>
      </c>
      <c r="L27" s="3229" t="s">
        <v>2940</v>
      </c>
      <c r="M27" s="3229" t="s">
        <v>291</v>
      </c>
      <c r="N27" s="3229" t="s">
        <v>297</v>
      </c>
      <c r="O27" s="3229" t="s">
        <v>2941</v>
      </c>
      <c r="P27" s="3229" t="s">
        <v>2942</v>
      </c>
      <c r="Q27" s="3229" t="s">
        <v>2943</v>
      </c>
      <c r="R27" s="3229" t="s">
        <v>2944</v>
      </c>
    </row>
    <row r="28" spans="1:19" ht="14.25" customHeight="1">
      <c r="A28" s="3229" t="s">
        <v>184</v>
      </c>
      <c r="B28" s="3230" t="s">
        <v>259</v>
      </c>
      <c r="C28" s="3229"/>
      <c r="D28" s="3229">
        <v>31520</v>
      </c>
      <c r="E28" s="3229">
        <v>31410</v>
      </c>
      <c r="F28" s="3229"/>
      <c r="G28" s="3229">
        <v>22940</v>
      </c>
      <c r="L28" s="3229" t="s">
        <v>2945</v>
      </c>
      <c r="M28" s="3229" t="s">
        <v>2946</v>
      </c>
      <c r="N28" s="3229" t="s">
        <v>2947</v>
      </c>
      <c r="O28" s="3229" t="s">
        <v>2948</v>
      </c>
      <c r="P28" s="3229" t="s">
        <v>2949</v>
      </c>
      <c r="Q28" s="3229" t="s">
        <v>2950</v>
      </c>
      <c r="R28" s="3229" t="s">
        <v>2951</v>
      </c>
    </row>
    <row r="29" spans="1:19" ht="14.25" customHeight="1" thickBot="1">
      <c r="A29" s="3237" t="s">
        <v>184</v>
      </c>
      <c r="B29" s="3239" t="s">
        <v>2918</v>
      </c>
      <c r="C29" s="3240"/>
      <c r="D29" s="3240">
        <v>29460</v>
      </c>
      <c r="E29" s="3240">
        <v>28640</v>
      </c>
      <c r="F29" s="3240"/>
      <c r="G29" s="3240">
        <v>21430</v>
      </c>
      <c r="L29" s="3229" t="s">
        <v>2952</v>
      </c>
      <c r="M29" s="3229" t="s">
        <v>2953</v>
      </c>
      <c r="N29" s="3229" t="s">
        <v>2954</v>
      </c>
      <c r="O29" s="3229" t="s">
        <v>2955</v>
      </c>
      <c r="P29" s="3229" t="s">
        <v>2956</v>
      </c>
      <c r="Q29" s="3229" t="s">
        <v>2957</v>
      </c>
      <c r="R29" s="3229" t="s">
        <v>280</v>
      </c>
    </row>
    <row r="30" spans="1:19" ht="14.25" customHeight="1">
      <c r="A30" s="3234" t="s">
        <v>296</v>
      </c>
      <c r="B30" s="3225" t="s">
        <v>2851</v>
      </c>
      <c r="C30" s="3225">
        <v>26890</v>
      </c>
      <c r="D30" s="3225">
        <v>26770</v>
      </c>
      <c r="E30" s="3225">
        <v>25700</v>
      </c>
      <c r="F30" s="3225">
        <v>8180</v>
      </c>
      <c r="G30" s="3241">
        <v>18740</v>
      </c>
      <c r="L30" s="3229" t="s">
        <v>2958</v>
      </c>
      <c r="M30" s="3229" t="s">
        <v>2959</v>
      </c>
      <c r="N30" s="3229" t="s">
        <v>2960</v>
      </c>
      <c r="O30" s="3229" t="s">
        <v>2961</v>
      </c>
      <c r="P30" s="3229" t="s">
        <v>2962</v>
      </c>
      <c r="Q30" s="3229" t="s">
        <v>2963</v>
      </c>
      <c r="R30" s="3229" t="s">
        <v>2964</v>
      </c>
    </row>
    <row r="31" spans="1:19" ht="14.25" customHeight="1">
      <c r="A31" s="3229" t="s">
        <v>296</v>
      </c>
      <c r="B31" s="3230" t="s">
        <v>129</v>
      </c>
      <c r="C31" s="3229">
        <v>24550</v>
      </c>
      <c r="D31" s="3229">
        <v>23990</v>
      </c>
      <c r="E31" s="3229">
        <v>22930</v>
      </c>
      <c r="F31" s="3229">
        <v>7470</v>
      </c>
      <c r="G31" s="3242">
        <v>16790</v>
      </c>
      <c r="L31" s="3229" t="s">
        <v>2965</v>
      </c>
      <c r="M31" s="3229" t="s">
        <v>2966</v>
      </c>
      <c r="N31" s="3229" t="s">
        <v>2967</v>
      </c>
      <c r="O31" s="3229" t="s">
        <v>2968</v>
      </c>
      <c r="P31" s="3229" t="s">
        <v>2969</v>
      </c>
      <c r="Q31" s="3229" t="s">
        <v>2970</v>
      </c>
      <c r="R31" s="3229" t="s">
        <v>2971</v>
      </c>
    </row>
    <row r="32" spans="1:19" ht="14.25" customHeight="1" thickBot="1">
      <c r="A32" s="3229" t="s">
        <v>296</v>
      </c>
      <c r="B32" s="3230" t="s">
        <v>138</v>
      </c>
      <c r="C32" s="3229">
        <v>27210</v>
      </c>
      <c r="D32" s="3229">
        <v>23240</v>
      </c>
      <c r="E32" s="3229">
        <v>23260</v>
      </c>
      <c r="F32" s="3229">
        <v>7130</v>
      </c>
      <c r="G32" s="3242">
        <v>16270</v>
      </c>
      <c r="L32" s="3229" t="s">
        <v>2972</v>
      </c>
      <c r="M32" s="3229" t="s">
        <v>2973</v>
      </c>
      <c r="N32" s="3229" t="s">
        <v>300</v>
      </c>
      <c r="O32" s="3229" t="s">
        <v>2974</v>
      </c>
      <c r="P32" s="3229" t="s">
        <v>299</v>
      </c>
      <c r="Q32" s="3229" t="s">
        <v>2975</v>
      </c>
      <c r="R32" s="3236" t="s">
        <v>2976</v>
      </c>
    </row>
    <row r="33" spans="1:17" ht="14.25" customHeight="1" thickBot="1">
      <c r="A33" s="3229" t="s">
        <v>296</v>
      </c>
      <c r="B33" s="3230" t="s">
        <v>147</v>
      </c>
      <c r="C33" s="3229">
        <v>27300</v>
      </c>
      <c r="D33" s="3229">
        <v>22980</v>
      </c>
      <c r="E33" s="3229">
        <v>24260</v>
      </c>
      <c r="F33" s="3229">
        <v>5860</v>
      </c>
      <c r="G33" s="3242">
        <v>16090</v>
      </c>
      <c r="L33" s="3236" t="s">
        <v>2977</v>
      </c>
      <c r="M33" s="3229" t="s">
        <v>2978</v>
      </c>
      <c r="N33" s="3229" t="s">
        <v>301</v>
      </c>
      <c r="O33" s="3229" t="s">
        <v>2979</v>
      </c>
      <c r="P33" s="3229" t="s">
        <v>2980</v>
      </c>
      <c r="Q33" s="3229" t="s">
        <v>2981</v>
      </c>
    </row>
    <row r="34" spans="1:17" ht="14.25" customHeight="1">
      <c r="A34" s="3229" t="s">
        <v>296</v>
      </c>
      <c r="B34" s="3230" t="s">
        <v>156</v>
      </c>
      <c r="C34" s="3229">
        <v>23090</v>
      </c>
      <c r="D34" s="3229">
        <v>23390</v>
      </c>
      <c r="E34" s="3229">
        <v>23510</v>
      </c>
      <c r="F34" s="3229">
        <v>6700</v>
      </c>
      <c r="G34" s="3242">
        <v>16370</v>
      </c>
      <c r="M34" s="3229" t="s">
        <v>2982</v>
      </c>
      <c r="N34" s="3229" t="s">
        <v>302</v>
      </c>
      <c r="O34" s="3229" t="s">
        <v>2983</v>
      </c>
      <c r="P34" s="3229" t="s">
        <v>2984</v>
      </c>
      <c r="Q34" s="3229" t="s">
        <v>2985</v>
      </c>
    </row>
    <row r="35" spans="1:17" ht="14.25" customHeight="1">
      <c r="A35" s="3229" t="s">
        <v>296</v>
      </c>
      <c r="B35" s="3230" t="s">
        <v>163</v>
      </c>
      <c r="C35" s="3229">
        <v>27270</v>
      </c>
      <c r="D35" s="3229">
        <v>24270</v>
      </c>
      <c r="E35" s="3229">
        <v>24950</v>
      </c>
      <c r="F35" s="3229">
        <v>6600</v>
      </c>
      <c r="G35" s="3242">
        <v>16990</v>
      </c>
      <c r="M35" s="3229" t="s">
        <v>2986</v>
      </c>
      <c r="N35" s="3229" t="s">
        <v>2987</v>
      </c>
      <c r="O35" s="3229" t="s">
        <v>2988</v>
      </c>
      <c r="P35" s="3229" t="s">
        <v>2989</v>
      </c>
      <c r="Q35" s="3229" t="s">
        <v>2990</v>
      </c>
    </row>
    <row r="36" spans="1:17" ht="14.25" customHeight="1">
      <c r="A36" s="3229" t="s">
        <v>296</v>
      </c>
      <c r="B36" s="3230" t="s">
        <v>169</v>
      </c>
      <c r="C36" s="3229">
        <v>23490</v>
      </c>
      <c r="D36" s="3229">
        <v>23020</v>
      </c>
      <c r="E36" s="3229">
        <v>25230</v>
      </c>
      <c r="F36" s="3229">
        <v>6780</v>
      </c>
      <c r="G36" s="3242">
        <v>16120</v>
      </c>
      <c r="M36" s="3229" t="s">
        <v>2991</v>
      </c>
      <c r="N36" s="3229" t="s">
        <v>2992</v>
      </c>
      <c r="O36" s="3229" t="s">
        <v>2993</v>
      </c>
      <c r="P36" s="3229" t="s">
        <v>2994</v>
      </c>
      <c r="Q36" s="3229" t="s">
        <v>2995</v>
      </c>
    </row>
    <row r="37" spans="1:17" ht="14.25" customHeight="1">
      <c r="A37" s="3229" t="s">
        <v>296</v>
      </c>
      <c r="B37" s="3230" t="s">
        <v>176</v>
      </c>
      <c r="C37" s="3229">
        <v>24380</v>
      </c>
      <c r="D37" s="3229">
        <v>22240</v>
      </c>
      <c r="E37" s="3229">
        <v>25980</v>
      </c>
      <c r="F37" s="3229">
        <v>8160</v>
      </c>
      <c r="G37" s="3242">
        <v>15570</v>
      </c>
      <c r="M37" s="3229" t="s">
        <v>2996</v>
      </c>
      <c r="N37" s="3229" t="s">
        <v>2997</v>
      </c>
      <c r="O37" s="3229" t="s">
        <v>2998</v>
      </c>
      <c r="P37" s="3229" t="s">
        <v>2999</v>
      </c>
      <c r="Q37" s="3229" t="s">
        <v>3000</v>
      </c>
    </row>
    <row r="38" spans="1:17" ht="14.25" customHeight="1">
      <c r="A38" s="3229" t="s">
        <v>296</v>
      </c>
      <c r="B38" s="3230" t="s">
        <v>186</v>
      </c>
      <c r="C38" s="3229">
        <v>23120</v>
      </c>
      <c r="D38" s="3229">
        <v>24630</v>
      </c>
      <c r="E38" s="3229">
        <v>25030</v>
      </c>
      <c r="F38" s="3229">
        <v>7710</v>
      </c>
      <c r="G38" s="3242">
        <v>17240</v>
      </c>
      <c r="M38" s="3229" t="s">
        <v>3001</v>
      </c>
      <c r="N38" s="3229" t="s">
        <v>3002</v>
      </c>
      <c r="O38" s="3229" t="s">
        <v>3003</v>
      </c>
      <c r="P38" s="3229" t="s">
        <v>3004</v>
      </c>
      <c r="Q38" s="3229" t="s">
        <v>3005</v>
      </c>
    </row>
    <row r="39" spans="1:17" ht="14.25" customHeight="1">
      <c r="A39" s="3229" t="s">
        <v>296</v>
      </c>
      <c r="B39" s="3230" t="s">
        <v>195</v>
      </c>
      <c r="C39" s="3229">
        <v>22330</v>
      </c>
      <c r="D39" s="3229">
        <v>21140</v>
      </c>
      <c r="E39" s="3229">
        <v>23970</v>
      </c>
      <c r="F39" s="3229">
        <v>7940</v>
      </c>
      <c r="G39" s="3242">
        <v>14790</v>
      </c>
      <c r="M39" s="3229" t="s">
        <v>3006</v>
      </c>
      <c r="N39" s="3229" t="s">
        <v>3007</v>
      </c>
      <c r="O39" s="3229" t="s">
        <v>3008</v>
      </c>
      <c r="P39" s="3229" t="s">
        <v>3009</v>
      </c>
      <c r="Q39" s="3229" t="s">
        <v>3010</v>
      </c>
    </row>
    <row r="40" spans="1:17" ht="14.25" customHeight="1">
      <c r="A40" s="3229" t="s">
        <v>296</v>
      </c>
      <c r="B40" s="3230" t="s">
        <v>202</v>
      </c>
      <c r="C40" s="3229">
        <v>24740</v>
      </c>
      <c r="D40" s="3229">
        <v>24690</v>
      </c>
      <c r="E40" s="3229">
        <v>22610</v>
      </c>
      <c r="F40" s="3229"/>
      <c r="G40" s="3242">
        <v>17280</v>
      </c>
      <c r="M40" s="3229" t="s">
        <v>3011</v>
      </c>
      <c r="N40" s="3229" t="s">
        <v>3012</v>
      </c>
      <c r="O40" s="3229" t="s">
        <v>3013</v>
      </c>
      <c r="P40" s="3229" t="s">
        <v>3014</v>
      </c>
      <c r="Q40" s="3229" t="s">
        <v>3015</v>
      </c>
    </row>
    <row r="41" spans="1:17" ht="14.25" customHeight="1" thickBot="1">
      <c r="A41" s="3229" t="s">
        <v>296</v>
      </c>
      <c r="B41" s="3230" t="s">
        <v>209</v>
      </c>
      <c r="C41" s="3229">
        <v>21220</v>
      </c>
      <c r="D41" s="3229">
        <v>21120</v>
      </c>
      <c r="E41" s="3229">
        <v>22590</v>
      </c>
      <c r="F41" s="3229"/>
      <c r="G41" s="3242">
        <v>14780</v>
      </c>
      <c r="M41" s="3236" t="s">
        <v>3016</v>
      </c>
      <c r="N41" s="3229" t="s">
        <v>3017</v>
      </c>
      <c r="O41" s="3229" t="s">
        <v>3018</v>
      </c>
      <c r="P41" s="3229" t="s">
        <v>3019</v>
      </c>
      <c r="Q41" s="3229" t="s">
        <v>3020</v>
      </c>
    </row>
    <row r="42" spans="1:17" ht="14.25" customHeight="1">
      <c r="A42" s="3229" t="s">
        <v>296</v>
      </c>
      <c r="B42" s="3230" t="s">
        <v>215</v>
      </c>
      <c r="C42" s="3229">
        <v>24800</v>
      </c>
      <c r="D42" s="3229">
        <v>22280</v>
      </c>
      <c r="E42" s="3229">
        <v>24350</v>
      </c>
      <c r="F42" s="3229"/>
      <c r="G42" s="3242">
        <v>15590</v>
      </c>
      <c r="N42" s="3229" t="s">
        <v>3021</v>
      </c>
      <c r="O42" s="3229" t="s">
        <v>3022</v>
      </c>
      <c r="P42" s="3229" t="s">
        <v>3023</v>
      </c>
      <c r="Q42" s="3229" t="s">
        <v>3024</v>
      </c>
    </row>
    <row r="43" spans="1:17" ht="14.25" customHeight="1">
      <c r="A43" s="3229" t="s">
        <v>3025</v>
      </c>
      <c r="B43" s="3230" t="s">
        <v>223</v>
      </c>
      <c r="C43" s="3229">
        <v>21210</v>
      </c>
      <c r="D43" s="3229">
        <v>21160</v>
      </c>
      <c r="E43" s="3229">
        <v>22650</v>
      </c>
      <c r="F43" s="3229"/>
      <c r="G43" s="3242">
        <v>14800</v>
      </c>
      <c r="N43" s="3229" t="s">
        <v>3026</v>
      </c>
      <c r="O43" s="3229" t="s">
        <v>3027</v>
      </c>
      <c r="P43" s="3229" t="s">
        <v>3028</v>
      </c>
      <c r="Q43" s="3229" t="s">
        <v>3029</v>
      </c>
    </row>
    <row r="44" spans="1:17" ht="14.25" customHeight="1" thickBot="1">
      <c r="A44" s="3229" t="s">
        <v>296</v>
      </c>
      <c r="B44" s="3230" t="s">
        <v>231</v>
      </c>
      <c r="C44" s="3229">
        <v>22370</v>
      </c>
      <c r="D44" s="3229">
        <v>23140</v>
      </c>
      <c r="E44" s="3229">
        <v>25090</v>
      </c>
      <c r="F44" s="3229"/>
      <c r="G44" s="3242">
        <v>16190</v>
      </c>
      <c r="N44" s="3229" t="s">
        <v>3030</v>
      </c>
      <c r="O44" s="3229" t="s">
        <v>3031</v>
      </c>
      <c r="P44" s="3236" t="s">
        <v>3032</v>
      </c>
      <c r="Q44" s="3229" t="s">
        <v>3033</v>
      </c>
    </row>
    <row r="45" spans="1:17" ht="14.25" customHeight="1" thickBot="1">
      <c r="A45" s="3229" t="s">
        <v>296</v>
      </c>
      <c r="B45" s="3230" t="s">
        <v>236</v>
      </c>
      <c r="C45" s="3229">
        <v>21240</v>
      </c>
      <c r="D45" s="3229">
        <v>27050</v>
      </c>
      <c r="E45" s="3229">
        <v>28000</v>
      </c>
      <c r="F45" s="3229"/>
      <c r="G45" s="3242">
        <v>18940</v>
      </c>
      <c r="N45" s="3229" t="s">
        <v>3034</v>
      </c>
      <c r="O45" s="3236" t="s">
        <v>3035</v>
      </c>
      <c r="Q45" s="3229" t="s">
        <v>3036</v>
      </c>
    </row>
    <row r="46" spans="1:17" ht="14.25" customHeight="1">
      <c r="A46" s="3229" t="s">
        <v>296</v>
      </c>
      <c r="B46" s="3230" t="s">
        <v>245</v>
      </c>
      <c r="C46" s="3229">
        <v>23240</v>
      </c>
      <c r="D46" s="3229">
        <v>23000</v>
      </c>
      <c r="E46" s="3229">
        <v>24980</v>
      </c>
      <c r="F46" s="3229"/>
      <c r="G46" s="3242">
        <v>16100</v>
      </c>
      <c r="N46" s="3229" t="s">
        <v>3037</v>
      </c>
      <c r="Q46" s="3229" t="s">
        <v>3038</v>
      </c>
    </row>
    <row r="47" spans="1:17" ht="14.25" customHeight="1">
      <c r="A47" s="3229" t="s">
        <v>296</v>
      </c>
      <c r="B47" s="3230" t="s">
        <v>252</v>
      </c>
      <c r="C47" s="3229">
        <v>27150</v>
      </c>
      <c r="D47" s="3229">
        <v>23310</v>
      </c>
      <c r="E47" s="3229">
        <v>25150</v>
      </c>
      <c r="F47" s="3229"/>
      <c r="G47" s="3242">
        <v>16310</v>
      </c>
      <c r="N47" s="3229" t="s">
        <v>3039</v>
      </c>
      <c r="Q47" s="3229" t="s">
        <v>3040</v>
      </c>
    </row>
    <row r="48" spans="1:17" ht="14.25" customHeight="1">
      <c r="A48" s="3229" t="s">
        <v>296</v>
      </c>
      <c r="B48" s="3230" t="s">
        <v>260</v>
      </c>
      <c r="C48" s="3229">
        <v>23100</v>
      </c>
      <c r="D48" s="3229">
        <v>21110</v>
      </c>
      <c r="E48" s="3229">
        <v>23080</v>
      </c>
      <c r="F48" s="3229"/>
      <c r="G48" s="3242">
        <v>14780</v>
      </c>
      <c r="N48" s="3229" t="s">
        <v>3041</v>
      </c>
      <c r="Q48" s="3229" t="s">
        <v>3042</v>
      </c>
    </row>
    <row r="49" spans="1:17" ht="14.25" customHeight="1">
      <c r="A49" s="3229" t="s">
        <v>296</v>
      </c>
      <c r="B49" s="3230" t="s">
        <v>267</v>
      </c>
      <c r="C49" s="3229">
        <v>23400</v>
      </c>
      <c r="D49" s="3229">
        <v>22920</v>
      </c>
      <c r="E49" s="3229">
        <v>24900</v>
      </c>
      <c r="F49" s="3229"/>
      <c r="G49" s="3242">
        <v>16040</v>
      </c>
      <c r="N49" s="3229" t="s">
        <v>3043</v>
      </c>
      <c r="Q49" s="3229" t="s">
        <v>3044</v>
      </c>
    </row>
    <row r="50" spans="1:17" ht="14.25" customHeight="1">
      <c r="A50" s="3229" t="s">
        <v>296</v>
      </c>
      <c r="B50" s="3230" t="s">
        <v>2921</v>
      </c>
      <c r="C50" s="3229">
        <v>21200</v>
      </c>
      <c r="D50" s="3229">
        <v>26540</v>
      </c>
      <c r="E50" s="3229">
        <v>23200</v>
      </c>
      <c r="F50" s="3229"/>
      <c r="G50" s="3242">
        <v>18580</v>
      </c>
      <c r="N50" s="3229" t="s">
        <v>3045</v>
      </c>
      <c r="Q50" s="3230" t="s">
        <v>3046</v>
      </c>
    </row>
    <row r="51" spans="1:17" ht="14.25" customHeight="1" thickBot="1">
      <c r="A51" s="3229" t="s">
        <v>296</v>
      </c>
      <c r="B51" s="3230" t="s">
        <v>2923</v>
      </c>
      <c r="C51" s="3229">
        <v>23000</v>
      </c>
      <c r="D51" s="3229">
        <v>23460</v>
      </c>
      <c r="E51" s="3229">
        <v>25290</v>
      </c>
      <c r="F51" s="3229"/>
      <c r="G51" s="3242">
        <v>16420</v>
      </c>
      <c r="N51" s="3229" t="s">
        <v>3047</v>
      </c>
      <c r="Q51" s="3236" t="s">
        <v>3048</v>
      </c>
    </row>
    <row r="52" spans="1:17" ht="14.25" customHeight="1">
      <c r="A52" s="3229" t="s">
        <v>296</v>
      </c>
      <c r="B52" s="3230" t="s">
        <v>2927</v>
      </c>
      <c r="C52" s="3229">
        <v>26660</v>
      </c>
      <c r="D52" s="3229">
        <v>22350</v>
      </c>
      <c r="E52" s="3229">
        <v>22920</v>
      </c>
      <c r="F52" s="3229"/>
      <c r="G52" s="3242">
        <v>15640</v>
      </c>
      <c r="N52" s="3229" t="s">
        <v>3049</v>
      </c>
    </row>
    <row r="53" spans="1:17" ht="14.25" customHeight="1">
      <c r="A53" s="3229" t="s">
        <v>296</v>
      </c>
      <c r="B53" s="3230" t="s">
        <v>2932</v>
      </c>
      <c r="C53" s="3229">
        <v>23580</v>
      </c>
      <c r="D53" s="3229"/>
      <c r="E53" s="3229">
        <v>24280</v>
      </c>
      <c r="F53" s="3229"/>
      <c r="G53" s="3242"/>
      <c r="N53" s="3229" t="s">
        <v>3050</v>
      </c>
    </row>
    <row r="54" spans="1:17" ht="14.25" customHeight="1" thickBot="1">
      <c r="A54" s="3243" t="s">
        <v>296</v>
      </c>
      <c r="B54" s="3235" t="s">
        <v>2935</v>
      </c>
      <c r="C54" s="3236">
        <v>22460</v>
      </c>
      <c r="D54" s="3236"/>
      <c r="E54" s="3236"/>
      <c r="F54" s="3236"/>
      <c r="G54" s="3244"/>
      <c r="N54" s="3229" t="s">
        <v>3051</v>
      </c>
    </row>
    <row r="55" spans="1:17" ht="14.25" customHeight="1">
      <c r="A55" s="3234" t="s">
        <v>110</v>
      </c>
      <c r="B55" s="3225" t="s">
        <v>3052</v>
      </c>
      <c r="C55" s="3229">
        <v>21970</v>
      </c>
      <c r="D55" s="3229">
        <v>20370</v>
      </c>
      <c r="E55" s="3229">
        <v>20180</v>
      </c>
      <c r="F55" s="3229">
        <v>5730</v>
      </c>
      <c r="G55" s="3229">
        <v>13820</v>
      </c>
      <c r="N55" s="3229" t="s">
        <v>3053</v>
      </c>
    </row>
    <row r="56" spans="1:17" ht="14.25" customHeight="1">
      <c r="A56" s="3229" t="s">
        <v>110</v>
      </c>
      <c r="B56" s="3229" t="s">
        <v>130</v>
      </c>
      <c r="C56" s="3229">
        <v>20470</v>
      </c>
      <c r="D56" s="3229">
        <v>20700</v>
      </c>
      <c r="E56" s="3229">
        <v>20380</v>
      </c>
      <c r="F56" s="3229">
        <v>4760</v>
      </c>
      <c r="G56" s="3229">
        <v>14050</v>
      </c>
      <c r="N56" s="3229" t="s">
        <v>3054</v>
      </c>
    </row>
    <row r="57" spans="1:17" ht="14.25" customHeight="1">
      <c r="A57" s="3229" t="s">
        <v>110</v>
      </c>
      <c r="B57" s="3229" t="s">
        <v>139</v>
      </c>
      <c r="C57" s="3229">
        <v>20790</v>
      </c>
      <c r="D57" s="3229">
        <v>21370</v>
      </c>
      <c r="E57" s="3229">
        <v>20890</v>
      </c>
      <c r="F57" s="3229">
        <v>4910</v>
      </c>
      <c r="G57" s="3229">
        <v>14510</v>
      </c>
      <c r="N57" s="3229" t="s">
        <v>3055</v>
      </c>
    </row>
    <row r="58" spans="1:17" ht="14.25" customHeight="1">
      <c r="A58" s="3229" t="s">
        <v>110</v>
      </c>
      <c r="B58" s="3229" t="s">
        <v>148</v>
      </c>
      <c r="C58" s="3229">
        <v>21460</v>
      </c>
      <c r="D58" s="3229">
        <v>20920</v>
      </c>
      <c r="E58" s="3229">
        <v>23410</v>
      </c>
      <c r="F58" s="3229">
        <v>5100</v>
      </c>
      <c r="G58" s="3229">
        <v>14200</v>
      </c>
      <c r="N58" s="3229" t="s">
        <v>3056</v>
      </c>
    </row>
    <row r="59" spans="1:17" ht="14.25" customHeight="1">
      <c r="A59" s="3229" t="s">
        <v>110</v>
      </c>
      <c r="B59" s="3229" t="s">
        <v>157</v>
      </c>
      <c r="C59" s="3229">
        <v>21000</v>
      </c>
      <c r="D59" s="3229">
        <v>21550</v>
      </c>
      <c r="E59" s="3229">
        <v>21150</v>
      </c>
      <c r="F59" s="3229">
        <v>5250</v>
      </c>
      <c r="G59" s="3229">
        <v>14630</v>
      </c>
      <c r="N59" s="3229" t="s">
        <v>3057</v>
      </c>
    </row>
    <row r="60" spans="1:17" ht="14.25" customHeight="1">
      <c r="A60" s="3229" t="s">
        <v>110</v>
      </c>
      <c r="B60" s="3229" t="s">
        <v>164</v>
      </c>
      <c r="C60" s="3229">
        <v>21640</v>
      </c>
      <c r="D60" s="3229">
        <v>21260</v>
      </c>
      <c r="E60" s="3229">
        <v>24040</v>
      </c>
      <c r="F60" s="3229">
        <v>4470</v>
      </c>
      <c r="G60" s="3229">
        <v>14430</v>
      </c>
      <c r="N60" s="3229" t="s">
        <v>3058</v>
      </c>
    </row>
    <row r="61" spans="1:17" ht="14.25" customHeight="1">
      <c r="A61" s="3229" t="s">
        <v>110</v>
      </c>
      <c r="B61" s="3229" t="s">
        <v>170</v>
      </c>
      <c r="C61" s="3229">
        <v>21330</v>
      </c>
      <c r="D61" s="3229">
        <v>18640</v>
      </c>
      <c r="E61" s="3229">
        <v>21190</v>
      </c>
      <c r="F61" s="3229">
        <v>4180</v>
      </c>
      <c r="G61" s="3229">
        <v>12650</v>
      </c>
      <c r="N61" s="3229" t="s">
        <v>3059</v>
      </c>
    </row>
    <row r="62" spans="1:17" ht="14.25" customHeight="1">
      <c r="A62" s="3229" t="s">
        <v>110</v>
      </c>
      <c r="B62" s="3229" t="s">
        <v>177</v>
      </c>
      <c r="C62" s="3229">
        <v>18710</v>
      </c>
      <c r="D62" s="3229">
        <v>19400</v>
      </c>
      <c r="E62" s="3229">
        <v>23750</v>
      </c>
      <c r="F62" s="3229">
        <v>4860</v>
      </c>
      <c r="G62" s="3229">
        <v>13170</v>
      </c>
      <c r="N62" s="3229" t="s">
        <v>3060</v>
      </c>
    </row>
    <row r="63" spans="1:17" ht="14.25" customHeight="1">
      <c r="A63" s="3229" t="s">
        <v>110</v>
      </c>
      <c r="B63" s="3229" t="s">
        <v>187</v>
      </c>
      <c r="C63" s="3229">
        <v>19480</v>
      </c>
      <c r="D63" s="3229">
        <v>16830</v>
      </c>
      <c r="E63" s="3229">
        <v>21590</v>
      </c>
      <c r="F63" s="3229">
        <v>4560</v>
      </c>
      <c r="G63" s="3229">
        <v>11420</v>
      </c>
      <c r="N63" s="3229" t="s">
        <v>3061</v>
      </c>
    </row>
    <row r="64" spans="1:17" ht="14.25" customHeight="1" thickBot="1">
      <c r="A64" s="3229" t="s">
        <v>110</v>
      </c>
      <c r="B64" s="3229" t="s">
        <v>196</v>
      </c>
      <c r="C64" s="3229">
        <v>16920</v>
      </c>
      <c r="D64" s="3229">
        <v>19190</v>
      </c>
      <c r="E64" s="3229">
        <v>22200</v>
      </c>
      <c r="F64" s="3229">
        <v>4390</v>
      </c>
      <c r="G64" s="3229">
        <v>13030</v>
      </c>
      <c r="N64" s="3236" t="s">
        <v>3062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2933</v>
      </c>
      <c r="C78" s="3229">
        <v>19820</v>
      </c>
      <c r="D78" s="3229">
        <v>19780</v>
      </c>
      <c r="E78" s="3229">
        <v>18560</v>
      </c>
      <c r="F78" s="3229"/>
      <c r="G78" s="3229">
        <v>13430</v>
      </c>
    </row>
    <row r="79" spans="1:7" s="3218" customFormat="1" ht="14.25" customHeight="1">
      <c r="A79" s="3229" t="s">
        <v>110</v>
      </c>
      <c r="B79" s="3229" t="s">
        <v>2936</v>
      </c>
      <c r="C79" s="3229">
        <v>21660</v>
      </c>
      <c r="D79" s="3229">
        <v>18000</v>
      </c>
      <c r="E79" s="3229">
        <v>22570</v>
      </c>
      <c r="F79" s="3229"/>
      <c r="G79" s="3229">
        <v>12220</v>
      </c>
    </row>
    <row r="80" spans="1:7" s="3218" customFormat="1" ht="14.25" customHeight="1">
      <c r="A80" s="3229" t="s">
        <v>110</v>
      </c>
      <c r="B80" s="3229" t="s">
        <v>2940</v>
      </c>
      <c r="C80" s="3229">
        <v>19850</v>
      </c>
      <c r="D80" s="3229"/>
      <c r="E80" s="3229">
        <v>21700</v>
      </c>
      <c r="F80" s="3229"/>
      <c r="G80" s="3229"/>
    </row>
    <row r="81" spans="1:7" s="3218" customFormat="1" ht="14.25" customHeight="1">
      <c r="A81" s="3229" t="s">
        <v>110</v>
      </c>
      <c r="B81" s="3229" t="s">
        <v>2945</v>
      </c>
      <c r="C81" s="3229">
        <v>18080</v>
      </c>
      <c r="D81" s="3229"/>
      <c r="E81" s="3229">
        <v>20900</v>
      </c>
      <c r="F81" s="3229"/>
      <c r="G81" s="3229"/>
    </row>
    <row r="82" spans="1:7" s="3218" customFormat="1" ht="14.25" customHeight="1">
      <c r="A82" s="3229" t="s">
        <v>110</v>
      </c>
      <c r="B82" s="3229" t="s">
        <v>2952</v>
      </c>
      <c r="C82" s="3229"/>
      <c r="D82" s="3229"/>
      <c r="E82" s="3229">
        <v>20840</v>
      </c>
      <c r="F82" s="3229"/>
      <c r="G82" s="3229"/>
    </row>
    <row r="83" spans="1:7" s="3218" customFormat="1" ht="14.25" customHeight="1">
      <c r="A83" s="3229" t="s">
        <v>110</v>
      </c>
      <c r="B83" s="3229" t="s">
        <v>3063</v>
      </c>
      <c r="C83" s="3229"/>
      <c r="D83" s="3229"/>
      <c r="E83" s="3229"/>
      <c r="F83" s="3229">
        <v>4770</v>
      </c>
      <c r="G83" s="3229"/>
    </row>
    <row r="84" spans="1:7" s="3218" customFormat="1" ht="14.25" customHeight="1">
      <c r="A84" s="3229" t="s">
        <v>110</v>
      </c>
      <c r="B84" s="3229" t="s">
        <v>3064</v>
      </c>
      <c r="C84" s="3229"/>
      <c r="D84" s="3229"/>
      <c r="E84" s="3229"/>
      <c r="F84" s="3229">
        <v>4600</v>
      </c>
      <c r="G84" s="3229"/>
    </row>
    <row r="85" spans="1:7" s="3218" customFormat="1" ht="14.25" customHeight="1">
      <c r="A85" s="3229" t="s">
        <v>110</v>
      </c>
      <c r="B85" s="3229" t="s">
        <v>3065</v>
      </c>
      <c r="C85" s="3229"/>
      <c r="D85" s="3229"/>
      <c r="E85" s="3229"/>
      <c r="F85" s="3229">
        <v>4680</v>
      </c>
      <c r="G85" s="3229"/>
    </row>
    <row r="86" spans="1:7" s="3218" customFormat="1" ht="14.25" customHeight="1" thickBot="1">
      <c r="A86" s="3237" t="s">
        <v>110</v>
      </c>
      <c r="B86" s="3239" t="s">
        <v>3066</v>
      </c>
      <c r="C86" s="3240">
        <v>16610</v>
      </c>
      <c r="D86" s="3240">
        <v>16540</v>
      </c>
      <c r="E86" s="3240">
        <v>18850</v>
      </c>
      <c r="F86" s="3240"/>
      <c r="G86" s="3240">
        <v>11220</v>
      </c>
    </row>
    <row r="87" spans="1:7" s="3218" customFormat="1" ht="14.25" customHeight="1">
      <c r="A87" s="3234" t="s">
        <v>303</v>
      </c>
      <c r="B87" s="3225" t="s">
        <v>3067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2946</v>
      </c>
      <c r="C113" s="3229">
        <v>15520</v>
      </c>
      <c r="D113" s="3229">
        <v>15450</v>
      </c>
      <c r="E113" s="3229"/>
      <c r="F113" s="3229"/>
      <c r="G113" s="3242">
        <v>10210</v>
      </c>
    </row>
    <row r="114" spans="1:7" s="3218" customFormat="1" ht="14.25" customHeight="1">
      <c r="A114" s="3229" t="s">
        <v>303</v>
      </c>
      <c r="B114" s="3229" t="s">
        <v>2953</v>
      </c>
      <c r="C114" s="3229">
        <v>13110</v>
      </c>
      <c r="D114" s="3229">
        <v>13050</v>
      </c>
      <c r="E114" s="3229"/>
      <c r="F114" s="3229"/>
      <c r="G114" s="3242">
        <v>8620</v>
      </c>
    </row>
    <row r="115" spans="1:7" s="3218" customFormat="1" ht="14.25" customHeight="1">
      <c r="A115" s="3229" t="s">
        <v>303</v>
      </c>
      <c r="B115" s="3229" t="s">
        <v>2959</v>
      </c>
      <c r="C115" s="3229">
        <v>12460</v>
      </c>
      <c r="D115" s="3229">
        <v>12390</v>
      </c>
      <c r="E115" s="3229"/>
      <c r="F115" s="3229"/>
      <c r="G115" s="3242">
        <v>8190</v>
      </c>
    </row>
    <row r="116" spans="1:7" s="3218" customFormat="1" ht="14.25" customHeight="1">
      <c r="A116" s="3229" t="s">
        <v>303</v>
      </c>
      <c r="B116" s="3229" t="s">
        <v>2966</v>
      </c>
      <c r="C116" s="3229">
        <v>13580</v>
      </c>
      <c r="D116" s="3229">
        <v>13520</v>
      </c>
      <c r="E116" s="3229"/>
      <c r="F116" s="3229"/>
      <c r="G116" s="3242">
        <v>8930</v>
      </c>
    </row>
    <row r="117" spans="1:7" s="3218" customFormat="1" ht="14.25" customHeight="1">
      <c r="A117" s="3229" t="s">
        <v>303</v>
      </c>
      <c r="B117" s="3229" t="s">
        <v>2973</v>
      </c>
      <c r="C117" s="3229">
        <v>17120</v>
      </c>
      <c r="D117" s="3229">
        <v>17040</v>
      </c>
      <c r="E117" s="3229"/>
      <c r="F117" s="3229"/>
      <c r="G117" s="3242">
        <v>11260</v>
      </c>
    </row>
    <row r="118" spans="1:7" s="3218" customFormat="1" ht="14.25" customHeight="1">
      <c r="A118" s="3229" t="s">
        <v>303</v>
      </c>
      <c r="B118" s="3229" t="s">
        <v>2978</v>
      </c>
      <c r="C118" s="3229">
        <v>14860</v>
      </c>
      <c r="D118" s="3229">
        <v>14790</v>
      </c>
      <c r="E118" s="3229"/>
      <c r="F118" s="3229"/>
      <c r="G118" s="3242">
        <v>9780</v>
      </c>
    </row>
    <row r="119" spans="1:7" s="3218" customFormat="1" ht="14.25" customHeight="1">
      <c r="A119" s="3229" t="s">
        <v>303</v>
      </c>
      <c r="B119" s="3229" t="s">
        <v>2982</v>
      </c>
      <c r="C119" s="3229">
        <v>16470</v>
      </c>
      <c r="D119" s="3229">
        <v>16400</v>
      </c>
      <c r="E119" s="3229"/>
      <c r="F119" s="3229"/>
      <c r="G119" s="3242">
        <v>10840</v>
      </c>
    </row>
    <row r="120" spans="1:7" s="3218" customFormat="1" ht="14.25" customHeight="1">
      <c r="A120" s="3229" t="s">
        <v>303</v>
      </c>
      <c r="B120" s="3229" t="s">
        <v>3068</v>
      </c>
      <c r="C120" s="3229"/>
      <c r="D120" s="3229"/>
      <c r="E120" s="3229"/>
      <c r="F120" s="3229">
        <v>4160</v>
      </c>
      <c r="G120" s="3242"/>
    </row>
    <row r="121" spans="1:7" s="3218" customFormat="1" ht="14.25" customHeight="1">
      <c r="A121" s="3229" t="s">
        <v>303</v>
      </c>
      <c r="B121" s="3229" t="s">
        <v>3069</v>
      </c>
      <c r="C121" s="3229"/>
      <c r="D121" s="3229"/>
      <c r="E121" s="3229"/>
      <c r="F121" s="3229">
        <v>3880</v>
      </c>
      <c r="G121" s="3242"/>
    </row>
    <row r="122" spans="1:7" s="3218" customFormat="1" ht="14.25" customHeight="1">
      <c r="A122" s="3229" t="s">
        <v>303</v>
      </c>
      <c r="B122" s="3229" t="s">
        <v>3070</v>
      </c>
      <c r="C122" s="3229">
        <v>13750</v>
      </c>
      <c r="D122" s="3229">
        <v>13680</v>
      </c>
      <c r="E122" s="3229">
        <v>16460</v>
      </c>
      <c r="F122" s="3229">
        <v>2880</v>
      </c>
      <c r="G122" s="3242">
        <v>9040</v>
      </c>
    </row>
    <row r="123" spans="1:7" s="3218" customFormat="1" ht="14.25" customHeight="1">
      <c r="A123" s="3229" t="s">
        <v>303</v>
      </c>
      <c r="B123" s="3229" t="s">
        <v>3001</v>
      </c>
      <c r="C123" s="3229">
        <v>13590</v>
      </c>
      <c r="D123" s="3229">
        <v>13520</v>
      </c>
      <c r="E123" s="3229">
        <v>16290</v>
      </c>
      <c r="F123" s="3229">
        <v>2790</v>
      </c>
      <c r="G123" s="3242">
        <v>8930</v>
      </c>
    </row>
    <row r="124" spans="1:7" s="3218" customFormat="1" ht="14.25" customHeight="1">
      <c r="A124" s="3229" t="s">
        <v>303</v>
      </c>
      <c r="B124" s="3229" t="s">
        <v>3006</v>
      </c>
      <c r="C124" s="3229">
        <v>13400</v>
      </c>
      <c r="D124" s="3229">
        <v>13320</v>
      </c>
      <c r="E124" s="3229">
        <v>16100</v>
      </c>
      <c r="F124" s="3229">
        <v>2320</v>
      </c>
      <c r="G124" s="3242">
        <v>8800</v>
      </c>
    </row>
    <row r="125" spans="1:7" s="3218" customFormat="1" ht="14.25" customHeight="1">
      <c r="A125" s="3229" t="s">
        <v>303</v>
      </c>
      <c r="B125" s="3229" t="s">
        <v>3011</v>
      </c>
      <c r="C125" s="3229">
        <v>12860</v>
      </c>
      <c r="D125" s="3229">
        <v>12790</v>
      </c>
      <c r="E125" s="3229">
        <v>15370</v>
      </c>
      <c r="F125" s="3229">
        <v>2280</v>
      </c>
      <c r="G125" s="3242">
        <v>8450</v>
      </c>
    </row>
    <row r="126" spans="1:7" s="3218" customFormat="1" ht="14.25" customHeight="1" thickBot="1">
      <c r="A126" s="3243" t="s">
        <v>303</v>
      </c>
      <c r="B126" s="3236" t="s">
        <v>3016</v>
      </c>
      <c r="C126" s="3236">
        <v>12960</v>
      </c>
      <c r="D126" s="3236">
        <v>12890</v>
      </c>
      <c r="E126" s="3236">
        <v>15530</v>
      </c>
      <c r="F126" s="3236">
        <v>2910</v>
      </c>
      <c r="G126" s="3244">
        <v>8520</v>
      </c>
    </row>
    <row r="127" spans="1:7" s="3218" customFormat="1" ht="14.25" customHeight="1">
      <c r="A127" s="3234" t="s">
        <v>29</v>
      </c>
      <c r="B127" s="3225" t="s">
        <v>3071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3072</v>
      </c>
      <c r="C148" s="3229">
        <v>10370</v>
      </c>
      <c r="D148" s="3229">
        <v>10310</v>
      </c>
      <c r="E148" s="3229">
        <v>12970</v>
      </c>
      <c r="F148" s="3229"/>
      <c r="G148" s="3229">
        <v>6630</v>
      </c>
    </row>
    <row r="149" spans="1:7" s="3218" customFormat="1" ht="14.25" customHeight="1">
      <c r="A149" s="3229" t="s">
        <v>29</v>
      </c>
      <c r="B149" s="3229" t="s">
        <v>3073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2947</v>
      </c>
      <c r="C153" s="3229">
        <v>10880</v>
      </c>
      <c r="D153" s="3229">
        <v>10820</v>
      </c>
      <c r="E153" s="3229">
        <v>13660</v>
      </c>
      <c r="F153" s="3229">
        <v>2260</v>
      </c>
      <c r="G153" s="3229">
        <v>6970</v>
      </c>
    </row>
    <row r="154" spans="1:7" s="3218" customFormat="1" ht="14.25" customHeight="1">
      <c r="A154" s="3229" t="s">
        <v>29</v>
      </c>
      <c r="B154" s="3229" t="s">
        <v>3074</v>
      </c>
      <c r="C154" s="3229">
        <v>11220</v>
      </c>
      <c r="D154" s="3229">
        <v>11160</v>
      </c>
      <c r="E154" s="3229">
        <v>14130</v>
      </c>
      <c r="F154" s="3229">
        <v>2230</v>
      </c>
      <c r="G154" s="3229">
        <v>7180</v>
      </c>
    </row>
    <row r="155" spans="1:7" s="3218" customFormat="1" ht="14.25" customHeight="1">
      <c r="A155" s="3229" t="s">
        <v>29</v>
      </c>
      <c r="B155" s="3229" t="s">
        <v>2960</v>
      </c>
      <c r="C155" s="3229">
        <v>10430</v>
      </c>
      <c r="D155" s="3229">
        <v>10380</v>
      </c>
      <c r="E155" s="3229">
        <v>13140</v>
      </c>
      <c r="F155" s="3229">
        <v>2080</v>
      </c>
      <c r="G155" s="3229">
        <v>6650</v>
      </c>
    </row>
    <row r="156" spans="1:7" s="3218" customFormat="1" ht="14.25" customHeight="1">
      <c r="A156" s="3229" t="s">
        <v>29</v>
      </c>
      <c r="B156" s="3229" t="s">
        <v>3075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3076</v>
      </c>
      <c r="C160" s="3229">
        <v>11180</v>
      </c>
      <c r="D160" s="3229">
        <v>11140</v>
      </c>
      <c r="E160" s="3229">
        <v>14050</v>
      </c>
      <c r="F160" s="3229">
        <v>2270</v>
      </c>
      <c r="G160" s="3229">
        <v>7170</v>
      </c>
    </row>
    <row r="161" spans="1:7" s="3218" customFormat="1" ht="14.25" customHeight="1">
      <c r="A161" s="3229" t="s">
        <v>29</v>
      </c>
      <c r="B161" s="3229" t="s">
        <v>2992</v>
      </c>
      <c r="C161" s="3229">
        <v>11160</v>
      </c>
      <c r="D161" s="3229">
        <v>11120</v>
      </c>
      <c r="E161" s="3229">
        <v>14020</v>
      </c>
      <c r="F161" s="3229">
        <v>2150</v>
      </c>
      <c r="G161" s="3229">
        <v>7160</v>
      </c>
    </row>
    <row r="162" spans="1:7" s="3218" customFormat="1" ht="14.25" customHeight="1">
      <c r="A162" s="3229" t="s">
        <v>29</v>
      </c>
      <c r="B162" s="3229" t="s">
        <v>2997</v>
      </c>
      <c r="C162" s="3229">
        <v>9620</v>
      </c>
      <c r="D162" s="3229">
        <v>9570</v>
      </c>
      <c r="E162" s="3229">
        <v>12320</v>
      </c>
      <c r="F162" s="3229">
        <v>2010</v>
      </c>
      <c r="G162" s="3229">
        <v>6160</v>
      </c>
    </row>
    <row r="163" spans="1:7" s="3218" customFormat="1" ht="14.25" customHeight="1">
      <c r="A163" s="3229" t="s">
        <v>29</v>
      </c>
      <c r="B163" s="3229" t="s">
        <v>3002</v>
      </c>
      <c r="C163" s="3229">
        <v>9320</v>
      </c>
      <c r="D163" s="3229">
        <v>9270</v>
      </c>
      <c r="E163" s="3229">
        <v>11790</v>
      </c>
      <c r="F163" s="3229">
        <v>1920</v>
      </c>
      <c r="G163" s="3229">
        <v>5960</v>
      </c>
    </row>
    <row r="164" spans="1:7" s="3218" customFormat="1" ht="14.25" customHeight="1">
      <c r="A164" s="3229" t="s">
        <v>29</v>
      </c>
      <c r="B164" s="3229" t="s">
        <v>3007</v>
      </c>
      <c r="C164" s="3229"/>
      <c r="D164" s="3229"/>
      <c r="E164" s="3229"/>
      <c r="F164" s="3229">
        <v>1980</v>
      </c>
      <c r="G164" s="3229"/>
    </row>
    <row r="165" spans="1:7" s="3218" customFormat="1" ht="14.25" customHeight="1">
      <c r="A165" s="3229" t="s">
        <v>29</v>
      </c>
      <c r="B165" s="3229" t="s">
        <v>3077</v>
      </c>
      <c r="C165" s="3229">
        <v>11060</v>
      </c>
      <c r="D165" s="3229">
        <v>11030</v>
      </c>
      <c r="E165" s="3229">
        <v>13850</v>
      </c>
      <c r="F165" s="3229">
        <v>2170</v>
      </c>
      <c r="G165" s="3229">
        <v>7090</v>
      </c>
    </row>
    <row r="166" spans="1:7" s="3218" customFormat="1" ht="14.25" customHeight="1">
      <c r="A166" s="3229" t="s">
        <v>29</v>
      </c>
      <c r="B166" s="3229" t="s">
        <v>3017</v>
      </c>
      <c r="C166" s="3229">
        <v>11050</v>
      </c>
      <c r="D166" s="3229">
        <v>11010</v>
      </c>
      <c r="E166" s="3229">
        <v>13920</v>
      </c>
      <c r="F166" s="3229">
        <v>2140</v>
      </c>
      <c r="G166" s="3229">
        <v>7080</v>
      </c>
    </row>
    <row r="167" spans="1:7" s="3218" customFormat="1" ht="14.25" customHeight="1">
      <c r="A167" s="3229" t="s">
        <v>29</v>
      </c>
      <c r="B167" s="3229" t="s">
        <v>3021</v>
      </c>
      <c r="C167" s="3229">
        <v>10930</v>
      </c>
      <c r="D167" s="3229">
        <v>10890</v>
      </c>
      <c r="E167" s="3229">
        <v>13790</v>
      </c>
      <c r="F167" s="3229">
        <v>2010</v>
      </c>
      <c r="G167" s="3229">
        <v>7000</v>
      </c>
    </row>
    <row r="168" spans="1:7" s="3218" customFormat="1" ht="14.25" customHeight="1">
      <c r="A168" s="3229" t="s">
        <v>29</v>
      </c>
      <c r="B168" s="3229" t="s">
        <v>3026</v>
      </c>
      <c r="C168" s="3229">
        <v>9420</v>
      </c>
      <c r="D168" s="3229">
        <v>9380</v>
      </c>
      <c r="E168" s="3229">
        <v>11970</v>
      </c>
      <c r="F168" s="3229"/>
      <c r="G168" s="3229">
        <v>6040</v>
      </c>
    </row>
    <row r="169" spans="1:7" s="3218" customFormat="1" ht="14.25" customHeight="1">
      <c r="A169" s="3229" t="s">
        <v>29</v>
      </c>
      <c r="B169" s="3229" t="s">
        <v>3078</v>
      </c>
      <c r="C169" s="3229"/>
      <c r="D169" s="3229"/>
      <c r="E169" s="3229"/>
      <c r="F169" s="3229">
        <v>2880</v>
      </c>
      <c r="G169" s="3229"/>
    </row>
    <row r="170" spans="1:7" s="3218" customFormat="1" ht="14.25" customHeight="1">
      <c r="A170" s="3229" t="s">
        <v>29</v>
      </c>
      <c r="B170" s="3229" t="s">
        <v>3034</v>
      </c>
      <c r="C170" s="3229"/>
      <c r="D170" s="3229"/>
      <c r="E170" s="3229"/>
      <c r="F170" s="3229">
        <v>2880</v>
      </c>
      <c r="G170" s="3229"/>
    </row>
    <row r="171" spans="1:7" s="3218" customFormat="1" ht="14.25" customHeight="1">
      <c r="A171" s="3229" t="s">
        <v>29</v>
      </c>
      <c r="B171" s="3229" t="s">
        <v>3037</v>
      </c>
      <c r="C171" s="3229"/>
      <c r="D171" s="3229"/>
      <c r="E171" s="3229"/>
      <c r="F171" s="3229">
        <v>2880</v>
      </c>
      <c r="G171" s="3229"/>
    </row>
    <row r="172" spans="1:7" s="3218" customFormat="1" ht="14.25" customHeight="1">
      <c r="A172" s="3229" t="s">
        <v>29</v>
      </c>
      <c r="B172" s="3229" t="s">
        <v>3039</v>
      </c>
      <c r="C172" s="3229"/>
      <c r="D172" s="3229"/>
      <c r="E172" s="3229"/>
      <c r="F172" s="3229">
        <v>2880</v>
      </c>
      <c r="G172" s="3229"/>
    </row>
    <row r="173" spans="1:7" s="3218" customFormat="1" ht="14.25" customHeight="1">
      <c r="A173" s="3229" t="s">
        <v>29</v>
      </c>
      <c r="B173" s="3229" t="s">
        <v>3041</v>
      </c>
      <c r="C173" s="3229"/>
      <c r="D173" s="3229"/>
      <c r="E173" s="3229"/>
      <c r="F173" s="3229">
        <v>2150</v>
      </c>
      <c r="G173" s="3229"/>
    </row>
    <row r="174" spans="1:7" s="3218" customFormat="1" ht="14.25" customHeight="1">
      <c r="A174" s="3229" t="s">
        <v>29</v>
      </c>
      <c r="B174" s="3229" t="s">
        <v>3043</v>
      </c>
      <c r="C174" s="3229"/>
      <c r="D174" s="3229"/>
      <c r="E174" s="3229"/>
      <c r="F174" s="3229">
        <v>2030</v>
      </c>
      <c r="G174" s="3229"/>
    </row>
    <row r="175" spans="1:7" s="3218" customFormat="1" ht="14.25" customHeight="1">
      <c r="A175" s="3229" t="s">
        <v>29</v>
      </c>
      <c r="B175" s="3229" t="s">
        <v>3045</v>
      </c>
      <c r="C175" s="3229"/>
      <c r="D175" s="3229"/>
      <c r="E175" s="3229"/>
      <c r="F175" s="3229">
        <v>2780</v>
      </c>
      <c r="G175" s="3229"/>
    </row>
    <row r="176" spans="1:7" s="3218" customFormat="1" ht="14.25" customHeight="1">
      <c r="A176" s="3229" t="s">
        <v>29</v>
      </c>
      <c r="B176" s="3229" t="s">
        <v>3047</v>
      </c>
      <c r="C176" s="3229"/>
      <c r="D176" s="3229"/>
      <c r="E176" s="3229"/>
      <c r="F176" s="3229">
        <v>2780</v>
      </c>
      <c r="G176" s="3229"/>
    </row>
    <row r="177" spans="1:7" s="3218" customFormat="1" ht="14.25" customHeight="1">
      <c r="A177" s="3229" t="s">
        <v>29</v>
      </c>
      <c r="B177" s="3229" t="s">
        <v>3079</v>
      </c>
      <c r="C177" s="3229"/>
      <c r="D177" s="3229"/>
      <c r="E177" s="3229"/>
      <c r="F177" s="3229">
        <v>2780</v>
      </c>
      <c r="G177" s="3229"/>
    </row>
    <row r="178" spans="1:7" s="3218" customFormat="1" ht="14.25" customHeight="1">
      <c r="A178" s="3229" t="s">
        <v>29</v>
      </c>
      <c r="B178" s="3229" t="s">
        <v>3080</v>
      </c>
      <c r="C178" s="3229"/>
      <c r="D178" s="3229"/>
      <c r="E178" s="3229"/>
      <c r="F178" s="3229">
        <v>2060</v>
      </c>
      <c r="G178" s="3229"/>
    </row>
    <row r="179" spans="1:7" s="3218" customFormat="1" ht="14.25" customHeight="1">
      <c r="A179" s="3229" t="s">
        <v>29</v>
      </c>
      <c r="B179" s="3229" t="s">
        <v>3081</v>
      </c>
      <c r="C179" s="3229"/>
      <c r="D179" s="3229"/>
      <c r="E179" s="3229"/>
      <c r="F179" s="3229">
        <v>2120</v>
      </c>
      <c r="G179" s="3229"/>
    </row>
    <row r="180" spans="1:7" s="3218" customFormat="1" ht="14.25" customHeight="1">
      <c r="A180" s="3229" t="s">
        <v>29</v>
      </c>
      <c r="B180" s="3229" t="s">
        <v>3053</v>
      </c>
      <c r="C180" s="3229"/>
      <c r="D180" s="3229"/>
      <c r="E180" s="3229"/>
      <c r="F180" s="3229">
        <v>2340</v>
      </c>
      <c r="G180" s="3229"/>
    </row>
    <row r="181" spans="1:7" s="3218" customFormat="1" ht="14.25" customHeight="1">
      <c r="A181" s="3229" t="s">
        <v>29</v>
      </c>
      <c r="B181" s="3229" t="s">
        <v>3054</v>
      </c>
      <c r="C181" s="3229"/>
      <c r="D181" s="3229"/>
      <c r="E181" s="3229"/>
      <c r="F181" s="3229">
        <v>2340</v>
      </c>
      <c r="G181" s="3229"/>
    </row>
    <row r="182" spans="1:7" s="3218" customFormat="1" ht="14.25" customHeight="1">
      <c r="A182" s="3229" t="s">
        <v>29</v>
      </c>
      <c r="B182" s="3229" t="s">
        <v>3055</v>
      </c>
      <c r="C182" s="3229"/>
      <c r="D182" s="3229"/>
      <c r="E182" s="3229"/>
      <c r="F182" s="3229">
        <v>2340</v>
      </c>
      <c r="G182" s="3229"/>
    </row>
    <row r="183" spans="1:7" s="3218" customFormat="1" ht="14.25" customHeight="1">
      <c r="A183" s="3229" t="s">
        <v>29</v>
      </c>
      <c r="B183" s="3229" t="s">
        <v>3056</v>
      </c>
      <c r="C183" s="3229"/>
      <c r="D183" s="3229"/>
      <c r="E183" s="3229"/>
      <c r="F183" s="3229">
        <v>2340</v>
      </c>
      <c r="G183" s="3229"/>
    </row>
    <row r="184" spans="1:7" s="3218" customFormat="1" ht="14.25" customHeight="1">
      <c r="A184" s="3229" t="s">
        <v>29</v>
      </c>
      <c r="B184" s="3229" t="s">
        <v>3057</v>
      </c>
      <c r="C184" s="3229"/>
      <c r="D184" s="3229"/>
      <c r="E184" s="3229"/>
      <c r="F184" s="3229">
        <v>2340</v>
      </c>
      <c r="G184" s="3229"/>
    </row>
    <row r="185" spans="1:7" s="3218" customFormat="1" ht="14.25" customHeight="1">
      <c r="A185" s="3229" t="s">
        <v>29</v>
      </c>
      <c r="B185" s="3229" t="s">
        <v>3058</v>
      </c>
      <c r="C185" s="3229"/>
      <c r="D185" s="3229"/>
      <c r="E185" s="3229"/>
      <c r="F185" s="3229">
        <v>2530</v>
      </c>
      <c r="G185" s="3229"/>
    </row>
    <row r="186" spans="1:7" s="3218" customFormat="1" ht="14.25" customHeight="1">
      <c r="A186" s="3229" t="s">
        <v>29</v>
      </c>
      <c r="B186" s="3229" t="s">
        <v>3059</v>
      </c>
      <c r="C186" s="3229"/>
      <c r="D186" s="3229"/>
      <c r="E186" s="3229"/>
      <c r="F186" s="3229">
        <v>2550</v>
      </c>
      <c r="G186" s="3229"/>
    </row>
    <row r="187" spans="1:7" s="3218" customFormat="1" ht="14.25" customHeight="1">
      <c r="A187" s="3229" t="s">
        <v>29</v>
      </c>
      <c r="B187" s="3229" t="s">
        <v>3060</v>
      </c>
      <c r="C187" s="3229"/>
      <c r="D187" s="3229"/>
      <c r="E187" s="3229"/>
      <c r="F187" s="3229">
        <v>2070</v>
      </c>
      <c r="G187" s="3229"/>
    </row>
    <row r="188" spans="1:7" s="3218" customFormat="1" ht="14.25" customHeight="1">
      <c r="A188" s="3229" t="s">
        <v>29</v>
      </c>
      <c r="B188" s="3229" t="s">
        <v>3061</v>
      </c>
      <c r="C188" s="3229"/>
      <c r="D188" s="3229"/>
      <c r="E188" s="3229"/>
      <c r="F188" s="3229">
        <v>2340</v>
      </c>
      <c r="G188" s="3229"/>
    </row>
    <row r="189" spans="1:7" s="3218" customFormat="1" ht="14.25" customHeight="1" thickBot="1">
      <c r="A189" s="3237" t="s">
        <v>29</v>
      </c>
      <c r="B189" s="3240" t="s">
        <v>3062</v>
      </c>
      <c r="C189" s="3240"/>
      <c r="D189" s="3240"/>
      <c r="E189" s="3240"/>
      <c r="F189" s="3240">
        <v>2050</v>
      </c>
      <c r="G189" s="3240"/>
    </row>
    <row r="190" spans="1:7" s="3218" customFormat="1" ht="14.25" customHeight="1">
      <c r="A190" s="3234" t="s">
        <v>304</v>
      </c>
      <c r="B190" s="3225" t="s">
        <v>3082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3083</v>
      </c>
      <c r="C199" s="3229">
        <v>8690</v>
      </c>
      <c r="D199" s="3229">
        <v>8630</v>
      </c>
      <c r="E199" s="3229">
        <v>11350</v>
      </c>
      <c r="F199" s="3229">
        <v>1600</v>
      </c>
      <c r="G199" s="3242">
        <v>5450</v>
      </c>
    </row>
    <row r="200" spans="1:7" s="3218" customFormat="1" ht="14.25" customHeight="1">
      <c r="A200" s="3229" t="s">
        <v>304</v>
      </c>
      <c r="B200" s="3229" t="s">
        <v>2894</v>
      </c>
      <c r="C200" s="3229"/>
      <c r="D200" s="3229"/>
      <c r="E200" s="3229"/>
      <c r="F200" s="3229">
        <v>1510</v>
      </c>
      <c r="G200" s="3242"/>
    </row>
    <row r="201" spans="1:7" s="3218" customFormat="1" ht="14.25" customHeight="1">
      <c r="A201" s="3229" t="s">
        <v>304</v>
      </c>
      <c r="B201" s="3229" t="s">
        <v>3084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3085</v>
      </c>
      <c r="C203" s="3229">
        <v>8130</v>
      </c>
      <c r="D203" s="3229">
        <v>8070</v>
      </c>
      <c r="E203" s="3229">
        <v>10820</v>
      </c>
      <c r="F203" s="3229">
        <v>1690</v>
      </c>
      <c r="G203" s="3242">
        <v>5100</v>
      </c>
    </row>
    <row r="204" spans="1:7" s="3218" customFormat="1" ht="14.25" customHeight="1">
      <c r="A204" s="3229" t="s">
        <v>304</v>
      </c>
      <c r="B204" s="3229" t="s">
        <v>2905</v>
      </c>
      <c r="C204" s="3229">
        <v>8350</v>
      </c>
      <c r="D204" s="3229">
        <v>8290</v>
      </c>
      <c r="E204" s="3229">
        <v>11080</v>
      </c>
      <c r="F204" s="3229">
        <v>1450</v>
      </c>
      <c r="G204" s="3242">
        <v>5240</v>
      </c>
    </row>
    <row r="205" spans="1:7" s="3218" customFormat="1" ht="14.25" customHeight="1">
      <c r="A205" s="3229" t="s">
        <v>304</v>
      </c>
      <c r="B205" s="3229" t="s">
        <v>2907</v>
      </c>
      <c r="C205" s="3229">
        <v>7190</v>
      </c>
      <c r="D205" s="3229">
        <v>7130</v>
      </c>
      <c r="E205" s="3229">
        <v>9490</v>
      </c>
      <c r="F205" s="3229">
        <v>1470</v>
      </c>
      <c r="G205" s="3242">
        <v>4510</v>
      </c>
    </row>
    <row r="206" spans="1:7" s="3218" customFormat="1" ht="14.25" customHeight="1">
      <c r="A206" s="3229" t="s">
        <v>304</v>
      </c>
      <c r="B206" s="3229" t="s">
        <v>2910</v>
      </c>
      <c r="C206" s="3229">
        <v>7000</v>
      </c>
      <c r="D206" s="3229">
        <v>6950</v>
      </c>
      <c r="E206" s="3229">
        <v>9170</v>
      </c>
      <c r="F206" s="3229">
        <v>1400</v>
      </c>
      <c r="G206" s="3242">
        <v>4380</v>
      </c>
    </row>
    <row r="207" spans="1:7" s="3218" customFormat="1" ht="14.25" customHeight="1">
      <c r="A207" s="3229" t="s">
        <v>304</v>
      </c>
      <c r="B207" s="3229" t="s">
        <v>2912</v>
      </c>
      <c r="C207" s="3229">
        <v>6950</v>
      </c>
      <c r="D207" s="3229">
        <v>6900</v>
      </c>
      <c r="E207" s="3229">
        <v>9110</v>
      </c>
      <c r="F207" s="3229">
        <v>1790</v>
      </c>
      <c r="G207" s="3242">
        <v>4360</v>
      </c>
    </row>
    <row r="208" spans="1:7" s="3218" customFormat="1" ht="14.25" customHeight="1">
      <c r="A208" s="3229" t="s">
        <v>304</v>
      </c>
      <c r="B208" s="3229" t="s">
        <v>3086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2922</v>
      </c>
      <c r="C210" s="3229">
        <v>8710</v>
      </c>
      <c r="D210" s="3229">
        <v>8660</v>
      </c>
      <c r="E210" s="3229">
        <v>11440</v>
      </c>
      <c r="F210" s="3229">
        <v>1740</v>
      </c>
      <c r="G210" s="3242">
        <v>5470</v>
      </c>
    </row>
    <row r="211" spans="1:7" s="3218" customFormat="1" ht="14.25" customHeight="1">
      <c r="A211" s="3229" t="s">
        <v>304</v>
      </c>
      <c r="B211" s="3229" t="s">
        <v>3087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3088</v>
      </c>
      <c r="C214" s="3229">
        <v>8090</v>
      </c>
      <c r="D214" s="3229">
        <v>8030</v>
      </c>
      <c r="E214" s="3229">
        <v>10780</v>
      </c>
      <c r="F214" s="3229">
        <v>1570</v>
      </c>
      <c r="G214" s="3242">
        <v>5070</v>
      </c>
    </row>
    <row r="215" spans="1:7" s="3218" customFormat="1" ht="14.25" customHeight="1">
      <c r="A215" s="3229" t="s">
        <v>304</v>
      </c>
      <c r="B215" s="3229" t="s">
        <v>3089</v>
      </c>
      <c r="C215" s="3229">
        <v>7950</v>
      </c>
      <c r="D215" s="3229">
        <v>7900</v>
      </c>
      <c r="E215" s="3229">
        <v>10560</v>
      </c>
      <c r="F215" s="3229">
        <v>1630</v>
      </c>
      <c r="G215" s="3242">
        <v>4990</v>
      </c>
    </row>
    <row r="216" spans="1:7" s="3218" customFormat="1" ht="14.25" customHeight="1">
      <c r="A216" s="3229" t="s">
        <v>304</v>
      </c>
      <c r="B216" s="3229" t="s">
        <v>3090</v>
      </c>
      <c r="C216" s="3229">
        <v>8490</v>
      </c>
      <c r="D216" s="3229">
        <v>8440</v>
      </c>
      <c r="E216" s="3229">
        <v>11260</v>
      </c>
      <c r="F216" s="3229">
        <v>1690</v>
      </c>
      <c r="G216" s="3242">
        <v>5330</v>
      </c>
    </row>
    <row r="217" spans="1:7" s="3218" customFormat="1" ht="14.25" customHeight="1">
      <c r="A217" s="3229" t="s">
        <v>304</v>
      </c>
      <c r="B217" s="3229" t="s">
        <v>2955</v>
      </c>
      <c r="C217" s="3229">
        <v>8200</v>
      </c>
      <c r="D217" s="3229">
        <v>8150</v>
      </c>
      <c r="E217" s="3229">
        <v>10910</v>
      </c>
      <c r="F217" s="3229">
        <v>1670</v>
      </c>
      <c r="G217" s="3242">
        <v>5150</v>
      </c>
    </row>
    <row r="218" spans="1:7" s="3218" customFormat="1" ht="14.25" customHeight="1">
      <c r="A218" s="3229" t="s">
        <v>304</v>
      </c>
      <c r="B218" s="3229" t="s">
        <v>3091</v>
      </c>
      <c r="C218" s="3229"/>
      <c r="D218" s="3229"/>
      <c r="E218" s="3229"/>
      <c r="F218" s="3229">
        <v>2040</v>
      </c>
      <c r="G218" s="3242"/>
    </row>
    <row r="219" spans="1:7" s="3218" customFormat="1" ht="14.25" customHeight="1">
      <c r="A219" s="3229" t="s">
        <v>304</v>
      </c>
      <c r="B219" s="3229" t="s">
        <v>3092</v>
      </c>
      <c r="C219" s="3229"/>
      <c r="D219" s="3229"/>
      <c r="E219" s="3229"/>
      <c r="F219" s="3229">
        <v>2040</v>
      </c>
      <c r="G219" s="3242"/>
    </row>
    <row r="220" spans="1:7" s="3218" customFormat="1" ht="14.25" customHeight="1">
      <c r="A220" s="3229" t="s">
        <v>304</v>
      </c>
      <c r="B220" s="3229" t="s">
        <v>3093</v>
      </c>
      <c r="C220" s="3229"/>
      <c r="D220" s="3229"/>
      <c r="E220" s="3229"/>
      <c r="F220" s="3229">
        <v>2040</v>
      </c>
      <c r="G220" s="3242"/>
    </row>
    <row r="221" spans="1:7" s="3218" customFormat="1" ht="14.25" customHeight="1">
      <c r="A221" s="3229" t="s">
        <v>304</v>
      </c>
      <c r="B221" s="3229" t="s">
        <v>3094</v>
      </c>
      <c r="C221" s="3229"/>
      <c r="D221" s="3229"/>
      <c r="E221" s="3229"/>
      <c r="F221" s="3229">
        <v>2040</v>
      </c>
      <c r="G221" s="3242"/>
    </row>
    <row r="222" spans="1:7" s="3218" customFormat="1" ht="14.25" customHeight="1">
      <c r="A222" s="3229" t="s">
        <v>304</v>
      </c>
      <c r="B222" s="3229" t="s">
        <v>3095</v>
      </c>
      <c r="C222" s="3229"/>
      <c r="D222" s="3229"/>
      <c r="E222" s="3229"/>
      <c r="F222" s="3229">
        <v>2040</v>
      </c>
      <c r="G222" s="3242"/>
    </row>
    <row r="223" spans="1:7" s="3218" customFormat="1" ht="14.25" customHeight="1">
      <c r="A223" s="3229" t="s">
        <v>304</v>
      </c>
      <c r="B223" s="3229" t="s">
        <v>3096</v>
      </c>
      <c r="C223" s="3229"/>
      <c r="D223" s="3229"/>
      <c r="E223" s="3229"/>
      <c r="F223" s="3229">
        <v>1930</v>
      </c>
      <c r="G223" s="3242"/>
    </row>
    <row r="224" spans="1:7" s="3218" customFormat="1" ht="14.25" customHeight="1">
      <c r="A224" s="3229" t="s">
        <v>304</v>
      </c>
      <c r="B224" s="3229" t="s">
        <v>3097</v>
      </c>
      <c r="C224" s="3229"/>
      <c r="D224" s="3229"/>
      <c r="E224" s="3229"/>
      <c r="F224" s="3229">
        <v>1930</v>
      </c>
      <c r="G224" s="3242"/>
    </row>
    <row r="225" spans="1:7" s="3218" customFormat="1" ht="14.25" customHeight="1">
      <c r="A225" s="3229" t="s">
        <v>304</v>
      </c>
      <c r="B225" s="3229" t="s">
        <v>3098</v>
      </c>
      <c r="C225" s="3229"/>
      <c r="D225" s="3229"/>
      <c r="E225" s="3229"/>
      <c r="F225" s="3229">
        <v>1930</v>
      </c>
      <c r="G225" s="3242"/>
    </row>
    <row r="226" spans="1:7" s="3218" customFormat="1" ht="14.25" customHeight="1">
      <c r="A226" s="3229" t="s">
        <v>304</v>
      </c>
      <c r="B226" s="3229" t="s">
        <v>3099</v>
      </c>
      <c r="C226" s="3229"/>
      <c r="D226" s="3229"/>
      <c r="E226" s="3229"/>
      <c r="F226" s="3229">
        <v>1700</v>
      </c>
      <c r="G226" s="3242"/>
    </row>
    <row r="227" spans="1:7" s="3218" customFormat="1" ht="14.25" customHeight="1">
      <c r="A227" s="3229" t="s">
        <v>304</v>
      </c>
      <c r="B227" s="3229" t="s">
        <v>3100</v>
      </c>
      <c r="C227" s="3229"/>
      <c r="D227" s="3229"/>
      <c r="E227" s="3229"/>
      <c r="F227" s="3229">
        <v>1520</v>
      </c>
      <c r="G227" s="3242"/>
    </row>
    <row r="228" spans="1:7" s="3218" customFormat="1" ht="14.25" customHeight="1">
      <c r="A228" s="3229" t="s">
        <v>304</v>
      </c>
      <c r="B228" s="3229" t="s">
        <v>3101</v>
      </c>
      <c r="C228" s="3229"/>
      <c r="D228" s="3229"/>
      <c r="E228" s="3229"/>
      <c r="F228" s="3229">
        <v>1520</v>
      </c>
      <c r="G228" s="3242"/>
    </row>
    <row r="229" spans="1:7" s="3218" customFormat="1" ht="14.25" customHeight="1">
      <c r="A229" s="3229" t="s">
        <v>304</v>
      </c>
      <c r="B229" s="3229" t="s">
        <v>3018</v>
      </c>
      <c r="C229" s="3229"/>
      <c r="D229" s="3229"/>
      <c r="E229" s="3229"/>
      <c r="F229" s="3229">
        <v>1520</v>
      </c>
      <c r="G229" s="3242"/>
    </row>
    <row r="230" spans="1:7" s="3218" customFormat="1" ht="14.25" customHeight="1">
      <c r="A230" s="3229" t="s">
        <v>304</v>
      </c>
      <c r="B230" s="3229" t="s">
        <v>3102</v>
      </c>
      <c r="C230" s="3229"/>
      <c r="D230" s="3229"/>
      <c r="E230" s="3229"/>
      <c r="F230" s="3229">
        <v>1820</v>
      </c>
      <c r="G230" s="3242"/>
    </row>
    <row r="231" spans="1:7" s="3218" customFormat="1" ht="14.25" customHeight="1">
      <c r="A231" s="3229" t="s">
        <v>304</v>
      </c>
      <c r="B231" s="3229" t="s">
        <v>3103</v>
      </c>
      <c r="C231" s="3229"/>
      <c r="D231" s="3229"/>
      <c r="E231" s="3229"/>
      <c r="F231" s="3229">
        <v>1760</v>
      </c>
      <c r="G231" s="3242"/>
    </row>
    <row r="232" spans="1:7" s="3218" customFormat="1" ht="14.25" customHeight="1">
      <c r="A232" s="3229" t="s">
        <v>304</v>
      </c>
      <c r="B232" s="3229" t="s">
        <v>3104</v>
      </c>
      <c r="C232" s="3229"/>
      <c r="D232" s="3229"/>
      <c r="E232" s="3229"/>
      <c r="F232" s="3229">
        <v>1840</v>
      </c>
      <c r="G232" s="3242"/>
    </row>
    <row r="233" spans="1:7" s="3218" customFormat="1" ht="14.25" customHeight="1" thickBot="1">
      <c r="A233" s="3243" t="s">
        <v>304</v>
      </c>
      <c r="B233" s="3236" t="s">
        <v>3035</v>
      </c>
      <c r="C233" s="3236"/>
      <c r="D233" s="3236"/>
      <c r="E233" s="3236"/>
      <c r="F233" s="3236">
        <v>1770</v>
      </c>
      <c r="G233" s="3244"/>
    </row>
    <row r="234" spans="1:7" s="3218" customFormat="1" ht="14.25" customHeight="1">
      <c r="A234" s="3234" t="s">
        <v>305</v>
      </c>
      <c r="B234" s="3225" t="s">
        <v>3105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2876</v>
      </c>
      <c r="C238" s="3229">
        <v>6920</v>
      </c>
      <c r="D238" s="3229">
        <v>6890</v>
      </c>
      <c r="E238" s="3229">
        <v>8640</v>
      </c>
      <c r="F238" s="3229">
        <v>1310</v>
      </c>
      <c r="G238" s="3229">
        <v>4230</v>
      </c>
    </row>
    <row r="239" spans="1:7" s="3218" customFormat="1" ht="14.25" customHeight="1">
      <c r="A239" s="3229" t="s">
        <v>305</v>
      </c>
      <c r="B239" s="3229" t="s">
        <v>3106</v>
      </c>
      <c r="C239" s="3229">
        <v>6780</v>
      </c>
      <c r="D239" s="3229">
        <v>6750</v>
      </c>
      <c r="E239" s="3229">
        <v>8440</v>
      </c>
      <c r="F239" s="3229">
        <v>1160</v>
      </c>
      <c r="G239" s="3229">
        <v>4140</v>
      </c>
    </row>
    <row r="240" spans="1:7" s="3218" customFormat="1" ht="14.25" customHeight="1">
      <c r="A240" s="3229" t="s">
        <v>305</v>
      </c>
      <c r="B240" s="3229" t="s">
        <v>3107</v>
      </c>
      <c r="C240" s="3229">
        <v>5420</v>
      </c>
      <c r="D240" s="3229">
        <v>5380</v>
      </c>
      <c r="E240" s="3229">
        <v>6640</v>
      </c>
      <c r="F240" s="3229">
        <v>1020</v>
      </c>
      <c r="G240" s="3229">
        <v>3300</v>
      </c>
    </row>
    <row r="241" spans="1:7" s="3218" customFormat="1" ht="14.25" customHeight="1">
      <c r="A241" s="3229" t="s">
        <v>305</v>
      </c>
      <c r="B241" s="3229" t="s">
        <v>3108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2938</v>
      </c>
      <c r="C258" s="3229">
        <v>6190</v>
      </c>
      <c r="D258" s="3229">
        <v>6160</v>
      </c>
      <c r="E258" s="3229">
        <v>7680</v>
      </c>
      <c r="F258" s="3229">
        <v>1170</v>
      </c>
      <c r="G258" s="3229">
        <v>3780</v>
      </c>
    </row>
    <row r="259" spans="1:7" s="3218" customFormat="1" ht="14.25" customHeight="1">
      <c r="A259" s="3229" t="s">
        <v>305</v>
      </c>
      <c r="B259" s="3229" t="s">
        <v>3114</v>
      </c>
      <c r="C259" s="3229">
        <v>7610</v>
      </c>
      <c r="D259" s="3229">
        <v>7570</v>
      </c>
      <c r="E259" s="3229">
        <v>9350</v>
      </c>
      <c r="F259" s="3229">
        <v>1350</v>
      </c>
      <c r="G259" s="3229">
        <v>4650</v>
      </c>
    </row>
    <row r="260" spans="1:7" s="3218" customFormat="1" ht="14.25" customHeight="1">
      <c r="A260" s="3229" t="s">
        <v>305</v>
      </c>
      <c r="B260" s="3229" t="s">
        <v>3115</v>
      </c>
      <c r="C260" s="3229">
        <v>6920</v>
      </c>
      <c r="D260" s="3229">
        <v>6880</v>
      </c>
      <c r="E260" s="3229">
        <v>8380</v>
      </c>
      <c r="F260" s="3229">
        <v>1160</v>
      </c>
      <c r="G260" s="3229">
        <v>4220</v>
      </c>
    </row>
    <row r="261" spans="1:7" s="3218" customFormat="1" ht="14.25" customHeight="1">
      <c r="A261" s="3229" t="s">
        <v>305</v>
      </c>
      <c r="B261" s="3229" t="s">
        <v>3116</v>
      </c>
      <c r="C261" s="3229">
        <v>6850</v>
      </c>
      <c r="D261" s="3229">
        <v>6810</v>
      </c>
      <c r="E261" s="3229">
        <v>8290</v>
      </c>
      <c r="F261" s="3229">
        <v>1130</v>
      </c>
      <c r="G261" s="3229">
        <v>4180</v>
      </c>
    </row>
    <row r="262" spans="1:7" s="3218" customFormat="1" ht="14.25" customHeight="1">
      <c r="A262" s="3229" t="s">
        <v>305</v>
      </c>
      <c r="B262" s="3229" t="s">
        <v>3117</v>
      </c>
      <c r="C262" s="3229">
        <v>5860</v>
      </c>
      <c r="D262" s="3229">
        <v>5820</v>
      </c>
      <c r="E262" s="3229">
        <v>7640</v>
      </c>
      <c r="F262" s="3229">
        <v>1070</v>
      </c>
      <c r="G262" s="3229">
        <v>3570</v>
      </c>
    </row>
    <row r="263" spans="1:7" s="3218" customFormat="1" ht="14.25" customHeight="1">
      <c r="A263" s="3229" t="s">
        <v>305</v>
      </c>
      <c r="B263" s="3229" t="s">
        <v>3118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3119</v>
      </c>
      <c r="C265" s="3229"/>
      <c r="D265" s="3229"/>
      <c r="E265" s="3229"/>
      <c r="F265" s="3229">
        <v>1500</v>
      </c>
      <c r="G265" s="3229"/>
    </row>
    <row r="266" spans="1:7" s="3218" customFormat="1" ht="14.25" customHeight="1">
      <c r="A266" s="3229" t="s">
        <v>305</v>
      </c>
      <c r="B266" s="3229" t="s">
        <v>3120</v>
      </c>
      <c r="C266" s="3229"/>
      <c r="D266" s="3229"/>
      <c r="E266" s="3229"/>
      <c r="F266" s="3229">
        <v>1500</v>
      </c>
      <c r="G266" s="3229"/>
    </row>
    <row r="267" spans="1:7" s="3218" customFormat="1" ht="14.25" customHeight="1">
      <c r="A267" s="3229" t="s">
        <v>305</v>
      </c>
      <c r="B267" s="3229" t="s">
        <v>3121</v>
      </c>
      <c r="C267" s="3229"/>
      <c r="D267" s="3229"/>
      <c r="E267" s="3229"/>
      <c r="F267" s="3229">
        <v>1500</v>
      </c>
      <c r="G267" s="3229"/>
    </row>
    <row r="268" spans="1:7" s="3218" customFormat="1" ht="14.25" customHeight="1">
      <c r="A268" s="3229" t="s">
        <v>305</v>
      </c>
      <c r="B268" s="3229" t="s">
        <v>3122</v>
      </c>
      <c r="C268" s="3229"/>
      <c r="D268" s="3229"/>
      <c r="E268" s="3229"/>
      <c r="F268" s="3229">
        <v>1290</v>
      </c>
      <c r="G268" s="3229"/>
    </row>
    <row r="269" spans="1:7" s="3218" customFormat="1" ht="14.25" customHeight="1">
      <c r="A269" s="3229" t="s">
        <v>305</v>
      </c>
      <c r="B269" s="3229" t="s">
        <v>3123</v>
      </c>
      <c r="C269" s="3229"/>
      <c r="D269" s="3229"/>
      <c r="E269" s="3229"/>
      <c r="F269" s="3229">
        <v>1150</v>
      </c>
      <c r="G269" s="3229"/>
    </row>
    <row r="270" spans="1:7" s="3218" customFormat="1" ht="14.25" customHeight="1">
      <c r="A270" s="3229" t="s">
        <v>305</v>
      </c>
      <c r="B270" s="3229" t="s">
        <v>3124</v>
      </c>
      <c r="C270" s="3229"/>
      <c r="D270" s="3229"/>
      <c r="E270" s="3229"/>
      <c r="F270" s="3229">
        <v>1380</v>
      </c>
      <c r="G270" s="3229"/>
    </row>
    <row r="271" spans="1:7" s="3218" customFormat="1" ht="14.25" customHeight="1">
      <c r="A271" s="3229" t="s">
        <v>305</v>
      </c>
      <c r="B271" s="3229" t="s">
        <v>3125</v>
      </c>
      <c r="C271" s="3229"/>
      <c r="D271" s="3229"/>
      <c r="E271" s="3229"/>
      <c r="F271" s="3229">
        <v>1460</v>
      </c>
      <c r="G271" s="3229"/>
    </row>
    <row r="272" spans="1:7" s="3218" customFormat="1" ht="14.25" customHeight="1">
      <c r="A272" s="3229" t="s">
        <v>305</v>
      </c>
      <c r="B272" s="3229" t="s">
        <v>3126</v>
      </c>
      <c r="C272" s="3229"/>
      <c r="D272" s="3229"/>
      <c r="E272" s="3229"/>
      <c r="F272" s="3229">
        <v>1460</v>
      </c>
      <c r="G272" s="3229"/>
    </row>
    <row r="273" spans="1:7" s="3218" customFormat="1" ht="14.25" customHeight="1">
      <c r="A273" s="3229" t="s">
        <v>305</v>
      </c>
      <c r="B273" s="3229" t="s">
        <v>3019</v>
      </c>
      <c r="C273" s="3229"/>
      <c r="D273" s="3229"/>
      <c r="E273" s="3229"/>
      <c r="F273" s="3229">
        <v>1490</v>
      </c>
      <c r="G273" s="3229"/>
    </row>
    <row r="274" spans="1:7" s="3218" customFormat="1" ht="14.25" customHeight="1">
      <c r="A274" s="3229" t="s">
        <v>305</v>
      </c>
      <c r="B274" s="3229" t="s">
        <v>3127</v>
      </c>
      <c r="C274" s="3229"/>
      <c r="D274" s="3229"/>
      <c r="E274" s="3229"/>
      <c r="F274" s="3229">
        <v>1490</v>
      </c>
      <c r="G274" s="3229"/>
    </row>
    <row r="275" spans="1:7" s="3218" customFormat="1" ht="14.25" customHeight="1">
      <c r="A275" s="3229" t="s">
        <v>305</v>
      </c>
      <c r="B275" s="3229" t="s">
        <v>3128</v>
      </c>
      <c r="C275" s="3229"/>
      <c r="D275" s="3229"/>
      <c r="E275" s="3229"/>
      <c r="F275" s="3229">
        <v>1220</v>
      </c>
      <c r="G275" s="3229"/>
    </row>
    <row r="276" spans="1:7" s="3218" customFormat="1" ht="14.25" customHeight="1" thickBot="1">
      <c r="A276" s="3237" t="s">
        <v>305</v>
      </c>
      <c r="B276" s="3239" t="s">
        <v>3129</v>
      </c>
      <c r="C276" s="3240"/>
      <c r="D276" s="3240"/>
      <c r="E276" s="3240"/>
      <c r="F276" s="3240">
        <v>1380</v>
      </c>
      <c r="G276" s="3240"/>
    </row>
    <row r="277" spans="1:7" s="3218" customFormat="1" ht="14.25" customHeight="1">
      <c r="A277" s="3234" t="s">
        <v>306</v>
      </c>
      <c r="B277" s="3225" t="s">
        <v>3130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3131</v>
      </c>
      <c r="C279" s="3229">
        <v>4760</v>
      </c>
      <c r="D279" s="3229">
        <v>4720</v>
      </c>
      <c r="E279" s="3229">
        <v>5540</v>
      </c>
      <c r="F279" s="3229">
        <v>810</v>
      </c>
      <c r="G279" s="3242">
        <v>2850</v>
      </c>
    </row>
    <row r="280" spans="1:7" s="3218" customFormat="1" ht="14.25" customHeight="1">
      <c r="A280" s="3229" t="s">
        <v>306</v>
      </c>
      <c r="B280" s="3229" t="s">
        <v>3132</v>
      </c>
      <c r="C280" s="3229">
        <v>4010</v>
      </c>
      <c r="D280" s="3229">
        <v>3950</v>
      </c>
      <c r="E280" s="3229">
        <v>4710</v>
      </c>
      <c r="F280" s="3229">
        <v>800</v>
      </c>
      <c r="G280" s="3242">
        <v>2390</v>
      </c>
    </row>
    <row r="281" spans="1:7" s="3218" customFormat="1" ht="14.25" customHeight="1">
      <c r="A281" s="3229" t="s">
        <v>306</v>
      </c>
      <c r="B281" s="3229" t="s">
        <v>3133</v>
      </c>
      <c r="C281" s="3229">
        <v>4480</v>
      </c>
      <c r="D281" s="3229">
        <v>4420</v>
      </c>
      <c r="E281" s="3229">
        <v>5230</v>
      </c>
      <c r="F281" s="3229">
        <v>870</v>
      </c>
      <c r="G281" s="3242">
        <v>2660</v>
      </c>
    </row>
    <row r="282" spans="1:7" s="3218" customFormat="1" ht="14.25" customHeight="1">
      <c r="A282" s="3229" t="s">
        <v>306</v>
      </c>
      <c r="B282" s="3229" t="s">
        <v>3134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2911</v>
      </c>
      <c r="C293" s="3229">
        <v>5320</v>
      </c>
      <c r="D293" s="3229">
        <v>5270</v>
      </c>
      <c r="E293" s="3229">
        <v>6160</v>
      </c>
      <c r="F293" s="3229">
        <v>990</v>
      </c>
      <c r="G293" s="3242">
        <v>3170</v>
      </c>
    </row>
    <row r="294" spans="1:7" s="3218" customFormat="1" ht="14.25" customHeight="1">
      <c r="A294" s="3229" t="s">
        <v>306</v>
      </c>
      <c r="B294" s="3229" t="s">
        <v>3137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3138</v>
      </c>
      <c r="C302" s="3229">
        <v>5520</v>
      </c>
      <c r="D302" s="3229">
        <v>5470</v>
      </c>
      <c r="E302" s="3229">
        <v>6410</v>
      </c>
      <c r="F302" s="3229">
        <v>950</v>
      </c>
      <c r="G302" s="3242">
        <v>3300</v>
      </c>
    </row>
    <row r="303" spans="1:7" s="3218" customFormat="1" ht="14.25" customHeight="1">
      <c r="A303" s="3229" t="s">
        <v>306</v>
      </c>
      <c r="B303" s="3229" t="s">
        <v>2950</v>
      </c>
      <c r="C303" s="3229">
        <v>5630</v>
      </c>
      <c r="D303" s="3229">
        <v>5590</v>
      </c>
      <c r="E303" s="3229">
        <v>6550</v>
      </c>
      <c r="F303" s="3229">
        <v>1010</v>
      </c>
      <c r="G303" s="3242">
        <v>3370</v>
      </c>
    </row>
    <row r="304" spans="1:7" s="3218" customFormat="1" ht="14.25" customHeight="1">
      <c r="A304" s="3229" t="s">
        <v>306</v>
      </c>
      <c r="B304" s="3229" t="s">
        <v>2957</v>
      </c>
      <c r="C304" s="3229">
        <v>5680</v>
      </c>
      <c r="D304" s="3229">
        <v>5620</v>
      </c>
      <c r="E304" s="3229">
        <v>6620</v>
      </c>
      <c r="F304" s="3229">
        <v>1050</v>
      </c>
      <c r="G304" s="3242">
        <v>3390</v>
      </c>
    </row>
    <row r="305" spans="1:7" s="3218" customFormat="1" ht="14.25" customHeight="1">
      <c r="A305" s="3229" t="s">
        <v>306</v>
      </c>
      <c r="B305" s="3229" t="s">
        <v>2963</v>
      </c>
      <c r="C305" s="3229">
        <v>5590</v>
      </c>
      <c r="D305" s="3229">
        <v>5530</v>
      </c>
      <c r="E305" s="3229">
        <v>6460</v>
      </c>
      <c r="F305" s="3229">
        <v>900</v>
      </c>
      <c r="G305" s="3242">
        <v>3340</v>
      </c>
    </row>
    <row r="306" spans="1:7" s="3218" customFormat="1" ht="14.25" customHeight="1">
      <c r="A306" s="3229" t="s">
        <v>306</v>
      </c>
      <c r="B306" s="3229" t="s">
        <v>3139</v>
      </c>
      <c r="C306" s="3229">
        <v>5560</v>
      </c>
      <c r="D306" s="3229">
        <v>5510</v>
      </c>
      <c r="E306" s="3229">
        <v>6440</v>
      </c>
      <c r="F306" s="3229">
        <v>900</v>
      </c>
      <c r="G306" s="3242">
        <v>3320</v>
      </c>
    </row>
    <row r="307" spans="1:7" s="3218" customFormat="1" ht="14.25" customHeight="1">
      <c r="A307" s="3229" t="s">
        <v>306</v>
      </c>
      <c r="B307" s="3229" t="s">
        <v>2975</v>
      </c>
      <c r="C307" s="3229">
        <v>5650</v>
      </c>
      <c r="D307" s="3229">
        <v>5600</v>
      </c>
      <c r="E307" s="3229">
        <v>6590</v>
      </c>
      <c r="F307" s="3229">
        <v>930</v>
      </c>
      <c r="G307" s="3242">
        <v>3380</v>
      </c>
    </row>
    <row r="308" spans="1:7" s="3218" customFormat="1" ht="14.25" customHeight="1">
      <c r="A308" s="3229" t="s">
        <v>306</v>
      </c>
      <c r="B308" s="3229" t="s">
        <v>3140</v>
      </c>
      <c r="C308" s="3229">
        <v>5620</v>
      </c>
      <c r="D308" s="3229">
        <v>5580</v>
      </c>
      <c r="E308" s="3229">
        <v>6540</v>
      </c>
      <c r="F308" s="3229">
        <v>910</v>
      </c>
      <c r="G308" s="3242">
        <v>3370</v>
      </c>
    </row>
    <row r="309" spans="1:7" s="3218" customFormat="1" ht="14.25" customHeight="1">
      <c r="A309" s="3229" t="s">
        <v>306</v>
      </c>
      <c r="B309" s="3229" t="s">
        <v>3141</v>
      </c>
      <c r="C309" s="3229">
        <v>5060</v>
      </c>
      <c r="D309" s="3229">
        <v>5020</v>
      </c>
      <c r="E309" s="3229">
        <v>6370</v>
      </c>
      <c r="F309" s="3229">
        <v>800</v>
      </c>
      <c r="G309" s="3242">
        <v>3020</v>
      </c>
    </row>
    <row r="310" spans="1:7" s="3218" customFormat="1" ht="14.25" customHeight="1">
      <c r="A310" s="3229" t="s">
        <v>306</v>
      </c>
      <c r="B310" s="3229" t="s">
        <v>2990</v>
      </c>
      <c r="C310" s="3229">
        <v>5150</v>
      </c>
      <c r="D310" s="3229">
        <v>5110</v>
      </c>
      <c r="E310" s="3229">
        <v>6500</v>
      </c>
      <c r="F310" s="3229">
        <v>880</v>
      </c>
      <c r="G310" s="3242">
        <v>3080</v>
      </c>
    </row>
    <row r="311" spans="1:7" s="3218" customFormat="1" ht="14.25" customHeight="1">
      <c r="A311" s="3229" t="s">
        <v>306</v>
      </c>
      <c r="B311" s="3229" t="s">
        <v>3142</v>
      </c>
      <c r="C311" s="3229">
        <v>4750</v>
      </c>
      <c r="D311" s="3229">
        <v>4710</v>
      </c>
      <c r="E311" s="3229">
        <v>5510</v>
      </c>
      <c r="F311" s="3229">
        <v>880</v>
      </c>
      <c r="G311" s="3242">
        <v>2840</v>
      </c>
    </row>
    <row r="312" spans="1:7" s="3218" customFormat="1" ht="14.25" customHeight="1">
      <c r="A312" s="3229" t="s">
        <v>306</v>
      </c>
      <c r="B312" s="3229" t="s">
        <v>3000</v>
      </c>
      <c r="C312" s="3229">
        <v>4690</v>
      </c>
      <c r="D312" s="3229">
        <v>4640</v>
      </c>
      <c r="E312" s="3229">
        <v>5420</v>
      </c>
      <c r="F312" s="3229">
        <v>800</v>
      </c>
      <c r="G312" s="3242">
        <v>2800</v>
      </c>
    </row>
    <row r="313" spans="1:7" s="3218" customFormat="1" ht="14.25" customHeight="1">
      <c r="A313" s="3229" t="s">
        <v>306</v>
      </c>
      <c r="B313" s="3229" t="s">
        <v>3005</v>
      </c>
      <c r="C313" s="3229">
        <v>4810</v>
      </c>
      <c r="D313" s="3229">
        <v>4760</v>
      </c>
      <c r="E313" s="3229">
        <v>5550</v>
      </c>
      <c r="F313" s="3229">
        <v>920</v>
      </c>
      <c r="G313" s="3242">
        <v>2870</v>
      </c>
    </row>
    <row r="314" spans="1:7" s="3218" customFormat="1" ht="14.25" customHeight="1">
      <c r="A314" s="3229" t="s">
        <v>306</v>
      </c>
      <c r="B314" s="3229" t="s">
        <v>3143</v>
      </c>
      <c r="C314" s="3229"/>
      <c r="D314" s="3229"/>
      <c r="E314" s="3229"/>
      <c r="F314" s="3229">
        <v>1020</v>
      </c>
      <c r="G314" s="3242"/>
    </row>
    <row r="315" spans="1:7" s="3218" customFormat="1" ht="14.25" customHeight="1">
      <c r="A315" s="3229" t="s">
        <v>306</v>
      </c>
      <c r="B315" s="3229" t="s">
        <v>3144</v>
      </c>
      <c r="C315" s="3229"/>
      <c r="D315" s="3229"/>
      <c r="E315" s="3229"/>
      <c r="F315" s="3229">
        <v>1050</v>
      </c>
      <c r="G315" s="3242"/>
    </row>
    <row r="316" spans="1:7" s="3218" customFormat="1" ht="14.25" customHeight="1">
      <c r="A316" s="3229" t="s">
        <v>306</v>
      </c>
      <c r="B316" s="3229" t="s">
        <v>3020</v>
      </c>
      <c r="C316" s="3229"/>
      <c r="D316" s="3229"/>
      <c r="E316" s="3229"/>
      <c r="F316" s="3229">
        <v>900</v>
      </c>
      <c r="G316" s="3242"/>
    </row>
    <row r="317" spans="1:7" s="3218" customFormat="1" ht="14.25" customHeight="1">
      <c r="A317" s="3229" t="s">
        <v>306</v>
      </c>
      <c r="B317" s="3229" t="s">
        <v>3145</v>
      </c>
      <c r="C317" s="3229"/>
      <c r="D317" s="3229"/>
      <c r="E317" s="3229"/>
      <c r="F317" s="3229">
        <v>920</v>
      </c>
      <c r="G317" s="3242"/>
    </row>
    <row r="318" spans="1:7" s="3218" customFormat="1" ht="14.25" customHeight="1">
      <c r="A318" s="3229" t="s">
        <v>306</v>
      </c>
      <c r="B318" s="3229" t="s">
        <v>3146</v>
      </c>
      <c r="C318" s="3229"/>
      <c r="D318" s="3229"/>
      <c r="E318" s="3229"/>
      <c r="F318" s="3229">
        <v>1080</v>
      </c>
      <c r="G318" s="3242"/>
    </row>
    <row r="319" spans="1:7" s="3218" customFormat="1" ht="14.25" customHeight="1">
      <c r="A319" s="3229" t="s">
        <v>306</v>
      </c>
      <c r="B319" s="3229" t="s">
        <v>3033</v>
      </c>
      <c r="C319" s="3229"/>
      <c r="D319" s="3229"/>
      <c r="E319" s="3229"/>
      <c r="F319" s="3229">
        <v>1020</v>
      </c>
      <c r="G319" s="3242"/>
    </row>
    <row r="320" spans="1:7" s="3218" customFormat="1" ht="14.25" customHeight="1">
      <c r="A320" s="3229" t="s">
        <v>306</v>
      </c>
      <c r="B320" s="3229" t="s">
        <v>3036</v>
      </c>
      <c r="C320" s="3229"/>
      <c r="D320" s="3229"/>
      <c r="E320" s="3229"/>
      <c r="F320" s="3229">
        <v>1050</v>
      </c>
      <c r="G320" s="3242"/>
    </row>
    <row r="321" spans="1:7" s="3218" customFormat="1" ht="14.25" customHeight="1">
      <c r="A321" s="3229" t="s">
        <v>306</v>
      </c>
      <c r="B321" s="3229" t="s">
        <v>3038</v>
      </c>
      <c r="C321" s="3229"/>
      <c r="D321" s="3229"/>
      <c r="E321" s="3229"/>
      <c r="F321" s="3229">
        <v>960</v>
      </c>
      <c r="G321" s="3242"/>
    </row>
    <row r="322" spans="1:7" s="3218" customFormat="1" ht="14.25" customHeight="1">
      <c r="A322" s="3229" t="s">
        <v>306</v>
      </c>
      <c r="B322" s="3229" t="s">
        <v>3040</v>
      </c>
      <c r="C322" s="3229"/>
      <c r="D322" s="3229"/>
      <c r="E322" s="3229"/>
      <c r="F322" s="3229">
        <v>960</v>
      </c>
      <c r="G322" s="3242"/>
    </row>
    <row r="323" spans="1:7" s="3218" customFormat="1" ht="14.25" customHeight="1">
      <c r="A323" s="3229" t="s">
        <v>306</v>
      </c>
      <c r="B323" s="3229" t="s">
        <v>3042</v>
      </c>
      <c r="C323" s="3229"/>
      <c r="D323" s="3229"/>
      <c r="E323" s="3229"/>
      <c r="F323" s="3229">
        <v>880</v>
      </c>
      <c r="G323" s="3242"/>
    </row>
    <row r="324" spans="1:7" s="3218" customFormat="1" ht="14.25" customHeight="1">
      <c r="A324" s="3229" t="s">
        <v>306</v>
      </c>
      <c r="B324" s="3229" t="s">
        <v>3044</v>
      </c>
      <c r="C324" s="3229"/>
      <c r="D324" s="3229"/>
      <c r="E324" s="3229"/>
      <c r="F324" s="3229">
        <v>930</v>
      </c>
      <c r="G324" s="3242"/>
    </row>
    <row r="325" spans="1:7" s="3218" customFormat="1" ht="14.25" customHeight="1">
      <c r="A325" s="3229" t="s">
        <v>306</v>
      </c>
      <c r="B325" s="3230" t="s">
        <v>3046</v>
      </c>
      <c r="C325" s="3229"/>
      <c r="D325" s="3229"/>
      <c r="E325" s="3229"/>
      <c r="F325" s="3229">
        <v>900</v>
      </c>
      <c r="G325" s="3242"/>
    </row>
    <row r="326" spans="1:7" s="3218" customFormat="1" ht="14.25" customHeight="1" thickBot="1">
      <c r="A326" s="3243" t="s">
        <v>306</v>
      </c>
      <c r="B326" s="3236" t="s">
        <v>3048</v>
      </c>
      <c r="C326" s="3236"/>
      <c r="D326" s="3236"/>
      <c r="E326" s="3236"/>
      <c r="F326" s="3236">
        <v>790</v>
      </c>
      <c r="G326" s="3244"/>
    </row>
    <row r="327" spans="1:7" s="3218" customFormat="1" ht="14.25" customHeight="1">
      <c r="A327" s="3234" t="s">
        <v>307</v>
      </c>
      <c r="B327" s="3225" t="s">
        <v>3147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3148</v>
      </c>
      <c r="C329" s="3229">
        <v>2730</v>
      </c>
      <c r="D329" s="3229">
        <v>2690</v>
      </c>
      <c r="E329" s="3229">
        <v>3100</v>
      </c>
      <c r="F329" s="3229">
        <v>660</v>
      </c>
      <c r="G329" s="3229">
        <v>1610</v>
      </c>
    </row>
    <row r="330" spans="1:7" s="3218" customFormat="1" ht="14.25" customHeight="1">
      <c r="A330" s="3229" t="s">
        <v>307</v>
      </c>
      <c r="B330" s="3229" t="s">
        <v>3149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2882</v>
      </c>
      <c r="C332" s="3229">
        <v>3520</v>
      </c>
      <c r="D332" s="3229">
        <v>3480</v>
      </c>
      <c r="E332" s="3229">
        <v>3830</v>
      </c>
      <c r="F332" s="3229">
        <v>720</v>
      </c>
      <c r="G332" s="3229">
        <v>2090</v>
      </c>
    </row>
    <row r="333" spans="1:7" s="3218" customFormat="1" ht="14.25" customHeight="1">
      <c r="A333" s="3229" t="s">
        <v>307</v>
      </c>
      <c r="B333" s="3229" t="s">
        <v>3150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2892</v>
      </c>
      <c r="C336" s="3229">
        <v>3570</v>
      </c>
      <c r="D336" s="3229">
        <v>3530</v>
      </c>
      <c r="E336" s="3229">
        <v>3880</v>
      </c>
      <c r="F336" s="3229">
        <v>770</v>
      </c>
      <c r="G336" s="3229">
        <v>2110</v>
      </c>
    </row>
    <row r="337" spans="1:10" s="3218" customFormat="1" ht="14.25" customHeight="1">
      <c r="A337" s="3229" t="s">
        <v>307</v>
      </c>
      <c r="B337" s="3229" t="s">
        <v>3151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2917</v>
      </c>
      <c r="C345" s="3229">
        <v>3190</v>
      </c>
      <c r="D345" s="3229">
        <v>3140</v>
      </c>
      <c r="E345" s="3229">
        <v>3450</v>
      </c>
      <c r="F345" s="3229">
        <v>720</v>
      </c>
      <c r="G345" s="3229">
        <v>1880</v>
      </c>
      <c r="J345" s="3218"/>
    </row>
    <row r="346" spans="1:10">
      <c r="A346" s="3229" t="s">
        <v>307</v>
      </c>
      <c r="B346" s="3229" t="s">
        <v>3154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2926</v>
      </c>
      <c r="C348" s="3229">
        <v>4000</v>
      </c>
      <c r="D348" s="3229">
        <v>3950</v>
      </c>
      <c r="E348" s="3229">
        <v>4430</v>
      </c>
      <c r="F348" s="3229">
        <v>760</v>
      </c>
      <c r="G348" s="3229">
        <v>2360</v>
      </c>
      <c r="J348" s="3218"/>
    </row>
    <row r="349" spans="1:10">
      <c r="A349" s="3229" t="s">
        <v>307</v>
      </c>
      <c r="B349" s="3229" t="s">
        <v>2931</v>
      </c>
      <c r="C349" s="3229">
        <v>3820</v>
      </c>
      <c r="D349" s="3229">
        <v>3780</v>
      </c>
      <c r="E349" s="3229">
        <v>4170</v>
      </c>
      <c r="F349" s="3229">
        <v>710</v>
      </c>
      <c r="G349" s="3229">
        <v>2260</v>
      </c>
      <c r="J349" s="3218"/>
    </row>
    <row r="350" spans="1:10">
      <c r="A350" s="3229" t="s">
        <v>307</v>
      </c>
      <c r="B350" s="3229" t="s">
        <v>3155</v>
      </c>
      <c r="C350" s="3229">
        <v>3760</v>
      </c>
      <c r="D350" s="3229">
        <v>3730</v>
      </c>
      <c r="E350" s="3229">
        <v>4100</v>
      </c>
      <c r="F350" s="3229">
        <v>800</v>
      </c>
      <c r="G350" s="3229">
        <v>2230</v>
      </c>
      <c r="J350" s="3218"/>
    </row>
    <row r="351" spans="1:10">
      <c r="A351" s="3229" t="s">
        <v>307</v>
      </c>
      <c r="B351" s="3229" t="s">
        <v>2939</v>
      </c>
      <c r="C351" s="3229">
        <v>3610</v>
      </c>
      <c r="D351" s="3229">
        <v>3580</v>
      </c>
      <c r="E351" s="3229">
        <v>3930</v>
      </c>
      <c r="F351" s="3229">
        <v>700</v>
      </c>
      <c r="G351" s="3229">
        <v>2140</v>
      </c>
      <c r="J351" s="3218"/>
    </row>
    <row r="352" spans="1:10">
      <c r="A352" s="3229" t="s">
        <v>307</v>
      </c>
      <c r="B352" s="3229" t="s">
        <v>2944</v>
      </c>
      <c r="C352" s="3229">
        <v>3670</v>
      </c>
      <c r="D352" s="3229">
        <v>3630</v>
      </c>
      <c r="E352" s="3229">
        <v>4000</v>
      </c>
      <c r="F352" s="3229">
        <v>750</v>
      </c>
      <c r="G352" s="3229">
        <v>2180</v>
      </c>
    </row>
    <row r="353" spans="1:7" s="3222" customFormat="1">
      <c r="A353" s="3229" t="s">
        <v>307</v>
      </c>
      <c r="B353" s="3229" t="s">
        <v>3156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2964</v>
      </c>
      <c r="C355" s="3229">
        <v>3650</v>
      </c>
      <c r="D355" s="3229">
        <v>3610</v>
      </c>
      <c r="E355" s="3229">
        <v>4200</v>
      </c>
      <c r="F355" s="3229">
        <v>640</v>
      </c>
      <c r="G355" s="3229">
        <v>2160</v>
      </c>
    </row>
    <row r="356" spans="1:7" s="3222" customFormat="1">
      <c r="A356" s="3229" t="s">
        <v>307</v>
      </c>
      <c r="B356" s="3229" t="s">
        <v>2971</v>
      </c>
      <c r="C356" s="3229">
        <v>3260</v>
      </c>
      <c r="D356" s="3229">
        <v>3230</v>
      </c>
      <c r="E356" s="3229">
        <v>3740</v>
      </c>
      <c r="F356" s="3229">
        <v>600</v>
      </c>
      <c r="G356" s="3229">
        <v>1930</v>
      </c>
    </row>
    <row r="357" spans="1:7" s="3222" customFormat="1" ht="12" thickBot="1">
      <c r="A357" s="3237" t="s">
        <v>307</v>
      </c>
      <c r="B357" s="3240" t="s">
        <v>3157</v>
      </c>
      <c r="C357" s="3240">
        <v>3690</v>
      </c>
      <c r="D357" s="3240">
        <v>3650</v>
      </c>
      <c r="E357" s="3240">
        <v>4020</v>
      </c>
      <c r="F357" s="3240">
        <v>700</v>
      </c>
      <c r="G357" s="3240">
        <v>2190</v>
      </c>
    </row>
    <row r="358" spans="1:7" s="3222" customFormat="1">
      <c r="A358" s="3234" t="s">
        <v>3158</v>
      </c>
      <c r="B358" s="3225" t="s">
        <v>3159</v>
      </c>
      <c r="C358" s="3225">
        <v>2080</v>
      </c>
      <c r="D358" s="3225">
        <v>2040</v>
      </c>
      <c r="E358" s="3225">
        <v>2010</v>
      </c>
      <c r="F358" s="3225">
        <v>530</v>
      </c>
      <c r="G358" s="3241">
        <v>1230</v>
      </c>
    </row>
    <row r="359" spans="1:7" s="3222" customFormat="1">
      <c r="A359" s="3229" t="s">
        <v>3158</v>
      </c>
      <c r="B359" s="3229" t="s">
        <v>3160</v>
      </c>
      <c r="C359" s="3229">
        <v>1850</v>
      </c>
      <c r="D359" s="3229">
        <v>1820</v>
      </c>
      <c r="E359" s="3229">
        <v>1780</v>
      </c>
      <c r="F359" s="3229">
        <v>520</v>
      </c>
      <c r="G359" s="3242">
        <v>1100</v>
      </c>
    </row>
    <row r="360" spans="1:7" s="3222" customFormat="1">
      <c r="A360" s="3229" t="s">
        <v>3158</v>
      </c>
      <c r="B360" s="3229" t="s">
        <v>3161</v>
      </c>
      <c r="C360" s="3229">
        <v>2020</v>
      </c>
      <c r="D360" s="3229">
        <v>1990</v>
      </c>
      <c r="E360" s="3229">
        <v>1950</v>
      </c>
      <c r="F360" s="3229">
        <v>500</v>
      </c>
      <c r="G360" s="3242">
        <v>1200</v>
      </c>
    </row>
    <row r="361" spans="1:7" s="3222" customFormat="1">
      <c r="A361" s="3229" t="s">
        <v>3158</v>
      </c>
      <c r="B361" s="3229" t="s">
        <v>153</v>
      </c>
      <c r="C361" s="3229">
        <v>2260</v>
      </c>
      <c r="D361" s="3229">
        <v>2220</v>
      </c>
      <c r="E361" s="3229">
        <v>2180</v>
      </c>
      <c r="F361" s="3229">
        <v>580</v>
      </c>
      <c r="G361" s="3242">
        <v>1340</v>
      </c>
    </row>
    <row r="362" spans="1:7" s="3222" customFormat="1">
      <c r="A362" s="3229" t="s">
        <v>3158</v>
      </c>
      <c r="B362" s="3229" t="s">
        <v>3162</v>
      </c>
      <c r="C362" s="3229">
        <v>2650</v>
      </c>
      <c r="D362" s="3229">
        <v>2610</v>
      </c>
      <c r="E362" s="3229">
        <v>2570</v>
      </c>
      <c r="F362" s="3229">
        <v>630</v>
      </c>
      <c r="G362" s="3242">
        <v>1570</v>
      </c>
    </row>
    <row r="363" spans="1:7" s="3222" customFormat="1">
      <c r="A363" s="3229" t="s">
        <v>3158</v>
      </c>
      <c r="B363" s="3229" t="s">
        <v>2883</v>
      </c>
      <c r="C363" s="3229">
        <v>2390</v>
      </c>
      <c r="D363" s="3229">
        <v>2360</v>
      </c>
      <c r="E363" s="3229">
        <v>2320</v>
      </c>
      <c r="F363" s="3229">
        <v>600</v>
      </c>
      <c r="G363" s="3242">
        <v>1420</v>
      </c>
    </row>
    <row r="364" spans="1:7" s="3222" customFormat="1">
      <c r="A364" s="3229" t="s">
        <v>3158</v>
      </c>
      <c r="B364" s="3229" t="s">
        <v>3163</v>
      </c>
      <c r="C364" s="3229">
        <v>2050</v>
      </c>
      <c r="D364" s="3229">
        <v>2030</v>
      </c>
      <c r="E364" s="3229">
        <v>1990</v>
      </c>
      <c r="F364" s="3229">
        <v>550</v>
      </c>
      <c r="G364" s="3242">
        <v>1220</v>
      </c>
    </row>
    <row r="365" spans="1:7" s="3222" customFormat="1">
      <c r="A365" s="3229" t="s">
        <v>3158</v>
      </c>
      <c r="B365" s="3229" t="s">
        <v>200</v>
      </c>
      <c r="C365" s="3229">
        <v>2140</v>
      </c>
      <c r="D365" s="3229">
        <v>2100</v>
      </c>
      <c r="E365" s="3229">
        <v>2060</v>
      </c>
      <c r="F365" s="3229">
        <v>540</v>
      </c>
      <c r="G365" s="3242">
        <v>1270</v>
      </c>
    </row>
    <row r="366" spans="1:7" s="3222" customFormat="1">
      <c r="A366" s="3229" t="s">
        <v>3158</v>
      </c>
      <c r="B366" s="3229" t="s">
        <v>2890</v>
      </c>
      <c r="C366" s="3229">
        <v>2410</v>
      </c>
      <c r="D366" s="3229">
        <v>2370</v>
      </c>
      <c r="E366" s="3229">
        <v>2330</v>
      </c>
      <c r="F366" s="3229">
        <v>570</v>
      </c>
      <c r="G366" s="3242">
        <v>1440</v>
      </c>
    </row>
    <row r="367" spans="1:7" s="3222" customFormat="1">
      <c r="A367" s="3229" t="s">
        <v>3158</v>
      </c>
      <c r="B367" s="3229" t="s">
        <v>3164</v>
      </c>
      <c r="C367" s="3229">
        <v>2300</v>
      </c>
      <c r="D367" s="3229">
        <v>2260</v>
      </c>
      <c r="E367" s="3229">
        <v>2220</v>
      </c>
      <c r="F367" s="3229">
        <v>560</v>
      </c>
      <c r="G367" s="3242">
        <v>1370</v>
      </c>
    </row>
    <row r="368" spans="1:7" s="3222" customFormat="1">
      <c r="A368" s="3229" t="s">
        <v>3158</v>
      </c>
      <c r="B368" s="3229" t="s">
        <v>3165</v>
      </c>
      <c r="C368" s="3229">
        <v>2430</v>
      </c>
      <c r="D368" s="3229">
        <v>2390</v>
      </c>
      <c r="E368" s="3229">
        <v>2350</v>
      </c>
      <c r="F368" s="3229">
        <v>570</v>
      </c>
      <c r="G368" s="3242">
        <v>1450</v>
      </c>
    </row>
    <row r="369" spans="1:7" s="3222" customFormat="1">
      <c r="A369" s="3229" t="s">
        <v>3158</v>
      </c>
      <c r="B369" s="3229" t="s">
        <v>214</v>
      </c>
      <c r="C369" s="3229">
        <v>2320</v>
      </c>
      <c r="D369" s="3229">
        <v>2290</v>
      </c>
      <c r="E369" s="3229">
        <v>2250</v>
      </c>
      <c r="F369" s="3229">
        <v>550</v>
      </c>
      <c r="G369" s="3242">
        <v>1380</v>
      </c>
    </row>
    <row r="370" spans="1:7" s="3222" customFormat="1">
      <c r="A370" s="3229" t="s">
        <v>3158</v>
      </c>
      <c r="B370" s="3229" t="s">
        <v>221</v>
      </c>
      <c r="C370" s="3229">
        <v>2190</v>
      </c>
      <c r="D370" s="3229">
        <v>2170</v>
      </c>
      <c r="E370" s="3229">
        <v>2130</v>
      </c>
      <c r="F370" s="3229">
        <v>530</v>
      </c>
      <c r="G370" s="3242">
        <v>1310</v>
      </c>
    </row>
    <row r="371" spans="1:7" s="3222" customFormat="1">
      <c r="A371" s="3229" t="s">
        <v>3158</v>
      </c>
      <c r="B371" s="3229" t="s">
        <v>229</v>
      </c>
      <c r="C371" s="3229">
        <v>2460</v>
      </c>
      <c r="D371" s="3229">
        <v>2420</v>
      </c>
      <c r="E371" s="3229">
        <v>2370</v>
      </c>
      <c r="F371" s="3229">
        <v>560</v>
      </c>
      <c r="G371" s="3242">
        <v>1470</v>
      </c>
    </row>
    <row r="372" spans="1:7" s="3222" customFormat="1">
      <c r="A372" s="3229" t="s">
        <v>3158</v>
      </c>
      <c r="B372" s="3229" t="s">
        <v>3166</v>
      </c>
      <c r="C372" s="3229">
        <v>2250</v>
      </c>
      <c r="D372" s="3229">
        <v>2210</v>
      </c>
      <c r="E372" s="3229">
        <v>2180</v>
      </c>
      <c r="F372" s="3229">
        <v>550</v>
      </c>
      <c r="G372" s="3242">
        <v>1340</v>
      </c>
    </row>
    <row r="373" spans="1:7" s="3222" customFormat="1">
      <c r="A373" s="3229" t="s">
        <v>3158</v>
      </c>
      <c r="B373" s="3229" t="s">
        <v>258</v>
      </c>
      <c r="C373" s="3229">
        <v>2210</v>
      </c>
      <c r="D373" s="3229">
        <v>2190</v>
      </c>
      <c r="E373" s="3229">
        <v>2150</v>
      </c>
      <c r="F373" s="3229">
        <v>530</v>
      </c>
      <c r="G373" s="3242">
        <v>1320</v>
      </c>
    </row>
    <row r="374" spans="1:7" s="3222" customFormat="1">
      <c r="A374" s="3229" t="s">
        <v>3158</v>
      </c>
      <c r="B374" s="3229" t="s">
        <v>266</v>
      </c>
      <c r="C374" s="3229">
        <v>2320</v>
      </c>
      <c r="D374" s="3229">
        <v>2280</v>
      </c>
      <c r="E374" s="3229">
        <v>2230</v>
      </c>
      <c r="F374" s="3229">
        <v>580</v>
      </c>
      <c r="G374" s="3242">
        <v>1380</v>
      </c>
    </row>
    <row r="375" spans="1:7" s="3222" customFormat="1">
      <c r="A375" s="3229" t="s">
        <v>3158</v>
      </c>
      <c r="B375" s="3229" t="s">
        <v>3167</v>
      </c>
      <c r="C375" s="3229">
        <v>2090</v>
      </c>
      <c r="D375" s="3229">
        <v>2050</v>
      </c>
      <c r="E375" s="3229">
        <v>2020</v>
      </c>
      <c r="F375" s="3229">
        <v>520</v>
      </c>
      <c r="G375" s="3242">
        <v>1240</v>
      </c>
    </row>
    <row r="376" spans="1:7" s="3222" customFormat="1">
      <c r="A376" s="3229" t="s">
        <v>3158</v>
      </c>
      <c r="B376" s="3229" t="s">
        <v>277</v>
      </c>
      <c r="C376" s="3229">
        <v>2010</v>
      </c>
      <c r="D376" s="3229">
        <v>1980</v>
      </c>
      <c r="E376" s="3229">
        <v>1940</v>
      </c>
      <c r="F376" s="3229">
        <v>540</v>
      </c>
      <c r="G376" s="3242">
        <v>1190</v>
      </c>
    </row>
    <row r="377" spans="1:7" s="3222" customFormat="1" ht="12" thickBot="1">
      <c r="A377" s="3237" t="s">
        <v>3158</v>
      </c>
      <c r="B377" s="3240" t="s">
        <v>2920</v>
      </c>
      <c r="C377" s="3240">
        <v>1930</v>
      </c>
      <c r="D377" s="3240">
        <v>1890</v>
      </c>
      <c r="E377" s="3240">
        <v>1860</v>
      </c>
      <c r="F377" s="3240">
        <v>530</v>
      </c>
      <c r="G377" s="3245">
        <v>1150</v>
      </c>
    </row>
    <row r="378" spans="1:7" s="3222" customFormat="1">
      <c r="A378" s="3246" t="s">
        <v>3168</v>
      </c>
      <c r="B378" s="3225" t="s">
        <v>3169</v>
      </c>
      <c r="C378" s="3225">
        <v>1520</v>
      </c>
      <c r="D378" s="3225">
        <v>1490</v>
      </c>
      <c r="E378" s="3225">
        <v>1460</v>
      </c>
      <c r="F378" s="3225">
        <v>460</v>
      </c>
      <c r="G378" s="3241">
        <v>940</v>
      </c>
    </row>
    <row r="379" spans="1:7" s="3222" customFormat="1">
      <c r="A379" s="3247" t="s">
        <v>3168</v>
      </c>
      <c r="B379" s="3229" t="s">
        <v>3170</v>
      </c>
      <c r="C379" s="3229">
        <v>1500</v>
      </c>
      <c r="D379" s="3229">
        <v>1470</v>
      </c>
      <c r="E379" s="3229">
        <v>1430</v>
      </c>
      <c r="F379" s="3229">
        <v>460</v>
      </c>
      <c r="G379" s="3242">
        <v>920</v>
      </c>
    </row>
    <row r="380" spans="1:7" s="3222" customFormat="1">
      <c r="A380" s="3247" t="s">
        <v>3168</v>
      </c>
      <c r="B380" s="3229" t="s">
        <v>3171</v>
      </c>
      <c r="C380" s="3229">
        <v>1620</v>
      </c>
      <c r="D380" s="3229">
        <v>1590</v>
      </c>
      <c r="E380" s="3229">
        <v>1560</v>
      </c>
      <c r="F380" s="3229">
        <v>480</v>
      </c>
      <c r="G380" s="3242">
        <v>1000</v>
      </c>
    </row>
    <row r="381" spans="1:7" s="3222" customFormat="1">
      <c r="A381" s="3247" t="s">
        <v>3168</v>
      </c>
      <c r="B381" s="3229" t="s">
        <v>3172</v>
      </c>
      <c r="C381" s="3229">
        <v>1460</v>
      </c>
      <c r="D381" s="3229">
        <v>1430</v>
      </c>
      <c r="E381" s="3229">
        <v>1390</v>
      </c>
      <c r="F381" s="3229">
        <v>450</v>
      </c>
      <c r="G381" s="3242">
        <v>900</v>
      </c>
    </row>
    <row r="382" spans="1:7" s="3222" customFormat="1">
      <c r="A382" s="3247" t="s">
        <v>3168</v>
      </c>
      <c r="B382" s="3229" t="s">
        <v>3173</v>
      </c>
      <c r="C382" s="3229">
        <v>1310</v>
      </c>
      <c r="D382" s="3229">
        <v>1280</v>
      </c>
      <c r="E382" s="3229">
        <v>1250</v>
      </c>
      <c r="F382" s="3229">
        <v>440</v>
      </c>
      <c r="G382" s="3242">
        <v>800</v>
      </c>
    </row>
    <row r="383" spans="1:7" s="3222" customFormat="1">
      <c r="A383" s="3247" t="s">
        <v>3168</v>
      </c>
      <c r="B383" s="3229" t="s">
        <v>3174</v>
      </c>
      <c r="C383" s="3229">
        <v>1260</v>
      </c>
      <c r="D383" s="3229">
        <v>1230</v>
      </c>
      <c r="E383" s="3229">
        <v>1200</v>
      </c>
      <c r="F383" s="3229">
        <v>420</v>
      </c>
      <c r="G383" s="3242">
        <v>770</v>
      </c>
    </row>
    <row r="384" spans="1:7" s="3222" customFormat="1" ht="12" thickBot="1">
      <c r="A384" s="3248" t="s">
        <v>3168</v>
      </c>
      <c r="B384" s="3236" t="s">
        <v>3175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0" t="s">
        <v>3176</v>
      </c>
      <c r="B1" s="3810"/>
    </row>
    <row r="2" spans="1:7" ht="14.25" thickBot="1">
      <c r="A2" s="3251"/>
      <c r="B2" s="3251"/>
    </row>
    <row r="3" spans="1:7" ht="14.25" thickBot="1">
      <c r="A3" s="3251"/>
      <c r="B3" s="3251"/>
      <c r="C3" s="3252" t="s">
        <v>2804</v>
      </c>
      <c r="D3" s="3252" t="s">
        <v>2862</v>
      </c>
      <c r="E3" s="3252" t="s">
        <v>2806</v>
      </c>
      <c r="F3" s="3252" t="s">
        <v>2863</v>
      </c>
      <c r="G3" s="3252" t="s">
        <v>2624</v>
      </c>
    </row>
    <row r="4" spans="1:7" ht="14.25" thickBot="1">
      <c r="A4" s="3253" t="s">
        <v>2861</v>
      </c>
      <c r="B4" s="3254" t="s">
        <v>2867</v>
      </c>
      <c r="C4" s="3252"/>
      <c r="D4" s="3252"/>
      <c r="E4" s="3252"/>
      <c r="F4" s="3252"/>
      <c r="G4" s="3252"/>
    </row>
    <row r="5" spans="1:7">
      <c r="A5" s="3255" t="s">
        <v>2835</v>
      </c>
      <c r="B5" s="3256" t="s">
        <v>2849</v>
      </c>
      <c r="C5" s="3257">
        <v>9.8000000000000004E-2</v>
      </c>
      <c r="D5" s="3257">
        <v>8.6999999999999994E-2</v>
      </c>
      <c r="E5" s="3257">
        <v>8.6999999999999994E-2</v>
      </c>
      <c r="F5" s="3257">
        <v>9.8000000000000004E-2</v>
      </c>
      <c r="G5" s="3258">
        <v>9.5000000000000001E-2</v>
      </c>
    </row>
    <row r="6" spans="1:7">
      <c r="A6" s="3259" t="s">
        <v>144</v>
      </c>
      <c r="B6" s="3260" t="s">
        <v>2864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2918</v>
      </c>
      <c r="C29" s="3269"/>
      <c r="D29" s="3265">
        <v>5.1999999999999998E-2</v>
      </c>
      <c r="E29" s="3265">
        <v>7.0000000000000007E-2</v>
      </c>
      <c r="F29" s="3269"/>
      <c r="G29" s="3267">
        <v>7.0999999999999994E-2</v>
      </c>
    </row>
    <row r="30" spans="1:7">
      <c r="A30" s="3270" t="s">
        <v>296</v>
      </c>
      <c r="B30" s="3256" t="s">
        <v>2851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2921</v>
      </c>
      <c r="C50" s="3261">
        <v>9.8000000000000004E-2</v>
      </c>
      <c r="D50" s="3261">
        <v>7.2999999999999995E-2</v>
      </c>
      <c r="E50" s="3261">
        <v>7.0999999999999994E-2</v>
      </c>
      <c r="F50" s="3272"/>
      <c r="G50" s="3262">
        <v>7.2999999999999995E-2</v>
      </c>
    </row>
    <row r="51" spans="1:7">
      <c r="A51" s="3271" t="s">
        <v>296</v>
      </c>
      <c r="B51" s="3260" t="s">
        <v>2923</v>
      </c>
      <c r="C51" s="3261">
        <v>9.9000000000000005E-2</v>
      </c>
      <c r="D51" s="3261">
        <v>8.5000000000000006E-2</v>
      </c>
      <c r="E51" s="3261">
        <v>6.3E-2</v>
      </c>
      <c r="F51" s="3272"/>
      <c r="G51" s="3262">
        <v>9.6000000000000002E-2</v>
      </c>
    </row>
    <row r="52" spans="1:7">
      <c r="A52" s="3271" t="s">
        <v>296</v>
      </c>
      <c r="B52" s="3260" t="s">
        <v>2927</v>
      </c>
      <c r="C52" s="3261">
        <v>7.3999999999999996E-2</v>
      </c>
      <c r="D52" s="3261">
        <v>9.6000000000000002E-2</v>
      </c>
      <c r="E52" s="3261">
        <v>0.05</v>
      </c>
      <c r="F52" s="3272"/>
      <c r="G52" s="3262">
        <v>9.8000000000000004E-2</v>
      </c>
    </row>
    <row r="53" spans="1:7">
      <c r="A53" s="3271" t="s">
        <v>296</v>
      </c>
      <c r="B53" s="3260" t="s">
        <v>2932</v>
      </c>
      <c r="C53" s="3261">
        <v>8.5999999999999993E-2</v>
      </c>
      <c r="D53" s="3272"/>
      <c r="E53" s="3261">
        <v>9.1999999999999998E-2</v>
      </c>
      <c r="F53" s="3272"/>
      <c r="G53" s="3273"/>
    </row>
    <row r="54" spans="1:7" ht="14.25" thickBot="1">
      <c r="A54" s="3274" t="s">
        <v>296</v>
      </c>
      <c r="B54" s="3264" t="s">
        <v>2935</v>
      </c>
      <c r="C54" s="3265">
        <v>9.6000000000000002E-2</v>
      </c>
      <c r="D54" s="3266"/>
      <c r="E54" s="3275"/>
      <c r="F54" s="3266"/>
      <c r="G54" s="3276"/>
    </row>
    <row r="55" spans="1:7">
      <c r="A55" s="3270" t="s">
        <v>110</v>
      </c>
      <c r="B55" s="3256" t="s">
        <v>2852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2933</v>
      </c>
      <c r="C78" s="3261">
        <v>0.1</v>
      </c>
      <c r="D78" s="3261">
        <v>8.5000000000000006E-2</v>
      </c>
      <c r="E78" s="3261">
        <v>9.6000000000000002E-2</v>
      </c>
      <c r="F78" s="3272"/>
      <c r="G78" s="3262">
        <v>9.6000000000000002E-2</v>
      </c>
    </row>
    <row r="79" spans="1:7">
      <c r="A79" s="3271" t="s">
        <v>110</v>
      </c>
      <c r="B79" s="3260" t="s">
        <v>2936</v>
      </c>
      <c r="C79" s="3261">
        <v>0.05</v>
      </c>
      <c r="D79" s="3261">
        <v>9.6000000000000002E-2</v>
      </c>
      <c r="E79" s="3261">
        <v>9.5000000000000001E-2</v>
      </c>
      <c r="F79" s="3272"/>
      <c r="G79" s="3262">
        <v>9.8000000000000004E-2</v>
      </c>
    </row>
    <row r="80" spans="1:7">
      <c r="A80" s="3271" t="s">
        <v>110</v>
      </c>
      <c r="B80" s="3260" t="s">
        <v>2940</v>
      </c>
      <c r="C80" s="3261">
        <v>8.5999999999999993E-2</v>
      </c>
      <c r="D80" s="3277"/>
      <c r="E80" s="3261">
        <v>0.1</v>
      </c>
      <c r="F80" s="3272"/>
      <c r="G80" s="3273"/>
    </row>
    <row r="81" spans="1:7">
      <c r="A81" s="3271" t="s">
        <v>110</v>
      </c>
      <c r="B81" s="3260" t="s">
        <v>2945</v>
      </c>
      <c r="C81" s="3261">
        <v>9.6000000000000002E-2</v>
      </c>
      <c r="D81" s="3272"/>
      <c r="E81" s="3261">
        <v>9.8000000000000004E-2</v>
      </c>
      <c r="F81" s="3272"/>
      <c r="G81" s="3273"/>
    </row>
    <row r="82" spans="1:7">
      <c r="A82" s="3271" t="s">
        <v>110</v>
      </c>
      <c r="B82" s="3260" t="s">
        <v>2952</v>
      </c>
      <c r="C82" s="3277"/>
      <c r="D82" s="3272"/>
      <c r="E82" s="3261">
        <v>7.6999999999999999E-2</v>
      </c>
      <c r="F82" s="3272"/>
      <c r="G82" s="3273"/>
    </row>
    <row r="83" spans="1:7">
      <c r="A83" s="3271" t="s">
        <v>110</v>
      </c>
      <c r="B83" s="3260" t="s">
        <v>2958</v>
      </c>
      <c r="C83" s="3272"/>
      <c r="D83" s="3272"/>
      <c r="E83" s="3272"/>
      <c r="F83" s="3261">
        <v>0.1</v>
      </c>
      <c r="G83" s="3278"/>
    </row>
    <row r="84" spans="1:7">
      <c r="A84" s="3271" t="s">
        <v>110</v>
      </c>
      <c r="B84" s="3260" t="s">
        <v>2965</v>
      </c>
      <c r="C84" s="3272"/>
      <c r="D84" s="3272"/>
      <c r="E84" s="3272"/>
      <c r="F84" s="3261">
        <v>0.1</v>
      </c>
      <c r="G84" s="3278"/>
    </row>
    <row r="85" spans="1:7">
      <c r="A85" s="3271" t="s">
        <v>110</v>
      </c>
      <c r="B85" s="3260" t="s">
        <v>2972</v>
      </c>
      <c r="C85" s="3272"/>
      <c r="D85" s="3272"/>
      <c r="E85" s="3272"/>
      <c r="F85" s="3261">
        <v>0.1</v>
      </c>
      <c r="G85" s="3278"/>
    </row>
    <row r="86" spans="1:7" ht="14.25" thickBot="1">
      <c r="A86" s="3274" t="s">
        <v>110</v>
      </c>
      <c r="B86" s="3264" t="s">
        <v>2977</v>
      </c>
      <c r="C86" s="3265">
        <v>9.8000000000000004E-2</v>
      </c>
      <c r="D86" s="3265">
        <v>9.8000000000000004E-2</v>
      </c>
      <c r="E86" s="3265">
        <v>9.6000000000000002E-2</v>
      </c>
      <c r="F86" s="3275"/>
      <c r="G86" s="3267">
        <v>0.1</v>
      </c>
    </row>
    <row r="87" spans="1:7">
      <c r="A87" s="3270" t="s">
        <v>303</v>
      </c>
      <c r="B87" s="3256" t="s">
        <v>2853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2946</v>
      </c>
      <c r="C113" s="3261">
        <v>0.1</v>
      </c>
      <c r="D113" s="3261">
        <v>0.1</v>
      </c>
      <c r="E113" s="3272"/>
      <c r="F113" s="3272"/>
      <c r="G113" s="3262">
        <v>0.1</v>
      </c>
    </row>
    <row r="114" spans="1:7">
      <c r="A114" s="3271" t="s">
        <v>303</v>
      </c>
      <c r="B114" s="3260" t="s">
        <v>2953</v>
      </c>
      <c r="C114" s="3261">
        <v>9.7000000000000003E-2</v>
      </c>
      <c r="D114" s="3261">
        <v>9.7000000000000003E-2</v>
      </c>
      <c r="E114" s="3272"/>
      <c r="F114" s="3272"/>
      <c r="G114" s="3262">
        <v>9.9000000000000005E-2</v>
      </c>
    </row>
    <row r="115" spans="1:7">
      <c r="A115" s="3271" t="s">
        <v>303</v>
      </c>
      <c r="B115" s="3260" t="s">
        <v>2959</v>
      </c>
      <c r="C115" s="3261">
        <v>0.1</v>
      </c>
      <c r="D115" s="3261">
        <v>0.1</v>
      </c>
      <c r="E115" s="3272"/>
      <c r="F115" s="3272"/>
      <c r="G115" s="3262">
        <v>0.1</v>
      </c>
    </row>
    <row r="116" spans="1:7">
      <c r="A116" s="3271" t="s">
        <v>303</v>
      </c>
      <c r="B116" s="3260" t="s">
        <v>2966</v>
      </c>
      <c r="C116" s="3261">
        <v>0.1</v>
      </c>
      <c r="D116" s="3261">
        <v>0.1</v>
      </c>
      <c r="E116" s="3272"/>
      <c r="F116" s="3272"/>
      <c r="G116" s="3262">
        <v>0.1</v>
      </c>
    </row>
    <row r="117" spans="1:7">
      <c r="A117" s="3271" t="s">
        <v>303</v>
      </c>
      <c r="B117" s="3260" t="s">
        <v>2973</v>
      </c>
      <c r="C117" s="3261">
        <v>9.7000000000000003E-2</v>
      </c>
      <c r="D117" s="3261">
        <v>9.7000000000000003E-2</v>
      </c>
      <c r="E117" s="3272"/>
      <c r="F117" s="3272"/>
      <c r="G117" s="3262">
        <v>9.7000000000000003E-2</v>
      </c>
    </row>
    <row r="118" spans="1:7">
      <c r="A118" s="3271" t="s">
        <v>303</v>
      </c>
      <c r="B118" s="3260" t="s">
        <v>2978</v>
      </c>
      <c r="C118" s="3261">
        <v>0.1</v>
      </c>
      <c r="D118" s="3261">
        <v>0.1</v>
      </c>
      <c r="E118" s="3272"/>
      <c r="F118" s="3272"/>
      <c r="G118" s="3262">
        <v>0.1</v>
      </c>
    </row>
    <row r="119" spans="1:7">
      <c r="A119" s="3271" t="s">
        <v>303</v>
      </c>
      <c r="B119" s="3260" t="s">
        <v>2982</v>
      </c>
      <c r="C119" s="3261">
        <v>5.0999999999999997E-2</v>
      </c>
      <c r="D119" s="3261">
        <v>5.1999999999999998E-2</v>
      </c>
      <c r="E119" s="3272"/>
      <c r="F119" s="3277"/>
      <c r="G119" s="3262">
        <v>0.06</v>
      </c>
    </row>
    <row r="120" spans="1:7">
      <c r="A120" s="3271" t="s">
        <v>303</v>
      </c>
      <c r="B120" s="3260" t="s">
        <v>2986</v>
      </c>
      <c r="C120" s="3272"/>
      <c r="D120" s="3272"/>
      <c r="E120" s="3272"/>
      <c r="F120" s="3261">
        <v>0.1</v>
      </c>
      <c r="G120" s="3278"/>
    </row>
    <row r="121" spans="1:7">
      <c r="A121" s="3271" t="s">
        <v>303</v>
      </c>
      <c r="B121" s="3260" t="s">
        <v>2991</v>
      </c>
      <c r="C121" s="3272"/>
      <c r="D121" s="3272"/>
      <c r="E121" s="3272"/>
      <c r="F121" s="3261">
        <v>0.1</v>
      </c>
      <c r="G121" s="3278"/>
    </row>
    <row r="122" spans="1:7">
      <c r="A122" s="3271" t="s">
        <v>303</v>
      </c>
      <c r="B122" s="3260" t="s">
        <v>2996</v>
      </c>
      <c r="C122" s="3261">
        <v>0.1</v>
      </c>
      <c r="D122" s="3261">
        <v>0.1</v>
      </c>
      <c r="E122" s="3261">
        <v>9.8000000000000004E-2</v>
      </c>
      <c r="F122" s="3261">
        <v>0.1</v>
      </c>
      <c r="G122" s="3262">
        <v>0.1</v>
      </c>
    </row>
    <row r="123" spans="1:7">
      <c r="A123" s="3271" t="s">
        <v>303</v>
      </c>
      <c r="B123" s="3260" t="s">
        <v>3001</v>
      </c>
      <c r="C123" s="3261">
        <v>0.1</v>
      </c>
      <c r="D123" s="3261">
        <v>0.1</v>
      </c>
      <c r="E123" s="3261">
        <v>9.8000000000000004E-2</v>
      </c>
      <c r="F123" s="3261">
        <v>0.1</v>
      </c>
      <c r="G123" s="3262">
        <v>0.1</v>
      </c>
    </row>
    <row r="124" spans="1:7">
      <c r="A124" s="3271" t="s">
        <v>303</v>
      </c>
      <c r="B124" s="3260" t="s">
        <v>3006</v>
      </c>
      <c r="C124" s="3261">
        <v>0.1</v>
      </c>
      <c r="D124" s="3261">
        <v>0.1</v>
      </c>
      <c r="E124" s="3261">
        <v>9.8000000000000004E-2</v>
      </c>
      <c r="F124" s="3277"/>
      <c r="G124" s="3262">
        <v>0.1</v>
      </c>
    </row>
    <row r="125" spans="1:7">
      <c r="A125" s="3271" t="s">
        <v>303</v>
      </c>
      <c r="B125" s="3260" t="s">
        <v>3011</v>
      </c>
      <c r="C125" s="3261">
        <v>9.8000000000000004E-2</v>
      </c>
      <c r="D125" s="3261">
        <v>9.8000000000000004E-2</v>
      </c>
      <c r="E125" s="3261">
        <v>9.6000000000000002E-2</v>
      </c>
      <c r="F125" s="3277"/>
      <c r="G125" s="3262">
        <v>0.1</v>
      </c>
    </row>
    <row r="126" spans="1:7" ht="14.25" thickBot="1">
      <c r="A126" s="3274" t="s">
        <v>303</v>
      </c>
      <c r="B126" s="3264" t="s">
        <v>3177</v>
      </c>
      <c r="C126" s="3265">
        <v>0.1</v>
      </c>
      <c r="D126" s="3265">
        <v>0.1</v>
      </c>
      <c r="E126" s="3265">
        <v>9.8000000000000004E-2</v>
      </c>
      <c r="F126" s="3265">
        <v>0.1</v>
      </c>
      <c r="G126" s="3267">
        <v>0.1</v>
      </c>
    </row>
    <row r="127" spans="1:7">
      <c r="A127" s="3270" t="s">
        <v>29</v>
      </c>
      <c r="B127" s="3256" t="s">
        <v>2854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2924</v>
      </c>
      <c r="C148" s="3261">
        <v>0.13</v>
      </c>
      <c r="D148" s="3261">
        <v>0.13</v>
      </c>
      <c r="E148" s="3261">
        <v>0.13</v>
      </c>
      <c r="F148" s="3272"/>
      <c r="G148" s="3262">
        <v>0.13</v>
      </c>
    </row>
    <row r="149" spans="1:7">
      <c r="A149" s="3271" t="s">
        <v>29</v>
      </c>
      <c r="B149" s="3260" t="s">
        <v>2928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2947</v>
      </c>
      <c r="C153" s="3261">
        <v>0.13</v>
      </c>
      <c r="D153" s="3261">
        <v>0.13</v>
      </c>
      <c r="E153" s="3261">
        <v>0.13</v>
      </c>
      <c r="F153" s="3261">
        <v>0.13</v>
      </c>
      <c r="G153" s="3262">
        <v>0.13</v>
      </c>
    </row>
    <row r="154" spans="1:7">
      <c r="A154" s="3271" t="s">
        <v>29</v>
      </c>
      <c r="B154" s="3260" t="s">
        <v>2954</v>
      </c>
      <c r="C154" s="3261">
        <v>0.121</v>
      </c>
      <c r="D154" s="3261">
        <v>0.121</v>
      </c>
      <c r="E154" s="3261">
        <v>0.105</v>
      </c>
      <c r="F154" s="3261">
        <v>0.121</v>
      </c>
      <c r="G154" s="3262">
        <v>0.123</v>
      </c>
    </row>
    <row r="155" spans="1:7">
      <c r="A155" s="3271" t="s">
        <v>29</v>
      </c>
      <c r="B155" s="3260" t="s">
        <v>2960</v>
      </c>
      <c r="C155" s="3261">
        <v>0.1</v>
      </c>
      <c r="D155" s="3261">
        <v>0.1</v>
      </c>
      <c r="E155" s="3261">
        <v>0.1</v>
      </c>
      <c r="F155" s="3261">
        <v>0.1</v>
      </c>
      <c r="G155" s="3262">
        <v>0.1</v>
      </c>
    </row>
    <row r="156" spans="1:7">
      <c r="A156" s="3271" t="s">
        <v>29</v>
      </c>
      <c r="B156" s="3260" t="s">
        <v>2967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2987</v>
      </c>
      <c r="C160" s="3261">
        <v>0.13</v>
      </c>
      <c r="D160" s="3261">
        <v>0.13</v>
      </c>
      <c r="E160" s="3261">
        <v>0.124</v>
      </c>
      <c r="F160" s="3261">
        <v>0.126</v>
      </c>
      <c r="G160" s="3262">
        <v>0.13</v>
      </c>
    </row>
    <row r="161" spans="1:7">
      <c r="A161" s="3271" t="s">
        <v>29</v>
      </c>
      <c r="B161" s="3260" t="s">
        <v>2992</v>
      </c>
      <c r="C161" s="3261">
        <v>0.13</v>
      </c>
      <c r="D161" s="3261">
        <v>0.13</v>
      </c>
      <c r="E161" s="3261">
        <v>0.124</v>
      </c>
      <c r="F161" s="3261">
        <v>0.127</v>
      </c>
      <c r="G161" s="3262">
        <v>0.13</v>
      </c>
    </row>
    <row r="162" spans="1:7">
      <c r="A162" s="3271" t="s">
        <v>29</v>
      </c>
      <c r="B162" s="3260" t="s">
        <v>2997</v>
      </c>
      <c r="C162" s="3261">
        <v>0.1</v>
      </c>
      <c r="D162" s="3261">
        <v>0.1</v>
      </c>
      <c r="E162" s="3261">
        <v>0.1</v>
      </c>
      <c r="F162" s="3261">
        <v>0.121</v>
      </c>
      <c r="G162" s="3262">
        <v>0.105</v>
      </c>
    </row>
    <row r="163" spans="1:7">
      <c r="A163" s="3271" t="s">
        <v>29</v>
      </c>
      <c r="B163" s="3260" t="s">
        <v>3002</v>
      </c>
      <c r="C163" s="3261">
        <v>0.1</v>
      </c>
      <c r="D163" s="3261">
        <v>0.1</v>
      </c>
      <c r="E163" s="3261">
        <v>0.1</v>
      </c>
      <c r="F163" s="3261">
        <v>0.1</v>
      </c>
      <c r="G163" s="3262">
        <v>0.1</v>
      </c>
    </row>
    <row r="164" spans="1:7">
      <c r="A164" s="3271" t="s">
        <v>29</v>
      </c>
      <c r="B164" s="3260" t="s">
        <v>3007</v>
      </c>
      <c r="C164" s="3277"/>
      <c r="D164" s="3277"/>
      <c r="E164" s="3277"/>
      <c r="F164" s="3261">
        <v>0.1</v>
      </c>
      <c r="G164" s="3273"/>
    </row>
    <row r="165" spans="1:7">
      <c r="A165" s="3271" t="s">
        <v>29</v>
      </c>
      <c r="B165" s="3260" t="s">
        <v>3178</v>
      </c>
      <c r="C165" s="3261">
        <v>0.126</v>
      </c>
      <c r="D165" s="3261">
        <v>0.126</v>
      </c>
      <c r="E165" s="3261">
        <v>0.11899999999999999</v>
      </c>
      <c r="F165" s="3261">
        <v>0.13</v>
      </c>
      <c r="G165" s="3262">
        <v>0.128</v>
      </c>
    </row>
    <row r="166" spans="1:7">
      <c r="A166" s="3271" t="s">
        <v>29</v>
      </c>
      <c r="B166" s="3260" t="s">
        <v>3017</v>
      </c>
      <c r="C166" s="3261">
        <v>0.129</v>
      </c>
      <c r="D166" s="3261">
        <v>0.129</v>
      </c>
      <c r="E166" s="3261">
        <v>0.123</v>
      </c>
      <c r="F166" s="3261">
        <v>0.128</v>
      </c>
      <c r="G166" s="3262">
        <v>0.13</v>
      </c>
    </row>
    <row r="167" spans="1:7">
      <c r="A167" s="3271" t="s">
        <v>29</v>
      </c>
      <c r="B167" s="3260" t="s">
        <v>3021</v>
      </c>
      <c r="C167" s="3261">
        <v>0.125</v>
      </c>
      <c r="D167" s="3261">
        <v>0.125</v>
      </c>
      <c r="E167" s="3261">
        <v>0.11700000000000001</v>
      </c>
      <c r="F167" s="3261">
        <v>0.13</v>
      </c>
      <c r="G167" s="3262">
        <v>0.126</v>
      </c>
    </row>
    <row r="168" spans="1:7">
      <c r="A168" s="3271" t="s">
        <v>29</v>
      </c>
      <c r="B168" s="3260" t="s">
        <v>3026</v>
      </c>
      <c r="C168" s="3261">
        <v>0.128</v>
      </c>
      <c r="D168" s="3261">
        <v>0.128</v>
      </c>
      <c r="E168" s="3261">
        <v>0.123</v>
      </c>
      <c r="F168" s="3272"/>
      <c r="G168" s="3262">
        <v>0.13</v>
      </c>
    </row>
    <row r="169" spans="1:7">
      <c r="A169" s="3271" t="s">
        <v>29</v>
      </c>
      <c r="B169" s="3260" t="s">
        <v>3179</v>
      </c>
      <c r="C169" s="3277"/>
      <c r="D169" s="3277"/>
      <c r="E169" s="3277"/>
      <c r="F169" s="3261">
        <v>0.05</v>
      </c>
      <c r="G169" s="3273"/>
    </row>
    <row r="170" spans="1:7">
      <c r="A170" s="3271" t="s">
        <v>29</v>
      </c>
      <c r="B170" s="3260" t="s">
        <v>3180</v>
      </c>
      <c r="C170" s="3277"/>
      <c r="D170" s="3277"/>
      <c r="E170" s="3277"/>
      <c r="F170" s="3261">
        <v>0.05</v>
      </c>
      <c r="G170" s="3273"/>
    </row>
    <row r="171" spans="1:7">
      <c r="A171" s="3271" t="s">
        <v>29</v>
      </c>
      <c r="B171" s="3260" t="s">
        <v>3181</v>
      </c>
      <c r="C171" s="3277"/>
      <c r="D171" s="3277"/>
      <c r="E171" s="3277"/>
      <c r="F171" s="3261">
        <v>0.05</v>
      </c>
      <c r="G171" s="3278"/>
    </row>
    <row r="172" spans="1:7">
      <c r="A172" s="3271" t="s">
        <v>29</v>
      </c>
      <c r="B172" s="3260" t="s">
        <v>3182</v>
      </c>
      <c r="C172" s="3277"/>
      <c r="D172" s="3277"/>
      <c r="E172" s="3277"/>
      <c r="F172" s="3261">
        <v>0.05</v>
      </c>
      <c r="G172" s="3278"/>
    </row>
    <row r="173" spans="1:7">
      <c r="A173" s="3271" t="s">
        <v>29</v>
      </c>
      <c r="B173" s="3260" t="s">
        <v>3183</v>
      </c>
      <c r="C173" s="3277"/>
      <c r="D173" s="3277"/>
      <c r="E173" s="3277"/>
      <c r="F173" s="3261">
        <v>0.05</v>
      </c>
      <c r="G173" s="3273"/>
    </row>
    <row r="174" spans="1:7">
      <c r="A174" s="3271" t="s">
        <v>29</v>
      </c>
      <c r="B174" s="3260" t="s">
        <v>3184</v>
      </c>
      <c r="C174" s="3277"/>
      <c r="D174" s="3277"/>
      <c r="E174" s="3277"/>
      <c r="F174" s="3261">
        <v>0.05</v>
      </c>
      <c r="G174" s="3273"/>
    </row>
    <row r="175" spans="1:7">
      <c r="A175" s="3271" t="s">
        <v>29</v>
      </c>
      <c r="B175" s="3260" t="s">
        <v>3185</v>
      </c>
      <c r="C175" s="3277"/>
      <c r="D175" s="3277"/>
      <c r="E175" s="3277"/>
      <c r="F175" s="3261">
        <v>0.05</v>
      </c>
      <c r="G175" s="3273"/>
    </row>
    <row r="176" spans="1:7">
      <c r="A176" s="3271" t="s">
        <v>29</v>
      </c>
      <c r="B176" s="3260" t="s">
        <v>3186</v>
      </c>
      <c r="C176" s="3277"/>
      <c r="D176" s="3277"/>
      <c r="E176" s="3277"/>
      <c r="F176" s="3261">
        <v>0.05</v>
      </c>
      <c r="G176" s="3273"/>
    </row>
    <row r="177" spans="1:7">
      <c r="A177" s="3271" t="s">
        <v>29</v>
      </c>
      <c r="B177" s="3260" t="s">
        <v>3187</v>
      </c>
      <c r="C177" s="3272"/>
      <c r="D177" s="3272"/>
      <c r="E177" s="3272"/>
      <c r="F177" s="3261">
        <v>0.05</v>
      </c>
      <c r="G177" s="3278"/>
    </row>
    <row r="178" spans="1:7">
      <c r="A178" s="3271" t="s">
        <v>29</v>
      </c>
      <c r="B178" s="3260" t="s">
        <v>3188</v>
      </c>
      <c r="C178" s="3272"/>
      <c r="D178" s="3272"/>
      <c r="E178" s="3272"/>
      <c r="F178" s="3261">
        <v>0.05</v>
      </c>
      <c r="G178" s="3278"/>
    </row>
    <row r="179" spans="1:7">
      <c r="A179" s="3271" t="s">
        <v>29</v>
      </c>
      <c r="B179" s="3260" t="s">
        <v>3189</v>
      </c>
      <c r="C179" s="3272"/>
      <c r="D179" s="3272"/>
      <c r="E179" s="3272"/>
      <c r="F179" s="3261">
        <v>0.05</v>
      </c>
      <c r="G179" s="3278"/>
    </row>
    <row r="180" spans="1:7">
      <c r="A180" s="3271" t="s">
        <v>29</v>
      </c>
      <c r="B180" s="3260" t="s">
        <v>3190</v>
      </c>
      <c r="C180" s="3272"/>
      <c r="D180" s="3272"/>
      <c r="E180" s="3272"/>
      <c r="F180" s="3261">
        <v>0.05</v>
      </c>
      <c r="G180" s="3278"/>
    </row>
    <row r="181" spans="1:7">
      <c r="A181" s="3271" t="s">
        <v>29</v>
      </c>
      <c r="B181" s="3260" t="s">
        <v>3191</v>
      </c>
      <c r="C181" s="3272"/>
      <c r="D181" s="3272"/>
      <c r="E181" s="3272"/>
      <c r="F181" s="3261">
        <v>0.05</v>
      </c>
      <c r="G181" s="3278"/>
    </row>
    <row r="182" spans="1:7">
      <c r="A182" s="3271" t="s">
        <v>29</v>
      </c>
      <c r="B182" s="3260" t="s">
        <v>3192</v>
      </c>
      <c r="C182" s="3272"/>
      <c r="D182" s="3272"/>
      <c r="E182" s="3272"/>
      <c r="F182" s="3261">
        <v>0.05</v>
      </c>
      <c r="G182" s="3278"/>
    </row>
    <row r="183" spans="1:7">
      <c r="A183" s="3271" t="s">
        <v>29</v>
      </c>
      <c r="B183" s="3260" t="s">
        <v>3193</v>
      </c>
      <c r="C183" s="3272"/>
      <c r="D183" s="3272"/>
      <c r="E183" s="3272"/>
      <c r="F183" s="3261">
        <v>0.05</v>
      </c>
      <c r="G183" s="3278"/>
    </row>
    <row r="184" spans="1:7">
      <c r="A184" s="3271" t="s">
        <v>29</v>
      </c>
      <c r="B184" s="3260" t="s">
        <v>3194</v>
      </c>
      <c r="C184" s="3272"/>
      <c r="D184" s="3272"/>
      <c r="E184" s="3272"/>
      <c r="F184" s="3261">
        <v>0.05</v>
      </c>
      <c r="G184" s="3278"/>
    </row>
    <row r="185" spans="1:7">
      <c r="A185" s="3271" t="s">
        <v>29</v>
      </c>
      <c r="B185" s="3260" t="s">
        <v>3195</v>
      </c>
      <c r="C185" s="3272"/>
      <c r="D185" s="3272"/>
      <c r="E185" s="3272"/>
      <c r="F185" s="3261">
        <v>0.05</v>
      </c>
      <c r="G185" s="3278"/>
    </row>
    <row r="186" spans="1:7">
      <c r="A186" s="3271" t="s">
        <v>29</v>
      </c>
      <c r="B186" s="3260" t="s">
        <v>3196</v>
      </c>
      <c r="C186" s="3272"/>
      <c r="D186" s="3272"/>
      <c r="E186" s="3272"/>
      <c r="F186" s="3261">
        <v>0.05</v>
      </c>
      <c r="G186" s="3278"/>
    </row>
    <row r="187" spans="1:7">
      <c r="A187" s="3271" t="s">
        <v>29</v>
      </c>
      <c r="B187" s="3260" t="s">
        <v>3197</v>
      </c>
      <c r="C187" s="3272"/>
      <c r="D187" s="3272"/>
      <c r="E187" s="3272"/>
      <c r="F187" s="3261">
        <v>0.05</v>
      </c>
      <c r="G187" s="3278"/>
    </row>
    <row r="188" spans="1:7">
      <c r="A188" s="3271" t="s">
        <v>29</v>
      </c>
      <c r="B188" s="3260" t="s">
        <v>3198</v>
      </c>
      <c r="C188" s="3272"/>
      <c r="D188" s="3272"/>
      <c r="E188" s="3272"/>
      <c r="F188" s="3261">
        <v>0.05</v>
      </c>
      <c r="G188" s="3278"/>
    </row>
    <row r="189" spans="1:7" ht="14.25" thickBot="1">
      <c r="A189" s="3274" t="s">
        <v>29</v>
      </c>
      <c r="B189" s="3264" t="s">
        <v>3199</v>
      </c>
      <c r="C189" s="3266"/>
      <c r="D189" s="3266"/>
      <c r="E189" s="3266"/>
      <c r="F189" s="3265">
        <v>0.05</v>
      </c>
      <c r="G189" s="3279"/>
    </row>
    <row r="190" spans="1:7">
      <c r="A190" s="3270" t="s">
        <v>304</v>
      </c>
      <c r="B190" s="3256" t="s">
        <v>2855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2891</v>
      </c>
      <c r="C199" s="3261">
        <v>0.13</v>
      </c>
      <c r="D199" s="3261">
        <v>0.13</v>
      </c>
      <c r="E199" s="3261">
        <v>0.13</v>
      </c>
      <c r="F199" s="3261">
        <v>0.13</v>
      </c>
      <c r="G199" s="3262">
        <v>0.13</v>
      </c>
    </row>
    <row r="200" spans="1:7">
      <c r="A200" s="3271" t="s">
        <v>304</v>
      </c>
      <c r="B200" s="3260" t="s">
        <v>2894</v>
      </c>
      <c r="C200" s="3277"/>
      <c r="D200" s="3277"/>
      <c r="E200" s="3277"/>
      <c r="F200" s="3261">
        <v>0.13</v>
      </c>
      <c r="G200" s="3273"/>
    </row>
    <row r="201" spans="1:7">
      <c r="A201" s="3271" t="s">
        <v>304</v>
      </c>
      <c r="B201" s="3260" t="s">
        <v>2899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2902</v>
      </c>
      <c r="C203" s="3261">
        <v>0.129</v>
      </c>
      <c r="D203" s="3261">
        <v>0.129</v>
      </c>
      <c r="E203" s="3261">
        <v>0.13</v>
      </c>
      <c r="F203" s="3261">
        <v>0.13</v>
      </c>
      <c r="G203" s="3262">
        <v>0.13</v>
      </c>
    </row>
    <row r="204" spans="1:7">
      <c r="A204" s="3271" t="s">
        <v>304</v>
      </c>
      <c r="B204" s="3260" t="s">
        <v>2905</v>
      </c>
      <c r="C204" s="3261">
        <v>0.129</v>
      </c>
      <c r="D204" s="3261">
        <v>0.129</v>
      </c>
      <c r="E204" s="3261">
        <v>0.123</v>
      </c>
      <c r="F204" s="3261">
        <v>0.13</v>
      </c>
      <c r="G204" s="3262">
        <v>0.13</v>
      </c>
    </row>
    <row r="205" spans="1:7">
      <c r="A205" s="3271" t="s">
        <v>304</v>
      </c>
      <c r="B205" s="3260" t="s">
        <v>2907</v>
      </c>
      <c r="C205" s="3261">
        <v>0.13</v>
      </c>
      <c r="D205" s="3261">
        <v>0.13</v>
      </c>
      <c r="E205" s="3261">
        <v>0.13</v>
      </c>
      <c r="F205" s="3261">
        <v>0.13</v>
      </c>
      <c r="G205" s="3262">
        <v>0.13</v>
      </c>
    </row>
    <row r="206" spans="1:7">
      <c r="A206" s="3271" t="s">
        <v>304</v>
      </c>
      <c r="B206" s="3260" t="s">
        <v>2910</v>
      </c>
      <c r="C206" s="3261">
        <v>0.13</v>
      </c>
      <c r="D206" s="3261">
        <v>0.13</v>
      </c>
      <c r="E206" s="3261">
        <v>0.13</v>
      </c>
      <c r="F206" s="3261">
        <v>0.128</v>
      </c>
      <c r="G206" s="3262">
        <v>0.13</v>
      </c>
    </row>
    <row r="207" spans="1:7">
      <c r="A207" s="3271" t="s">
        <v>304</v>
      </c>
      <c r="B207" s="3260" t="s">
        <v>2912</v>
      </c>
      <c r="C207" s="3261">
        <v>0.13</v>
      </c>
      <c r="D207" s="3261">
        <v>0.13</v>
      </c>
      <c r="E207" s="3261">
        <v>0.13</v>
      </c>
      <c r="F207" s="3261">
        <v>0.13</v>
      </c>
      <c r="G207" s="3262">
        <v>0.13</v>
      </c>
    </row>
    <row r="208" spans="1:7">
      <c r="A208" s="3271" t="s">
        <v>304</v>
      </c>
      <c r="B208" s="3260" t="s">
        <v>2915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2922</v>
      </c>
      <c r="C210" s="3261">
        <v>0.121</v>
      </c>
      <c r="D210" s="3261">
        <v>0.121</v>
      </c>
      <c r="E210" s="3261">
        <v>0.125</v>
      </c>
      <c r="F210" s="3261">
        <v>0.13</v>
      </c>
      <c r="G210" s="3262">
        <v>0.123</v>
      </c>
    </row>
    <row r="211" spans="1:7">
      <c r="A211" s="3271" t="s">
        <v>304</v>
      </c>
      <c r="B211" s="3260" t="s">
        <v>2925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2937</v>
      </c>
      <c r="C214" s="3261">
        <v>0.128</v>
      </c>
      <c r="D214" s="3261">
        <v>0.128</v>
      </c>
      <c r="E214" s="3261">
        <v>0.13</v>
      </c>
      <c r="F214" s="3261">
        <v>0.13</v>
      </c>
      <c r="G214" s="3262">
        <v>0.13</v>
      </c>
    </row>
    <row r="215" spans="1:7">
      <c r="A215" s="3271" t="s">
        <v>304</v>
      </c>
      <c r="B215" s="3260" t="s">
        <v>2941</v>
      </c>
      <c r="C215" s="3261">
        <v>0.13</v>
      </c>
      <c r="D215" s="3261">
        <v>0.13</v>
      </c>
      <c r="E215" s="3261">
        <v>0.13</v>
      </c>
      <c r="F215" s="3261">
        <v>0.129</v>
      </c>
      <c r="G215" s="3262">
        <v>0.13</v>
      </c>
    </row>
    <row r="216" spans="1:7">
      <c r="A216" s="3271" t="s">
        <v>304</v>
      </c>
      <c r="B216" s="3260" t="s">
        <v>2948</v>
      </c>
      <c r="C216" s="3261">
        <v>0.13</v>
      </c>
      <c r="D216" s="3261">
        <v>0.13</v>
      </c>
      <c r="E216" s="3261">
        <v>0.13</v>
      </c>
      <c r="F216" s="3261">
        <v>0.13</v>
      </c>
      <c r="G216" s="3262">
        <v>0.13</v>
      </c>
    </row>
    <row r="217" spans="1:7">
      <c r="A217" s="3271" t="s">
        <v>304</v>
      </c>
      <c r="B217" s="3260" t="s">
        <v>2955</v>
      </c>
      <c r="C217" s="3261">
        <v>0.129</v>
      </c>
      <c r="D217" s="3261">
        <v>0.129</v>
      </c>
      <c r="E217" s="3261">
        <v>0.13</v>
      </c>
      <c r="F217" s="3261">
        <v>0.13</v>
      </c>
      <c r="G217" s="3262">
        <v>0.13</v>
      </c>
    </row>
    <row r="218" spans="1:7">
      <c r="A218" s="3271" t="s">
        <v>304</v>
      </c>
      <c r="B218" s="3260" t="s">
        <v>2961</v>
      </c>
      <c r="C218" s="3272"/>
      <c r="D218" s="3272"/>
      <c r="E218" s="3272"/>
      <c r="F218" s="3261">
        <v>0.05</v>
      </c>
      <c r="G218" s="3278"/>
    </row>
    <row r="219" spans="1:7">
      <c r="A219" s="3271" t="s">
        <v>304</v>
      </c>
      <c r="B219" s="3260" t="s">
        <v>2968</v>
      </c>
      <c r="C219" s="3272"/>
      <c r="D219" s="3272"/>
      <c r="E219" s="3272"/>
      <c r="F219" s="3261">
        <v>0.05</v>
      </c>
      <c r="G219" s="3278"/>
    </row>
    <row r="220" spans="1:7">
      <c r="A220" s="3271" t="s">
        <v>304</v>
      </c>
      <c r="B220" s="3260" t="s">
        <v>2974</v>
      </c>
      <c r="C220" s="3272"/>
      <c r="D220" s="3272"/>
      <c r="E220" s="3272"/>
      <c r="F220" s="3261">
        <v>0.05</v>
      </c>
      <c r="G220" s="3278"/>
    </row>
    <row r="221" spans="1:7">
      <c r="A221" s="3271" t="s">
        <v>304</v>
      </c>
      <c r="B221" s="3260" t="s">
        <v>2979</v>
      </c>
      <c r="C221" s="3272"/>
      <c r="D221" s="3272"/>
      <c r="E221" s="3272"/>
      <c r="F221" s="3261">
        <v>0.05</v>
      </c>
      <c r="G221" s="3278"/>
    </row>
    <row r="222" spans="1:7">
      <c r="A222" s="3271" t="s">
        <v>304</v>
      </c>
      <c r="B222" s="3260" t="s">
        <v>2983</v>
      </c>
      <c r="C222" s="3272"/>
      <c r="D222" s="3272"/>
      <c r="E222" s="3272"/>
      <c r="F222" s="3261">
        <v>0.05</v>
      </c>
      <c r="G222" s="3278"/>
    </row>
    <row r="223" spans="1:7">
      <c r="A223" s="3271" t="s">
        <v>304</v>
      </c>
      <c r="B223" s="3260" t="s">
        <v>2988</v>
      </c>
      <c r="C223" s="3272"/>
      <c r="D223" s="3272"/>
      <c r="E223" s="3272"/>
      <c r="F223" s="3261">
        <v>0.05</v>
      </c>
      <c r="G223" s="3278"/>
    </row>
    <row r="224" spans="1:7">
      <c r="A224" s="3271" t="s">
        <v>304</v>
      </c>
      <c r="B224" s="3260" t="s">
        <v>2993</v>
      </c>
      <c r="C224" s="3272"/>
      <c r="D224" s="3272"/>
      <c r="E224" s="3272"/>
      <c r="F224" s="3261">
        <v>0.05</v>
      </c>
      <c r="G224" s="3278"/>
    </row>
    <row r="225" spans="1:7">
      <c r="A225" s="3271" t="s">
        <v>304</v>
      </c>
      <c r="B225" s="3260" t="s">
        <v>2998</v>
      </c>
      <c r="C225" s="3272"/>
      <c r="D225" s="3272"/>
      <c r="E225" s="3272"/>
      <c r="F225" s="3261">
        <v>0.05</v>
      </c>
      <c r="G225" s="3278"/>
    </row>
    <row r="226" spans="1:7">
      <c r="A226" s="3271" t="s">
        <v>304</v>
      </c>
      <c r="B226" s="3260" t="s">
        <v>3200</v>
      </c>
      <c r="C226" s="3272"/>
      <c r="D226" s="3272"/>
      <c r="E226" s="3272"/>
      <c r="F226" s="3261">
        <v>0.05</v>
      </c>
      <c r="G226" s="3278"/>
    </row>
    <row r="227" spans="1:7">
      <c r="A227" s="3271" t="s">
        <v>304</v>
      </c>
      <c r="B227" s="3260" t="s">
        <v>3201</v>
      </c>
      <c r="C227" s="3272"/>
      <c r="D227" s="3272"/>
      <c r="E227" s="3272"/>
      <c r="F227" s="3261">
        <v>0.05</v>
      </c>
      <c r="G227" s="3278"/>
    </row>
    <row r="228" spans="1:7">
      <c r="A228" s="3271" t="s">
        <v>304</v>
      </c>
      <c r="B228" s="3260" t="s">
        <v>3202</v>
      </c>
      <c r="C228" s="3272"/>
      <c r="D228" s="3272"/>
      <c r="E228" s="3272"/>
      <c r="F228" s="3261">
        <v>0.05</v>
      </c>
      <c r="G228" s="3278"/>
    </row>
    <row r="229" spans="1:7">
      <c r="A229" s="3271" t="s">
        <v>304</v>
      </c>
      <c r="B229" s="3260" t="s">
        <v>3203</v>
      </c>
      <c r="C229" s="3272"/>
      <c r="D229" s="3272"/>
      <c r="E229" s="3272"/>
      <c r="F229" s="3261">
        <v>0.05</v>
      </c>
      <c r="G229" s="3278"/>
    </row>
    <row r="230" spans="1:7">
      <c r="A230" s="3271" t="s">
        <v>304</v>
      </c>
      <c r="B230" s="3260" t="s">
        <v>3204</v>
      </c>
      <c r="C230" s="3272"/>
      <c r="D230" s="3272"/>
      <c r="E230" s="3272"/>
      <c r="F230" s="3261">
        <v>0.05</v>
      </c>
      <c r="G230" s="3278"/>
    </row>
    <row r="231" spans="1:7">
      <c r="A231" s="3271" t="s">
        <v>304</v>
      </c>
      <c r="B231" s="3260" t="s">
        <v>3205</v>
      </c>
      <c r="C231" s="3272"/>
      <c r="D231" s="3272"/>
      <c r="E231" s="3272"/>
      <c r="F231" s="3261">
        <v>0.05</v>
      </c>
      <c r="G231" s="3278"/>
    </row>
    <row r="232" spans="1:7">
      <c r="A232" s="3271" t="s">
        <v>304</v>
      </c>
      <c r="B232" s="3260" t="s">
        <v>3206</v>
      </c>
      <c r="C232" s="3272"/>
      <c r="D232" s="3272"/>
      <c r="E232" s="3272"/>
      <c r="F232" s="3261">
        <v>0.05</v>
      </c>
      <c r="G232" s="3278"/>
    </row>
    <row r="233" spans="1:7" ht="14.25" thickBot="1">
      <c r="A233" s="3274" t="s">
        <v>304</v>
      </c>
      <c r="B233" s="3264" t="s">
        <v>3207</v>
      </c>
      <c r="C233" s="3266"/>
      <c r="D233" s="3266"/>
      <c r="E233" s="3266"/>
      <c r="F233" s="3265">
        <v>0.05</v>
      </c>
      <c r="G233" s="3279"/>
    </row>
    <row r="234" spans="1:7">
      <c r="A234" s="3270" t="s">
        <v>305</v>
      </c>
      <c r="B234" s="3256" t="s">
        <v>2856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2876</v>
      </c>
      <c r="C238" s="3261">
        <v>0.14899999999999999</v>
      </c>
      <c r="D238" s="3261">
        <v>0.14899999999999999</v>
      </c>
      <c r="E238" s="3261">
        <v>0.15</v>
      </c>
      <c r="F238" s="3261">
        <v>0.15</v>
      </c>
      <c r="G238" s="3262">
        <v>0.15</v>
      </c>
    </row>
    <row r="239" spans="1:7">
      <c r="A239" s="3271" t="s">
        <v>305</v>
      </c>
      <c r="B239" s="3260" t="s">
        <v>2880</v>
      </c>
      <c r="C239" s="3261">
        <v>0.15</v>
      </c>
      <c r="D239" s="3261">
        <v>0.15</v>
      </c>
      <c r="E239" s="3261">
        <v>0.15</v>
      </c>
      <c r="F239" s="3261">
        <v>0.15</v>
      </c>
      <c r="G239" s="3262">
        <v>0.15</v>
      </c>
    </row>
    <row r="240" spans="1:7">
      <c r="A240" s="3271" t="s">
        <v>305</v>
      </c>
      <c r="B240" s="3260" t="s">
        <v>2885</v>
      </c>
      <c r="C240" s="3261">
        <v>0.15</v>
      </c>
      <c r="D240" s="3261">
        <v>0.15</v>
      </c>
      <c r="E240" s="3261">
        <v>0.15</v>
      </c>
      <c r="F240" s="3261">
        <v>0.15</v>
      </c>
      <c r="G240" s="3262">
        <v>0.15</v>
      </c>
    </row>
    <row r="241" spans="1:7">
      <c r="A241" s="3271" t="s">
        <v>305</v>
      </c>
      <c r="B241" s="3260" t="s">
        <v>2889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2938</v>
      </c>
      <c r="C258" s="3261">
        <v>0.14299999999999999</v>
      </c>
      <c r="D258" s="3261">
        <v>0.14299999999999999</v>
      </c>
      <c r="E258" s="3261">
        <v>0.15</v>
      </c>
      <c r="F258" s="3261">
        <v>0.14799999999999999</v>
      </c>
      <c r="G258" s="3262">
        <v>0.14599999999999999</v>
      </c>
    </row>
    <row r="259" spans="1:7">
      <c r="A259" s="3271" t="s">
        <v>305</v>
      </c>
      <c r="B259" s="3260" t="s">
        <v>2942</v>
      </c>
      <c r="C259" s="3261">
        <v>0.14399999999999999</v>
      </c>
      <c r="D259" s="3261">
        <v>0.14399999999999999</v>
      </c>
      <c r="E259" s="3261">
        <v>0.14899999999999999</v>
      </c>
      <c r="F259" s="3261">
        <v>0.14699999999999999</v>
      </c>
      <c r="G259" s="3262">
        <v>0.14599999999999999</v>
      </c>
    </row>
    <row r="260" spans="1:7">
      <c r="A260" s="3271" t="s">
        <v>305</v>
      </c>
      <c r="B260" s="3260" t="s">
        <v>2949</v>
      </c>
      <c r="C260" s="3261">
        <v>0.109</v>
      </c>
      <c r="D260" s="3261">
        <v>0.111</v>
      </c>
      <c r="E260" s="3261">
        <v>0.13100000000000001</v>
      </c>
      <c r="F260" s="3261">
        <v>0.126</v>
      </c>
      <c r="G260" s="3262">
        <v>0.11899999999999999</v>
      </c>
    </row>
    <row r="261" spans="1:7">
      <c r="A261" s="3271" t="s">
        <v>305</v>
      </c>
      <c r="B261" s="3260" t="s">
        <v>2956</v>
      </c>
      <c r="C261" s="3261">
        <v>0.1</v>
      </c>
      <c r="D261" s="3261">
        <v>0.1</v>
      </c>
      <c r="E261" s="3261">
        <v>0.11799999999999999</v>
      </c>
      <c r="F261" s="3261">
        <v>0.108</v>
      </c>
      <c r="G261" s="3262">
        <v>0.107</v>
      </c>
    </row>
    <row r="262" spans="1:7">
      <c r="A262" s="3271" t="s">
        <v>305</v>
      </c>
      <c r="B262" s="3260" t="s">
        <v>2962</v>
      </c>
      <c r="C262" s="3261">
        <v>0.1</v>
      </c>
      <c r="D262" s="3261">
        <v>0.1</v>
      </c>
      <c r="E262" s="3261">
        <v>0.1</v>
      </c>
      <c r="F262" s="3261">
        <v>0.14099999999999999</v>
      </c>
      <c r="G262" s="3262">
        <v>0.1</v>
      </c>
    </row>
    <row r="263" spans="1:7">
      <c r="A263" s="3271" t="s">
        <v>305</v>
      </c>
      <c r="B263" s="3260" t="s">
        <v>2969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2980</v>
      </c>
      <c r="C265" s="3272"/>
      <c r="D265" s="3272"/>
      <c r="E265" s="3272"/>
      <c r="F265" s="3261">
        <v>0.05</v>
      </c>
      <c r="G265" s="3278"/>
    </row>
    <row r="266" spans="1:7">
      <c r="A266" s="3271" t="s">
        <v>305</v>
      </c>
      <c r="B266" s="3260" t="s">
        <v>2984</v>
      </c>
      <c r="C266" s="3272"/>
      <c r="D266" s="3272"/>
      <c r="E266" s="3272"/>
      <c r="F266" s="3261">
        <v>0.05</v>
      </c>
      <c r="G266" s="3278"/>
    </row>
    <row r="267" spans="1:7">
      <c r="A267" s="3271" t="s">
        <v>305</v>
      </c>
      <c r="B267" s="3260" t="s">
        <v>2989</v>
      </c>
      <c r="C267" s="3272"/>
      <c r="D267" s="3272"/>
      <c r="E267" s="3272"/>
      <c r="F267" s="3261">
        <v>0.05</v>
      </c>
      <c r="G267" s="3278"/>
    </row>
    <row r="268" spans="1:7">
      <c r="A268" s="3271" t="s">
        <v>305</v>
      </c>
      <c r="B268" s="3260" t="s">
        <v>2994</v>
      </c>
      <c r="C268" s="3272"/>
      <c r="D268" s="3272"/>
      <c r="E268" s="3272"/>
      <c r="F268" s="3261">
        <v>0.05</v>
      </c>
      <c r="G268" s="3278"/>
    </row>
    <row r="269" spans="1:7">
      <c r="A269" s="3271" t="s">
        <v>305</v>
      </c>
      <c r="B269" s="3260" t="s">
        <v>2999</v>
      </c>
      <c r="C269" s="3272"/>
      <c r="D269" s="3272"/>
      <c r="E269" s="3272"/>
      <c r="F269" s="3261">
        <v>0.05</v>
      </c>
      <c r="G269" s="3278"/>
    </row>
    <row r="270" spans="1:7">
      <c r="A270" s="3271" t="s">
        <v>305</v>
      </c>
      <c r="B270" s="3260" t="s">
        <v>3004</v>
      </c>
      <c r="C270" s="3272"/>
      <c r="D270" s="3272"/>
      <c r="E270" s="3272"/>
      <c r="F270" s="3261">
        <v>0.05</v>
      </c>
      <c r="G270" s="3278"/>
    </row>
    <row r="271" spans="1:7">
      <c r="A271" s="3271" t="s">
        <v>305</v>
      </c>
      <c r="B271" s="3260" t="s">
        <v>3208</v>
      </c>
      <c r="C271" s="3272"/>
      <c r="D271" s="3272"/>
      <c r="E271" s="3272"/>
      <c r="F271" s="3261">
        <v>0.05</v>
      </c>
      <c r="G271" s="3278"/>
    </row>
    <row r="272" spans="1:7">
      <c r="A272" s="3271" t="s">
        <v>305</v>
      </c>
      <c r="B272" s="3260" t="s">
        <v>3209</v>
      </c>
      <c r="C272" s="3272"/>
      <c r="D272" s="3272"/>
      <c r="E272" s="3272"/>
      <c r="F272" s="3261">
        <v>0.05</v>
      </c>
      <c r="G272" s="3278"/>
    </row>
    <row r="273" spans="1:7">
      <c r="A273" s="3271" t="s">
        <v>305</v>
      </c>
      <c r="B273" s="3260" t="s">
        <v>3210</v>
      </c>
      <c r="C273" s="3272"/>
      <c r="D273" s="3272"/>
      <c r="E273" s="3272"/>
      <c r="F273" s="3261">
        <v>0.05</v>
      </c>
      <c r="G273" s="3278"/>
    </row>
    <row r="274" spans="1:7">
      <c r="A274" s="3271" t="s">
        <v>305</v>
      </c>
      <c r="B274" s="3260" t="s">
        <v>3211</v>
      </c>
      <c r="C274" s="3272"/>
      <c r="D274" s="3272"/>
      <c r="E274" s="3272"/>
      <c r="F274" s="3261">
        <v>0.05</v>
      </c>
      <c r="G274" s="3278"/>
    </row>
    <row r="275" spans="1:7">
      <c r="A275" s="3271" t="s">
        <v>305</v>
      </c>
      <c r="B275" s="3260" t="s">
        <v>3212</v>
      </c>
      <c r="C275" s="3272"/>
      <c r="D275" s="3272"/>
      <c r="E275" s="3272"/>
      <c r="F275" s="3261">
        <v>0.05</v>
      </c>
      <c r="G275" s="3278"/>
    </row>
    <row r="276" spans="1:7" ht="14.25" thickBot="1">
      <c r="A276" s="3274" t="s">
        <v>305</v>
      </c>
      <c r="B276" s="3264" t="s">
        <v>3213</v>
      </c>
      <c r="C276" s="3266"/>
      <c r="D276" s="3266"/>
      <c r="E276" s="3266"/>
      <c r="F276" s="3265">
        <v>0.05</v>
      </c>
      <c r="G276" s="3279"/>
    </row>
    <row r="277" spans="1:7">
      <c r="A277" s="3270" t="s">
        <v>306</v>
      </c>
      <c r="B277" s="3256" t="s">
        <v>2857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2869</v>
      </c>
      <c r="C279" s="3261">
        <v>0.15</v>
      </c>
      <c r="D279" s="3261">
        <v>0.15</v>
      </c>
      <c r="E279" s="3261">
        <v>0.15</v>
      </c>
      <c r="F279" s="3261">
        <v>0.15</v>
      </c>
      <c r="G279" s="3262">
        <v>0.15</v>
      </c>
    </row>
    <row r="280" spans="1:7">
      <c r="A280" s="3271" t="s">
        <v>306</v>
      </c>
      <c r="B280" s="3260" t="s">
        <v>2873</v>
      </c>
      <c r="C280" s="3261">
        <v>0.15</v>
      </c>
      <c r="D280" s="3261">
        <v>0.15</v>
      </c>
      <c r="E280" s="3261">
        <v>0.15</v>
      </c>
      <c r="F280" s="3261">
        <v>0.15</v>
      </c>
      <c r="G280" s="3262">
        <v>0.15</v>
      </c>
    </row>
    <row r="281" spans="1:7">
      <c r="A281" s="3271" t="s">
        <v>306</v>
      </c>
      <c r="B281" s="3260" t="s">
        <v>2877</v>
      </c>
      <c r="C281" s="3261">
        <v>0.15</v>
      </c>
      <c r="D281" s="3261">
        <v>0.15</v>
      </c>
      <c r="E281" s="3261">
        <v>0.15</v>
      </c>
      <c r="F281" s="3261">
        <v>0.15</v>
      </c>
      <c r="G281" s="3262">
        <v>0.15</v>
      </c>
    </row>
    <row r="282" spans="1:7">
      <c r="A282" s="3271" t="s">
        <v>306</v>
      </c>
      <c r="B282" s="3260" t="s">
        <v>2881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2911</v>
      </c>
      <c r="C293" s="3261">
        <v>0.15</v>
      </c>
      <c r="D293" s="3261">
        <v>0.15</v>
      </c>
      <c r="E293" s="3261">
        <v>0.15</v>
      </c>
      <c r="F293" s="3261">
        <v>0.14499999999999999</v>
      </c>
      <c r="G293" s="3262">
        <v>0.15</v>
      </c>
    </row>
    <row r="294" spans="1:7">
      <c r="A294" s="3271" t="s">
        <v>306</v>
      </c>
      <c r="B294" s="3260" t="s">
        <v>2913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2943</v>
      </c>
      <c r="C302" s="3261">
        <v>0.15</v>
      </c>
      <c r="D302" s="3261">
        <v>0.15</v>
      </c>
      <c r="E302" s="3261">
        <v>0.15</v>
      </c>
      <c r="F302" s="3261">
        <v>0.14699999999999999</v>
      </c>
      <c r="G302" s="3262">
        <v>0.15</v>
      </c>
    </row>
    <row r="303" spans="1:7">
      <c r="A303" s="3271" t="s">
        <v>306</v>
      </c>
      <c r="B303" s="3260" t="s">
        <v>2950</v>
      </c>
      <c r="C303" s="3261">
        <v>0.15</v>
      </c>
      <c r="D303" s="3261">
        <v>0.15</v>
      </c>
      <c r="E303" s="3261">
        <v>0.15</v>
      </c>
      <c r="F303" s="3261">
        <v>0.14199999999999999</v>
      </c>
      <c r="G303" s="3262">
        <v>0.15</v>
      </c>
    </row>
    <row r="304" spans="1:7">
      <c r="A304" s="3271" t="s">
        <v>306</v>
      </c>
      <c r="B304" s="3260" t="s">
        <v>2957</v>
      </c>
      <c r="C304" s="3261">
        <v>0.15</v>
      </c>
      <c r="D304" s="3261">
        <v>0.15</v>
      </c>
      <c r="E304" s="3261">
        <v>0.15</v>
      </c>
      <c r="F304" s="3261">
        <v>0.14499999999999999</v>
      </c>
      <c r="G304" s="3262">
        <v>0.15</v>
      </c>
    </row>
    <row r="305" spans="1:7">
      <c r="A305" s="3271" t="s">
        <v>306</v>
      </c>
      <c r="B305" s="3260" t="s">
        <v>2963</v>
      </c>
      <c r="C305" s="3261">
        <v>0.15</v>
      </c>
      <c r="D305" s="3261">
        <v>0.15</v>
      </c>
      <c r="E305" s="3261">
        <v>0.15</v>
      </c>
      <c r="F305" s="3261">
        <v>0.111</v>
      </c>
      <c r="G305" s="3262">
        <v>0.15</v>
      </c>
    </row>
    <row r="306" spans="1:7">
      <c r="A306" s="3271" t="s">
        <v>306</v>
      </c>
      <c r="B306" s="3260" t="s">
        <v>2970</v>
      </c>
      <c r="C306" s="3261">
        <v>0.15</v>
      </c>
      <c r="D306" s="3261">
        <v>0.15</v>
      </c>
      <c r="E306" s="3261">
        <v>0.15</v>
      </c>
      <c r="F306" s="3261">
        <v>0.126</v>
      </c>
      <c r="G306" s="3262">
        <v>0.15</v>
      </c>
    </row>
    <row r="307" spans="1:7">
      <c r="A307" s="3271" t="s">
        <v>306</v>
      </c>
      <c r="B307" s="3260" t="s">
        <v>2975</v>
      </c>
      <c r="C307" s="3261">
        <v>0.15</v>
      </c>
      <c r="D307" s="3261">
        <v>0.15</v>
      </c>
      <c r="E307" s="3261">
        <v>0.15</v>
      </c>
      <c r="F307" s="3261">
        <v>0.12</v>
      </c>
      <c r="G307" s="3262">
        <v>0.15</v>
      </c>
    </row>
    <row r="308" spans="1:7">
      <c r="A308" s="3271" t="s">
        <v>306</v>
      </c>
      <c r="B308" s="3260" t="s">
        <v>2981</v>
      </c>
      <c r="C308" s="3261">
        <v>0.15</v>
      </c>
      <c r="D308" s="3261">
        <v>0.15</v>
      </c>
      <c r="E308" s="3261">
        <v>0.15</v>
      </c>
      <c r="F308" s="3261">
        <v>0.13</v>
      </c>
      <c r="G308" s="3262">
        <v>0.15</v>
      </c>
    </row>
    <row r="309" spans="1:7">
      <c r="A309" s="3271" t="s">
        <v>306</v>
      </c>
      <c r="B309" s="3260" t="s">
        <v>2985</v>
      </c>
      <c r="C309" s="3261">
        <v>0.15</v>
      </c>
      <c r="D309" s="3261">
        <v>0.15</v>
      </c>
      <c r="E309" s="3261">
        <v>0.15</v>
      </c>
      <c r="F309" s="3261">
        <v>0.14099999999999999</v>
      </c>
      <c r="G309" s="3262">
        <v>0.15</v>
      </c>
    </row>
    <row r="310" spans="1:7">
      <c r="A310" s="3271" t="s">
        <v>306</v>
      </c>
      <c r="B310" s="3260" t="s">
        <v>2990</v>
      </c>
      <c r="C310" s="3261">
        <v>0.15</v>
      </c>
      <c r="D310" s="3261">
        <v>0.15</v>
      </c>
      <c r="E310" s="3261">
        <v>0.15</v>
      </c>
      <c r="F310" s="3261">
        <v>0.15</v>
      </c>
      <c r="G310" s="3262">
        <v>0.15</v>
      </c>
    </row>
    <row r="311" spans="1:7">
      <c r="A311" s="3271" t="s">
        <v>306</v>
      </c>
      <c r="B311" s="3260" t="s">
        <v>2995</v>
      </c>
      <c r="C311" s="3261">
        <v>0.13200000000000001</v>
      </c>
      <c r="D311" s="3261">
        <v>0.13300000000000001</v>
      </c>
      <c r="E311" s="3261">
        <v>0.14499999999999999</v>
      </c>
      <c r="F311" s="3261">
        <v>0.14199999999999999</v>
      </c>
      <c r="G311" s="3262">
        <v>0.14000000000000001</v>
      </c>
    </row>
    <row r="312" spans="1:7">
      <c r="A312" s="3271" t="s">
        <v>306</v>
      </c>
      <c r="B312" s="3260" t="s">
        <v>3000</v>
      </c>
      <c r="C312" s="3261">
        <v>0.13800000000000001</v>
      </c>
      <c r="D312" s="3261">
        <v>0.14000000000000001</v>
      </c>
      <c r="E312" s="3261">
        <v>0.14599999999999999</v>
      </c>
      <c r="F312" s="3261">
        <v>0.14899999999999999</v>
      </c>
      <c r="G312" s="3262">
        <v>0.14199999999999999</v>
      </c>
    </row>
    <row r="313" spans="1:7">
      <c r="A313" s="3271" t="s">
        <v>306</v>
      </c>
      <c r="B313" s="3260" t="s">
        <v>3005</v>
      </c>
      <c r="C313" s="3261">
        <v>0.125</v>
      </c>
      <c r="D313" s="3261">
        <v>0.127</v>
      </c>
      <c r="E313" s="3261">
        <v>0.14399999999999999</v>
      </c>
      <c r="F313" s="3261">
        <v>0.115</v>
      </c>
      <c r="G313" s="3262">
        <v>0.13600000000000001</v>
      </c>
    </row>
    <row r="314" spans="1:7">
      <c r="A314" s="3271" t="s">
        <v>306</v>
      </c>
      <c r="B314" s="3260" t="s">
        <v>3214</v>
      </c>
      <c r="C314" s="3277"/>
      <c r="D314" s="3277"/>
      <c r="E314" s="3277"/>
      <c r="F314" s="3261">
        <v>0.05</v>
      </c>
      <c r="G314" s="3278"/>
    </row>
    <row r="315" spans="1:7">
      <c r="A315" s="3271" t="s">
        <v>306</v>
      </c>
      <c r="B315" s="3260" t="s">
        <v>3215</v>
      </c>
      <c r="C315" s="3277"/>
      <c r="D315" s="3277"/>
      <c r="E315" s="3277"/>
      <c r="F315" s="3261">
        <v>0.05</v>
      </c>
      <c r="G315" s="3278"/>
    </row>
    <row r="316" spans="1:7">
      <c r="A316" s="3271" t="s">
        <v>306</v>
      </c>
      <c r="B316" s="3260" t="s">
        <v>3216</v>
      </c>
      <c r="C316" s="3272"/>
      <c r="D316" s="3272"/>
      <c r="E316" s="3272"/>
      <c r="F316" s="3261">
        <v>0.05</v>
      </c>
      <c r="G316" s="3278"/>
    </row>
    <row r="317" spans="1:7">
      <c r="A317" s="3271" t="s">
        <v>306</v>
      </c>
      <c r="B317" s="3260" t="s">
        <v>3217</v>
      </c>
      <c r="C317" s="3272"/>
      <c r="D317" s="3272"/>
      <c r="E317" s="3272"/>
      <c r="F317" s="3261">
        <v>0.05</v>
      </c>
      <c r="G317" s="3278"/>
    </row>
    <row r="318" spans="1:7">
      <c r="A318" s="3271" t="s">
        <v>306</v>
      </c>
      <c r="B318" s="3260" t="s">
        <v>3218</v>
      </c>
      <c r="C318" s="3272"/>
      <c r="D318" s="3272"/>
      <c r="E318" s="3272"/>
      <c r="F318" s="3261">
        <v>0.05</v>
      </c>
      <c r="G318" s="3278"/>
    </row>
    <row r="319" spans="1:7">
      <c r="A319" s="3271" t="s">
        <v>306</v>
      </c>
      <c r="B319" s="3260" t="s">
        <v>3219</v>
      </c>
      <c r="C319" s="3272"/>
      <c r="D319" s="3272"/>
      <c r="E319" s="3272"/>
      <c r="F319" s="3261">
        <v>0.05</v>
      </c>
      <c r="G319" s="3278"/>
    </row>
    <row r="320" spans="1:7">
      <c r="A320" s="3271" t="s">
        <v>306</v>
      </c>
      <c r="B320" s="3260" t="s">
        <v>3220</v>
      </c>
      <c r="C320" s="3272"/>
      <c r="D320" s="3272"/>
      <c r="E320" s="3272"/>
      <c r="F320" s="3261">
        <v>0.05</v>
      </c>
      <c r="G320" s="3278"/>
    </row>
    <row r="321" spans="1:7">
      <c r="A321" s="3271" t="s">
        <v>306</v>
      </c>
      <c r="B321" s="3260" t="s">
        <v>3221</v>
      </c>
      <c r="C321" s="3272"/>
      <c r="D321" s="3272"/>
      <c r="E321" s="3272"/>
      <c r="F321" s="3261">
        <v>0.05</v>
      </c>
      <c r="G321" s="3278"/>
    </row>
    <row r="322" spans="1:7">
      <c r="A322" s="3271" t="s">
        <v>306</v>
      </c>
      <c r="B322" s="3260" t="s">
        <v>3222</v>
      </c>
      <c r="C322" s="3272"/>
      <c r="D322" s="3272"/>
      <c r="E322" s="3272"/>
      <c r="F322" s="3261">
        <v>0.05</v>
      </c>
      <c r="G322" s="3278"/>
    </row>
    <row r="323" spans="1:7">
      <c r="A323" s="3271" t="s">
        <v>306</v>
      </c>
      <c r="B323" s="3260" t="s">
        <v>3223</v>
      </c>
      <c r="C323" s="3272"/>
      <c r="D323" s="3272"/>
      <c r="E323" s="3272"/>
      <c r="F323" s="3261">
        <v>0.05</v>
      </c>
      <c r="G323" s="3278"/>
    </row>
    <row r="324" spans="1:7">
      <c r="A324" s="3271" t="s">
        <v>306</v>
      </c>
      <c r="B324" s="3260" t="s">
        <v>3224</v>
      </c>
      <c r="C324" s="3272"/>
      <c r="D324" s="3272"/>
      <c r="E324" s="3272"/>
      <c r="F324" s="3261">
        <v>0.05</v>
      </c>
      <c r="G324" s="3278"/>
    </row>
    <row r="325" spans="1:7">
      <c r="A325" s="3271" t="s">
        <v>306</v>
      </c>
      <c r="B325" s="3260" t="s">
        <v>3225</v>
      </c>
      <c r="C325" s="3272"/>
      <c r="D325" s="3272"/>
      <c r="E325" s="3272"/>
      <c r="F325" s="3261">
        <v>0.05</v>
      </c>
      <c r="G325" s="3278"/>
    </row>
    <row r="326" spans="1:7" ht="14.25" thickBot="1">
      <c r="A326" s="3274" t="s">
        <v>306</v>
      </c>
      <c r="B326" s="3264" t="s">
        <v>3226</v>
      </c>
      <c r="C326" s="3266"/>
      <c r="D326" s="3266"/>
      <c r="E326" s="3266"/>
      <c r="F326" s="3265">
        <v>0.05</v>
      </c>
      <c r="G326" s="3279"/>
    </row>
    <row r="327" spans="1:7">
      <c r="A327" s="3270" t="s">
        <v>307</v>
      </c>
      <c r="B327" s="3256" t="s">
        <v>2858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2870</v>
      </c>
      <c r="C329" s="3261">
        <v>0.15</v>
      </c>
      <c r="D329" s="3261">
        <v>0.15</v>
      </c>
      <c r="E329" s="3261">
        <v>0.15</v>
      </c>
      <c r="F329" s="3261">
        <v>0.15</v>
      </c>
      <c r="G329" s="3262">
        <v>0.15</v>
      </c>
    </row>
    <row r="330" spans="1:7">
      <c r="A330" s="3271" t="s">
        <v>307</v>
      </c>
      <c r="B330" s="3260" t="s">
        <v>2874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2882</v>
      </c>
      <c r="C332" s="3261">
        <v>0.15</v>
      </c>
      <c r="D332" s="3261">
        <v>0.15</v>
      </c>
      <c r="E332" s="3261">
        <v>0.15</v>
      </c>
      <c r="F332" s="3261">
        <v>0.15</v>
      </c>
      <c r="G332" s="3262">
        <v>0.15</v>
      </c>
    </row>
    <row r="333" spans="1:7">
      <c r="A333" s="3271" t="s">
        <v>307</v>
      </c>
      <c r="B333" s="3260" t="s">
        <v>2886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2892</v>
      </c>
      <c r="C336" s="3261">
        <v>0.15</v>
      </c>
      <c r="D336" s="3261">
        <v>0.15</v>
      </c>
      <c r="E336" s="3261">
        <v>0.15</v>
      </c>
      <c r="F336" s="3261">
        <v>0.14199999999999999</v>
      </c>
      <c r="G336" s="3262">
        <v>0.15</v>
      </c>
    </row>
    <row r="337" spans="1:7">
      <c r="A337" s="3271" t="s">
        <v>307</v>
      </c>
      <c r="B337" s="3260" t="s">
        <v>2897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2917</v>
      </c>
      <c r="C345" s="3261">
        <v>0.15</v>
      </c>
      <c r="D345" s="3261">
        <v>0.15</v>
      </c>
      <c r="E345" s="3261">
        <v>0.15</v>
      </c>
      <c r="F345" s="3261">
        <v>0.13800000000000001</v>
      </c>
      <c r="G345" s="3262">
        <v>0.15</v>
      </c>
    </row>
    <row r="346" spans="1:7">
      <c r="A346" s="3271" t="s">
        <v>307</v>
      </c>
      <c r="B346" s="3260" t="s">
        <v>2919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2926</v>
      </c>
      <c r="C348" s="3261">
        <v>0.15</v>
      </c>
      <c r="D348" s="3261">
        <v>0.15</v>
      </c>
      <c r="E348" s="3261">
        <v>0.15</v>
      </c>
      <c r="F348" s="3261">
        <v>0.14399999999999999</v>
      </c>
      <c r="G348" s="3262">
        <v>0.15</v>
      </c>
    </row>
    <row r="349" spans="1:7">
      <c r="A349" s="3271" t="s">
        <v>307</v>
      </c>
      <c r="B349" s="3260" t="s">
        <v>2931</v>
      </c>
      <c r="C349" s="3261">
        <v>0.15</v>
      </c>
      <c r="D349" s="3261">
        <v>0.15</v>
      </c>
      <c r="E349" s="3261">
        <v>0.15</v>
      </c>
      <c r="F349" s="3261">
        <v>0.15</v>
      </c>
      <c r="G349" s="3262">
        <v>0.15</v>
      </c>
    </row>
    <row r="350" spans="1:7">
      <c r="A350" s="3271" t="s">
        <v>307</v>
      </c>
      <c r="B350" s="3260" t="s">
        <v>2934</v>
      </c>
      <c r="C350" s="3261">
        <v>0.15</v>
      </c>
      <c r="D350" s="3261">
        <v>0.15</v>
      </c>
      <c r="E350" s="3261">
        <v>0.15</v>
      </c>
      <c r="F350" s="3261">
        <v>0.14699999999999999</v>
      </c>
      <c r="G350" s="3262">
        <v>0.15</v>
      </c>
    </row>
    <row r="351" spans="1:7">
      <c r="A351" s="3271" t="s">
        <v>307</v>
      </c>
      <c r="B351" s="3260" t="s">
        <v>2939</v>
      </c>
      <c r="C351" s="3261">
        <v>0.15</v>
      </c>
      <c r="D351" s="3261">
        <v>0.15</v>
      </c>
      <c r="E351" s="3261">
        <v>0.15</v>
      </c>
      <c r="F351" s="3261">
        <v>0.13</v>
      </c>
      <c r="G351" s="3262">
        <v>0.15</v>
      </c>
    </row>
    <row r="352" spans="1:7">
      <c r="A352" s="3271" t="s">
        <v>307</v>
      </c>
      <c r="B352" s="3260" t="s">
        <v>2944</v>
      </c>
      <c r="C352" s="3261">
        <v>0.15</v>
      </c>
      <c r="D352" s="3261">
        <v>0.15</v>
      </c>
      <c r="E352" s="3261">
        <v>0.15</v>
      </c>
      <c r="F352" s="3261">
        <v>0.14599999999999999</v>
      </c>
      <c r="G352" s="3262">
        <v>0.15</v>
      </c>
    </row>
    <row r="353" spans="1:7">
      <c r="A353" s="3271" t="s">
        <v>307</v>
      </c>
      <c r="B353" s="3260" t="s">
        <v>2951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2964</v>
      </c>
      <c r="C355" s="3261">
        <v>0.15</v>
      </c>
      <c r="D355" s="3261">
        <v>0.15</v>
      </c>
      <c r="E355" s="3261">
        <v>0.15</v>
      </c>
      <c r="F355" s="3261">
        <v>0.15</v>
      </c>
      <c r="G355" s="3262">
        <v>0.15</v>
      </c>
    </row>
    <row r="356" spans="1:7">
      <c r="A356" s="3271" t="s">
        <v>307</v>
      </c>
      <c r="B356" s="3260" t="s">
        <v>2971</v>
      </c>
      <c r="C356" s="3261">
        <v>0.15</v>
      </c>
      <c r="D356" s="3261">
        <v>0.15</v>
      </c>
      <c r="E356" s="3261">
        <v>0.15</v>
      </c>
      <c r="F356" s="3261">
        <v>0.15</v>
      </c>
      <c r="G356" s="3262">
        <v>0.15</v>
      </c>
    </row>
    <row r="357" spans="1:7" ht="14.25" thickBot="1">
      <c r="A357" s="3274" t="s">
        <v>307</v>
      </c>
      <c r="B357" s="3264" t="s">
        <v>2976</v>
      </c>
      <c r="C357" s="3265">
        <v>0.126</v>
      </c>
      <c r="D357" s="3265">
        <v>0.127</v>
      </c>
      <c r="E357" s="3265">
        <v>0.14299999999999999</v>
      </c>
      <c r="F357" s="3265">
        <v>0.125</v>
      </c>
      <c r="G357" s="3267">
        <v>0.129</v>
      </c>
    </row>
    <row r="358" spans="1:7">
      <c r="A358" s="3270" t="s">
        <v>2845</v>
      </c>
      <c r="B358" s="3256" t="s">
        <v>2859</v>
      </c>
      <c r="C358" s="3257">
        <v>0.15</v>
      </c>
      <c r="D358" s="3257">
        <v>0.15</v>
      </c>
      <c r="E358" s="3257">
        <v>0.15</v>
      </c>
      <c r="F358" s="3257">
        <v>0.15</v>
      </c>
      <c r="G358" s="3258">
        <v>0.15</v>
      </c>
    </row>
    <row r="359" spans="1:7">
      <c r="A359" s="3271" t="s">
        <v>2845</v>
      </c>
      <c r="B359" s="3260" t="s">
        <v>2865</v>
      </c>
      <c r="C359" s="3261">
        <v>0.1</v>
      </c>
      <c r="D359" s="3261">
        <v>0.1</v>
      </c>
      <c r="E359" s="3261">
        <v>0.1</v>
      </c>
      <c r="F359" s="3261">
        <v>0.1</v>
      </c>
      <c r="G359" s="3262">
        <v>0.1</v>
      </c>
    </row>
    <row r="360" spans="1:7">
      <c r="A360" s="3271" t="s">
        <v>2845</v>
      </c>
      <c r="B360" s="3260" t="s">
        <v>2871</v>
      </c>
      <c r="C360" s="3261">
        <v>0.15</v>
      </c>
      <c r="D360" s="3261">
        <v>0.15</v>
      </c>
      <c r="E360" s="3261">
        <v>0.15</v>
      </c>
      <c r="F360" s="3261">
        <v>0.14899999999999999</v>
      </c>
      <c r="G360" s="3262">
        <v>0.15</v>
      </c>
    </row>
    <row r="361" spans="1:7">
      <c r="A361" s="3271" t="s">
        <v>2845</v>
      </c>
      <c r="B361" s="3260" t="s">
        <v>153</v>
      </c>
      <c r="C361" s="3261">
        <v>0.15</v>
      </c>
      <c r="D361" s="3261">
        <v>0.15</v>
      </c>
      <c r="E361" s="3261">
        <v>0.15</v>
      </c>
      <c r="F361" s="3261">
        <v>0.115</v>
      </c>
      <c r="G361" s="3262">
        <v>0.15</v>
      </c>
    </row>
    <row r="362" spans="1:7">
      <c r="A362" s="3271" t="s">
        <v>2845</v>
      </c>
      <c r="B362" s="3260" t="s">
        <v>2878</v>
      </c>
      <c r="C362" s="3261">
        <v>0.15</v>
      </c>
      <c r="D362" s="3261">
        <v>0.15</v>
      </c>
      <c r="E362" s="3261">
        <v>0.15</v>
      </c>
      <c r="F362" s="3261">
        <v>0.106</v>
      </c>
      <c r="G362" s="3262">
        <v>0.15</v>
      </c>
    </row>
    <row r="363" spans="1:7">
      <c r="A363" s="3271" t="s">
        <v>2845</v>
      </c>
      <c r="B363" s="3260" t="s">
        <v>2883</v>
      </c>
      <c r="C363" s="3261">
        <v>0.15</v>
      </c>
      <c r="D363" s="3261">
        <v>0.15</v>
      </c>
      <c r="E363" s="3261">
        <v>0.15</v>
      </c>
      <c r="F363" s="3261">
        <v>0.14699999999999999</v>
      </c>
      <c r="G363" s="3262">
        <v>0.15</v>
      </c>
    </row>
    <row r="364" spans="1:7">
      <c r="A364" s="3271" t="s">
        <v>2845</v>
      </c>
      <c r="B364" s="3260" t="s">
        <v>2887</v>
      </c>
      <c r="C364" s="3261">
        <v>0.15</v>
      </c>
      <c r="D364" s="3261">
        <v>0.15</v>
      </c>
      <c r="E364" s="3261">
        <v>0.15</v>
      </c>
      <c r="F364" s="3261">
        <v>0.14799999999999999</v>
      </c>
      <c r="G364" s="3262">
        <v>0.15</v>
      </c>
    </row>
    <row r="365" spans="1:7">
      <c r="A365" s="3271" t="s">
        <v>2845</v>
      </c>
      <c r="B365" s="3260" t="s">
        <v>200</v>
      </c>
      <c r="C365" s="3261">
        <v>0.15</v>
      </c>
      <c r="D365" s="3261">
        <v>0.15</v>
      </c>
      <c r="E365" s="3261">
        <v>0.15</v>
      </c>
      <c r="F365" s="3261">
        <v>0.15</v>
      </c>
      <c r="G365" s="3262">
        <v>0.15</v>
      </c>
    </row>
    <row r="366" spans="1:7">
      <c r="A366" s="3271" t="s">
        <v>2845</v>
      </c>
      <c r="B366" s="3260" t="s">
        <v>2890</v>
      </c>
      <c r="C366" s="3261">
        <v>0.15</v>
      </c>
      <c r="D366" s="3261">
        <v>0.15</v>
      </c>
      <c r="E366" s="3261">
        <v>0.15</v>
      </c>
      <c r="F366" s="3261">
        <v>0.15</v>
      </c>
      <c r="G366" s="3262">
        <v>0.15</v>
      </c>
    </row>
    <row r="367" spans="1:7">
      <c r="A367" s="3271" t="s">
        <v>2845</v>
      </c>
      <c r="B367" s="3260" t="s">
        <v>2893</v>
      </c>
      <c r="C367" s="3261">
        <v>0.15</v>
      </c>
      <c r="D367" s="3261">
        <v>0.15</v>
      </c>
      <c r="E367" s="3261">
        <v>0.15</v>
      </c>
      <c r="F367" s="3261">
        <v>0.14699999999999999</v>
      </c>
      <c r="G367" s="3262">
        <v>0.15</v>
      </c>
    </row>
    <row r="368" spans="1:7">
      <c r="A368" s="3271" t="s">
        <v>2845</v>
      </c>
      <c r="B368" s="3260" t="s">
        <v>2898</v>
      </c>
      <c r="C368" s="3261">
        <v>0.15</v>
      </c>
      <c r="D368" s="3261">
        <v>0.15</v>
      </c>
      <c r="E368" s="3261">
        <v>0.15</v>
      </c>
      <c r="F368" s="3261">
        <v>0.13600000000000001</v>
      </c>
      <c r="G368" s="3262">
        <v>0.15</v>
      </c>
    </row>
    <row r="369" spans="1:7">
      <c r="A369" s="3271" t="s">
        <v>2845</v>
      </c>
      <c r="B369" s="3260" t="s">
        <v>214</v>
      </c>
      <c r="C369" s="3261">
        <v>0.15</v>
      </c>
      <c r="D369" s="3261">
        <v>0.15</v>
      </c>
      <c r="E369" s="3261">
        <v>0.15</v>
      </c>
      <c r="F369" s="3261">
        <v>0.14399999999999999</v>
      </c>
      <c r="G369" s="3262">
        <v>0.15</v>
      </c>
    </row>
    <row r="370" spans="1:7">
      <c r="A370" s="3271" t="s">
        <v>2845</v>
      </c>
      <c r="B370" s="3260" t="s">
        <v>221</v>
      </c>
      <c r="C370" s="3261">
        <v>0.15</v>
      </c>
      <c r="D370" s="3261">
        <v>0.15</v>
      </c>
      <c r="E370" s="3261">
        <v>0.15</v>
      </c>
      <c r="F370" s="3261">
        <v>0.14599999999999999</v>
      </c>
      <c r="G370" s="3262">
        <v>0.15</v>
      </c>
    </row>
    <row r="371" spans="1:7">
      <c r="A371" s="3271" t="s">
        <v>2845</v>
      </c>
      <c r="B371" s="3260" t="s">
        <v>229</v>
      </c>
      <c r="C371" s="3261">
        <v>0.15</v>
      </c>
      <c r="D371" s="3261">
        <v>0.15</v>
      </c>
      <c r="E371" s="3261">
        <v>0.15</v>
      </c>
      <c r="F371" s="3261">
        <v>0.12</v>
      </c>
      <c r="G371" s="3262">
        <v>0.15</v>
      </c>
    </row>
    <row r="372" spans="1:7">
      <c r="A372" s="3271" t="s">
        <v>2845</v>
      </c>
      <c r="B372" s="3260" t="s">
        <v>2906</v>
      </c>
      <c r="C372" s="3261">
        <v>0.15</v>
      </c>
      <c r="D372" s="3261">
        <v>0.15</v>
      </c>
      <c r="E372" s="3261">
        <v>0.15</v>
      </c>
      <c r="F372" s="3261">
        <v>0.14299999999999999</v>
      </c>
      <c r="G372" s="3262">
        <v>0.15</v>
      </c>
    </row>
    <row r="373" spans="1:7">
      <c r="A373" s="3271" t="s">
        <v>2845</v>
      </c>
      <c r="B373" s="3260" t="s">
        <v>258</v>
      </c>
      <c r="C373" s="3261">
        <v>0.15</v>
      </c>
      <c r="D373" s="3261">
        <v>0.15</v>
      </c>
      <c r="E373" s="3261">
        <v>0.15</v>
      </c>
      <c r="F373" s="3261">
        <v>0.14599999999999999</v>
      </c>
      <c r="G373" s="3262">
        <v>0.15</v>
      </c>
    </row>
    <row r="374" spans="1:7">
      <c r="A374" s="3271" t="s">
        <v>2845</v>
      </c>
      <c r="B374" s="3260" t="s">
        <v>266</v>
      </c>
      <c r="C374" s="3261">
        <v>0.15</v>
      </c>
      <c r="D374" s="3261">
        <v>0.15</v>
      </c>
      <c r="E374" s="3261">
        <v>0.15</v>
      </c>
      <c r="F374" s="3261">
        <v>0.14399999999999999</v>
      </c>
      <c r="G374" s="3262">
        <v>0.15</v>
      </c>
    </row>
    <row r="375" spans="1:7">
      <c r="A375" s="3271" t="s">
        <v>2845</v>
      </c>
      <c r="B375" s="3260" t="s">
        <v>2914</v>
      </c>
      <c r="C375" s="3261">
        <v>0.15</v>
      </c>
      <c r="D375" s="3261">
        <v>0.15</v>
      </c>
      <c r="E375" s="3261">
        <v>0.15</v>
      </c>
      <c r="F375" s="3261">
        <v>0.13</v>
      </c>
      <c r="G375" s="3262">
        <v>0.15</v>
      </c>
    </row>
    <row r="376" spans="1:7">
      <c r="A376" s="3271" t="s">
        <v>2845</v>
      </c>
      <c r="B376" s="3260" t="s">
        <v>277</v>
      </c>
      <c r="C376" s="3261">
        <v>0.15</v>
      </c>
      <c r="D376" s="3261">
        <v>0.15</v>
      </c>
      <c r="E376" s="3261">
        <v>0.15</v>
      </c>
      <c r="F376" s="3261">
        <v>0.14199999999999999</v>
      </c>
      <c r="G376" s="3262">
        <v>0.15</v>
      </c>
    </row>
    <row r="377" spans="1:7" ht="14.25" thickBot="1">
      <c r="A377" s="3274" t="s">
        <v>2845</v>
      </c>
      <c r="B377" s="3264" t="s">
        <v>2920</v>
      </c>
      <c r="C377" s="3265">
        <v>0.15</v>
      </c>
      <c r="D377" s="3265">
        <v>0.15</v>
      </c>
      <c r="E377" s="3265">
        <v>0.15</v>
      </c>
      <c r="F377" s="3265">
        <v>0.14000000000000001</v>
      </c>
      <c r="G377" s="3267">
        <v>0.15</v>
      </c>
    </row>
    <row r="378" spans="1:7">
      <c r="A378" s="3270" t="s">
        <v>2846</v>
      </c>
      <c r="B378" s="3256" t="s">
        <v>2860</v>
      </c>
      <c r="C378" s="3257">
        <v>0.15</v>
      </c>
      <c r="D378" s="3257">
        <v>0.15</v>
      </c>
      <c r="E378" s="3257">
        <v>0.15</v>
      </c>
      <c r="F378" s="3257">
        <v>0.107</v>
      </c>
      <c r="G378" s="3258">
        <v>0.15</v>
      </c>
    </row>
    <row r="379" spans="1:7">
      <c r="A379" s="3271" t="s">
        <v>2846</v>
      </c>
      <c r="B379" s="3260" t="s">
        <v>2866</v>
      </c>
      <c r="C379" s="3261">
        <v>0.15</v>
      </c>
      <c r="D379" s="3261">
        <v>0.15</v>
      </c>
      <c r="E379" s="3261">
        <v>0.15</v>
      </c>
      <c r="F379" s="3261">
        <v>0.115</v>
      </c>
      <c r="G379" s="3262">
        <v>0.14899999999999999</v>
      </c>
    </row>
    <row r="380" spans="1:7">
      <c r="A380" s="3271" t="s">
        <v>2846</v>
      </c>
      <c r="B380" s="3260" t="s">
        <v>2872</v>
      </c>
      <c r="C380" s="3261">
        <v>0.15</v>
      </c>
      <c r="D380" s="3261">
        <v>0.15</v>
      </c>
      <c r="E380" s="3261">
        <v>0.15</v>
      </c>
      <c r="F380" s="3261">
        <v>0.1</v>
      </c>
      <c r="G380" s="3262">
        <v>0.14799999999999999</v>
      </c>
    </row>
    <row r="381" spans="1:7">
      <c r="A381" s="3271" t="s">
        <v>2846</v>
      </c>
      <c r="B381" s="3260" t="s">
        <v>2875</v>
      </c>
      <c r="C381" s="3261">
        <v>0.15</v>
      </c>
      <c r="D381" s="3261">
        <v>0.15</v>
      </c>
      <c r="E381" s="3261">
        <v>0.15</v>
      </c>
      <c r="F381" s="3261">
        <v>0.126</v>
      </c>
      <c r="G381" s="3262">
        <v>0.15</v>
      </c>
    </row>
    <row r="382" spans="1:7">
      <c r="A382" s="3271" t="s">
        <v>2846</v>
      </c>
      <c r="B382" s="3260" t="s">
        <v>2879</v>
      </c>
      <c r="C382" s="3261">
        <v>0.15</v>
      </c>
      <c r="D382" s="3261">
        <v>0.15</v>
      </c>
      <c r="E382" s="3261">
        <v>0.15</v>
      </c>
      <c r="F382" s="3261">
        <v>0.15</v>
      </c>
      <c r="G382" s="3262">
        <v>0.15</v>
      </c>
    </row>
    <row r="383" spans="1:7">
      <c r="A383" s="3271" t="s">
        <v>2846</v>
      </c>
      <c r="B383" s="3260" t="s">
        <v>2884</v>
      </c>
      <c r="C383" s="3261">
        <v>0.15</v>
      </c>
      <c r="D383" s="3261">
        <v>0.15</v>
      </c>
      <c r="E383" s="3261">
        <v>0.15</v>
      </c>
      <c r="F383" s="3261">
        <v>0.14699999999999999</v>
      </c>
      <c r="G383" s="3262">
        <v>0.15</v>
      </c>
    </row>
    <row r="384" spans="1:7" ht="14.25" thickBot="1">
      <c r="A384" s="3281" t="s">
        <v>2846</v>
      </c>
      <c r="B384" s="3282" t="s">
        <v>2888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11" t="s">
        <v>3227</v>
      </c>
      <c r="B1" s="3811"/>
      <c r="C1" s="3811"/>
      <c r="D1" s="3811"/>
      <c r="E1" s="3811"/>
      <c r="F1" s="3812"/>
    </row>
    <row r="2" spans="1:6">
      <c r="A2" s="3287" t="s">
        <v>3228</v>
      </c>
      <c r="B2" s="3288"/>
      <c r="C2" s="3288"/>
      <c r="D2" s="3288"/>
      <c r="E2" s="3288"/>
      <c r="F2" s="3288"/>
    </row>
    <row r="3" spans="1:6">
      <c r="A3" s="3287" t="s">
        <v>3229</v>
      </c>
      <c r="B3" s="3288"/>
      <c r="C3" s="3288"/>
      <c r="D3" s="3288"/>
      <c r="E3" s="3288"/>
      <c r="F3" s="3289" t="s">
        <v>3230</v>
      </c>
    </row>
    <row r="4" spans="1:6">
      <c r="A4" s="3290" t="s">
        <v>672</v>
      </c>
      <c r="B4" s="3290" t="s">
        <v>673</v>
      </c>
      <c r="C4" s="3290" t="s">
        <v>21</v>
      </c>
      <c r="D4" s="3290" t="s">
        <v>674</v>
      </c>
      <c r="E4" s="3290" t="s">
        <v>3</v>
      </c>
      <c r="F4" s="3290" t="s">
        <v>3231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45135</v>
      </c>
      <c r="B1" s="3206" t="s">
        <v>2833</v>
      </c>
      <c r="C1" s="3207"/>
      <c r="D1" s="3207"/>
      <c r="E1" s="3207"/>
      <c r="F1" s="3207"/>
      <c r="G1" s="3207"/>
      <c r="H1" s="3207"/>
      <c r="I1" s="3207"/>
      <c r="J1" s="3161"/>
      <c r="K1" s="3207" t="s">
        <v>454</v>
      </c>
      <c r="L1" s="3207"/>
      <c r="M1" s="3207"/>
      <c r="N1" s="3207"/>
      <c r="O1" s="3207"/>
      <c r="P1" s="3207"/>
      <c r="Q1" s="3161"/>
      <c r="R1" s="3813" t="s">
        <v>456</v>
      </c>
      <c r="S1" s="3814"/>
      <c r="T1" s="3814"/>
      <c r="U1" s="3814"/>
      <c r="V1" s="3814"/>
      <c r="W1" s="3814"/>
      <c r="X1" s="3161"/>
      <c r="Y1" s="3813" t="s">
        <v>457</v>
      </c>
      <c r="Z1" s="3814"/>
      <c r="AA1" s="3814"/>
      <c r="AB1" s="3814"/>
      <c r="AC1" s="3814"/>
      <c r="AD1" s="3814"/>
    </row>
    <row r="2" spans="1:30" s="3139" customFormat="1" ht="14.25" thickBot="1">
      <c r="B2" s="3140"/>
      <c r="C2" s="3141"/>
      <c r="D2" s="3142" t="s">
        <v>2803</v>
      </c>
      <c r="E2" s="3143" t="s">
        <v>2804</v>
      </c>
      <c r="F2" s="3143" t="s">
        <v>2805</v>
      </c>
      <c r="G2" s="3143" t="s">
        <v>2806</v>
      </c>
      <c r="H2" s="3143" t="s">
        <v>2807</v>
      </c>
      <c r="I2" s="3143" t="s">
        <v>2624</v>
      </c>
      <c r="J2" s="3144"/>
      <c r="K2" s="3142" t="s">
        <v>2803</v>
      </c>
      <c r="L2" s="3143" t="s">
        <v>2804</v>
      </c>
      <c r="M2" s="3143" t="s">
        <v>2805</v>
      </c>
      <c r="N2" s="3143" t="s">
        <v>2806</v>
      </c>
      <c r="O2" s="3143" t="s">
        <v>2808</v>
      </c>
      <c r="P2" s="3143" t="s">
        <v>2624</v>
      </c>
      <c r="Q2" s="3144"/>
      <c r="R2" s="3142" t="s">
        <v>2803</v>
      </c>
      <c r="S2" s="3143" t="s">
        <v>2804</v>
      </c>
      <c r="T2" s="3143" t="s">
        <v>2805</v>
      </c>
      <c r="U2" s="3143" t="s">
        <v>2809</v>
      </c>
      <c r="V2" s="3143" t="s">
        <v>2810</v>
      </c>
      <c r="W2" s="3143" t="s">
        <v>2624</v>
      </c>
      <c r="X2" s="3144"/>
      <c r="Y2" s="3142" t="s">
        <v>2803</v>
      </c>
      <c r="Z2" s="3143" t="s">
        <v>2804</v>
      </c>
      <c r="AA2" s="3143" t="s">
        <v>2805</v>
      </c>
      <c r="AB2" s="3143" t="s">
        <v>2811</v>
      </c>
      <c r="AC2" s="3143" t="s">
        <v>2810</v>
      </c>
      <c r="AD2" s="3143" t="s">
        <v>2624</v>
      </c>
    </row>
    <row r="3" spans="1:30" s="3157" customFormat="1" ht="12.75">
      <c r="A3" s="3145" t="s">
        <v>2812</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3367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3366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3364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3358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3360</v>
      </c>
    </row>
    <row r="19" spans="1:30" s="3005" customFormat="1">
      <c r="I19" s="3204" t="s">
        <v>2818</v>
      </c>
    </row>
    <row r="20" spans="1:30" s="3005" customFormat="1"/>
    <row r="21" spans="1:30" s="3205" customFormat="1" ht="12.75">
      <c r="B21" s="3206" t="s">
        <v>2819</v>
      </c>
      <c r="C21" s="3207"/>
      <c r="D21" s="3207"/>
      <c r="E21" s="3207"/>
      <c r="F21" s="3207"/>
      <c r="G21" s="3207"/>
      <c r="H21" s="3207"/>
      <c r="I21" s="3207"/>
      <c r="J21" s="3161"/>
      <c r="K21" s="3207" t="s">
        <v>2820</v>
      </c>
      <c r="L21" s="3207"/>
      <c r="M21" s="3207"/>
      <c r="N21" s="3207"/>
      <c r="O21" s="3207"/>
      <c r="P21" s="3207"/>
      <c r="Q21" s="3161"/>
      <c r="R21" s="3813" t="s">
        <v>2821</v>
      </c>
      <c r="S21" s="3814"/>
      <c r="T21" s="3814"/>
      <c r="U21" s="3814"/>
      <c r="V21" s="3814"/>
      <c r="W21" s="3814"/>
      <c r="X21" s="3161"/>
      <c r="Y21" s="3813" t="s">
        <v>2822</v>
      </c>
      <c r="Z21" s="3814"/>
      <c r="AA21" s="3814"/>
      <c r="AB21" s="3814"/>
      <c r="AC21" s="3814"/>
      <c r="AD21" s="3814"/>
    </row>
    <row r="22" spans="1:30" s="3139" customFormat="1" ht="14.25" thickBot="1">
      <c r="B22" s="3140"/>
      <c r="C22" s="3141"/>
      <c r="D22" s="3142" t="s">
        <v>2823</v>
      </c>
      <c r="E22" s="3143" t="s">
        <v>2824</v>
      </c>
      <c r="F22" s="3143" t="s">
        <v>2825</v>
      </c>
      <c r="G22" s="3143" t="s">
        <v>2826</v>
      </c>
      <c r="H22" s="3143"/>
      <c r="I22" s="3143" t="s">
        <v>2827</v>
      </c>
      <c r="J22" s="3144"/>
      <c r="K22" s="3142" t="s">
        <v>2823</v>
      </c>
      <c r="L22" s="3143" t="s">
        <v>2824</v>
      </c>
      <c r="M22" s="3143" t="s">
        <v>2825</v>
      </c>
      <c r="N22" s="3143" t="s">
        <v>2826</v>
      </c>
      <c r="O22" s="3143"/>
      <c r="P22" s="3143" t="s">
        <v>2827</v>
      </c>
      <c r="Q22" s="3144"/>
      <c r="R22" s="3142" t="s">
        <v>2823</v>
      </c>
      <c r="S22" s="3143" t="s">
        <v>2824</v>
      </c>
      <c r="T22" s="3143" t="s">
        <v>2825</v>
      </c>
      <c r="U22" s="3143" t="s">
        <v>2826</v>
      </c>
      <c r="V22" s="3143"/>
      <c r="W22" s="3143" t="s">
        <v>2827</v>
      </c>
      <c r="X22" s="3144"/>
      <c r="Y22" s="3142" t="s">
        <v>2823</v>
      </c>
      <c r="Z22" s="3143" t="s">
        <v>2824</v>
      </c>
      <c r="AA22" s="3143" t="s">
        <v>2825</v>
      </c>
      <c r="AB22" s="3143" t="s">
        <v>2826</v>
      </c>
      <c r="AC22" s="3143"/>
      <c r="AD22" s="3143" t="s">
        <v>2827</v>
      </c>
    </row>
    <row r="23" spans="1:30" s="3157" customFormat="1" ht="12.75">
      <c r="A23" s="3145" t="s">
        <v>2828</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3365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3366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3364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3359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2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45135</v>
      </c>
      <c r="D1" s="1301" t="s">
        <v>603</v>
      </c>
      <c r="E1" s="1296">
        <f>'数据-取费表'!B22</f>
        <v>1</v>
      </c>
      <c r="F1" s="1301" t="s">
        <v>604</v>
      </c>
      <c r="G1" s="1297">
        <f ca="1">INDIRECT("d"&amp;$K$1)/100</f>
        <v>3.5499999999999997E-2</v>
      </c>
      <c r="H1" s="1301" t="s">
        <v>634</v>
      </c>
      <c r="I1" s="1297">
        <f ca="1">F4/100</f>
        <v>1.4999999999999999E-2</v>
      </c>
      <c r="J1" s="1302">
        <f>IF(C1&gt;C13,0,MATCH(C1,C$13:C$110,-1))+IF(SUMIF(C13:C110,C1,D13:D110)=0,13,12)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2302</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2"/>
  <sheetViews>
    <sheetView topLeftCell="S10" workbookViewId="0">
      <selection activeCell="AL42" sqref="AL42"/>
    </sheetView>
  </sheetViews>
  <sheetFormatPr defaultRowHeight="13.5"/>
  <cols>
    <col min="1" max="18" width="0" hidden="1" customWidth="1"/>
    <col min="24" max="36" width="0" hidden="1" customWidth="1"/>
    <col min="41" max="42" width="0" hidden="1" customWidth="1"/>
    <col min="45" max="47" width="0" hidden="1" customWidth="1"/>
  </cols>
  <sheetData>
    <row r="1" spans="1:76" s="3846" customFormat="1" ht="10.5">
      <c r="A1" s="3827" t="s">
        <v>3577</v>
      </c>
      <c r="B1" s="3828" t="s">
        <v>3578</v>
      </c>
      <c r="C1" s="3829" t="s">
        <v>3579</v>
      </c>
      <c r="D1" s="3829"/>
      <c r="E1" s="3829" t="s">
        <v>3580</v>
      </c>
      <c r="F1" s="3829" t="s">
        <v>3581</v>
      </c>
      <c r="G1" s="3830" t="s">
        <v>3582</v>
      </c>
      <c r="H1" s="3830" t="s">
        <v>3583</v>
      </c>
      <c r="I1" s="3831" t="s">
        <v>3584</v>
      </c>
      <c r="J1" s="3832" t="s">
        <v>3585</v>
      </c>
      <c r="K1" s="3833" t="s">
        <v>3586</v>
      </c>
      <c r="L1" s="3834"/>
      <c r="M1" s="3834" t="s">
        <v>3587</v>
      </c>
      <c r="N1" s="3834"/>
      <c r="O1" s="3834" t="s">
        <v>3588</v>
      </c>
      <c r="P1" s="3834"/>
      <c r="Q1" s="3834" t="s">
        <v>3589</v>
      </c>
      <c r="R1" s="3834"/>
      <c r="S1" s="3834"/>
      <c r="T1" s="3834"/>
      <c r="U1" s="3834" t="s">
        <v>3590</v>
      </c>
      <c r="V1" s="3834"/>
      <c r="W1" s="3834"/>
      <c r="X1" s="3834"/>
      <c r="Y1" s="3834"/>
      <c r="Z1" s="3834" t="s">
        <v>3591</v>
      </c>
      <c r="AA1" s="3834"/>
      <c r="AB1" s="3834" t="s">
        <v>3592</v>
      </c>
      <c r="AC1" s="3834"/>
      <c r="AD1" s="3834" t="s">
        <v>3593</v>
      </c>
      <c r="AE1" s="3834"/>
      <c r="AF1" s="3834" t="s">
        <v>3594</v>
      </c>
      <c r="AG1" s="3834"/>
      <c r="AH1" s="3834" t="s">
        <v>3595</v>
      </c>
      <c r="AI1" s="3834"/>
      <c r="AJ1" s="3835" t="s">
        <v>3596</v>
      </c>
      <c r="AK1" s="3836" t="s">
        <v>3597</v>
      </c>
      <c r="AL1" s="3837"/>
      <c r="AM1" s="3837" t="s">
        <v>3598</v>
      </c>
      <c r="AN1" s="3837"/>
      <c r="AO1" s="3837" t="s">
        <v>3599</v>
      </c>
      <c r="AP1" s="3837"/>
      <c r="AQ1" s="3837" t="s">
        <v>3600</v>
      </c>
      <c r="AR1" s="3837"/>
      <c r="AS1" s="3837"/>
      <c r="AT1" s="3837"/>
      <c r="AU1" s="3837"/>
      <c r="AV1" s="3838" t="s">
        <v>3601</v>
      </c>
      <c r="AW1" s="3838" t="s">
        <v>3602</v>
      </c>
      <c r="AX1" s="3837" t="s">
        <v>3603</v>
      </c>
      <c r="AY1" s="3837"/>
      <c r="AZ1" s="3837"/>
      <c r="BA1" s="3837"/>
      <c r="BB1" s="3837"/>
      <c r="BC1" s="3839" t="s">
        <v>3604</v>
      </c>
      <c r="BD1" s="3837" t="s">
        <v>3605</v>
      </c>
      <c r="BE1" s="3837"/>
      <c r="BF1" s="3837"/>
      <c r="BG1" s="3837" t="s">
        <v>3606</v>
      </c>
      <c r="BH1" s="3837" t="s">
        <v>3607</v>
      </c>
      <c r="BI1" s="3837"/>
      <c r="BJ1" s="3837" t="s">
        <v>3608</v>
      </c>
      <c r="BK1" s="3837" t="s">
        <v>3609</v>
      </c>
      <c r="BL1" s="3837"/>
      <c r="BM1" s="3837" t="s">
        <v>3610</v>
      </c>
      <c r="BN1" s="3840"/>
      <c r="BO1" s="3841" t="s">
        <v>3611</v>
      </c>
      <c r="BP1" s="3842"/>
      <c r="BQ1" s="3842"/>
      <c r="BR1" s="3842"/>
      <c r="BS1" s="3843"/>
      <c r="BT1" s="3844" t="s">
        <v>3612</v>
      </c>
      <c r="BU1" s="3845" t="s">
        <v>3613</v>
      </c>
      <c r="BV1" s="3845" t="s">
        <v>3614</v>
      </c>
      <c r="BW1" s="3845" t="s">
        <v>3615</v>
      </c>
      <c r="BX1" s="3845" t="s">
        <v>3616</v>
      </c>
    </row>
    <row r="2" spans="1:76" s="3846" customFormat="1" ht="32.25" thickBot="1">
      <c r="A2" s="3847"/>
      <c r="B2" s="3848"/>
      <c r="C2" s="3849" t="s">
        <v>3617</v>
      </c>
      <c r="D2" s="3850" t="s">
        <v>3618</v>
      </c>
      <c r="E2" s="3851"/>
      <c r="F2" s="3851"/>
      <c r="G2" s="3852"/>
      <c r="H2" s="3852"/>
      <c r="I2" s="3853"/>
      <c r="J2" s="3854"/>
      <c r="K2" s="3855" t="s">
        <v>3619</v>
      </c>
      <c r="L2" s="3856" t="s">
        <v>3620</v>
      </c>
      <c r="M2" s="3857" t="s">
        <v>3621</v>
      </c>
      <c r="N2" s="3857" t="s">
        <v>3622</v>
      </c>
      <c r="O2" s="3856" t="s">
        <v>3623</v>
      </c>
      <c r="P2" s="3856" t="s">
        <v>3624</v>
      </c>
      <c r="Q2" s="3857" t="s">
        <v>3625</v>
      </c>
      <c r="R2" s="3857" t="s">
        <v>3626</v>
      </c>
      <c r="S2" s="3856" t="s">
        <v>3627</v>
      </c>
      <c r="T2" s="3856" t="s">
        <v>3628</v>
      </c>
      <c r="U2" s="3856" t="s">
        <v>3629</v>
      </c>
      <c r="V2" s="3856" t="s">
        <v>3630</v>
      </c>
      <c r="W2" s="3856" t="s">
        <v>3631</v>
      </c>
      <c r="X2" s="3856" t="s">
        <v>3632</v>
      </c>
      <c r="Y2" s="3856" t="s">
        <v>3633</v>
      </c>
      <c r="Z2" s="3856" t="s">
        <v>3634</v>
      </c>
      <c r="AA2" s="3856" t="s">
        <v>3635</v>
      </c>
      <c r="AB2" s="3857" t="s">
        <v>3636</v>
      </c>
      <c r="AC2" s="3856" t="s">
        <v>3637</v>
      </c>
      <c r="AD2" s="3857" t="s">
        <v>3638</v>
      </c>
      <c r="AE2" s="3857" t="s">
        <v>3639</v>
      </c>
      <c r="AF2" s="3857" t="s">
        <v>3636</v>
      </c>
      <c r="AG2" s="3857" t="s">
        <v>3637</v>
      </c>
      <c r="AH2" s="3857" t="s">
        <v>3640</v>
      </c>
      <c r="AI2" s="3857" t="s">
        <v>3641</v>
      </c>
      <c r="AJ2" s="3858"/>
      <c r="AK2" s="3859" t="s">
        <v>3642</v>
      </c>
      <c r="AL2" s="3860" t="s">
        <v>3643</v>
      </c>
      <c r="AM2" s="3860" t="s">
        <v>3644</v>
      </c>
      <c r="AN2" s="3860" t="s">
        <v>3645</v>
      </c>
      <c r="AO2" s="3860" t="s">
        <v>3646</v>
      </c>
      <c r="AP2" s="3861" t="s">
        <v>3637</v>
      </c>
      <c r="AQ2" s="3861" t="s">
        <v>3647</v>
      </c>
      <c r="AR2" s="3860" t="s">
        <v>3648</v>
      </c>
      <c r="AS2" s="3860" t="s">
        <v>3649</v>
      </c>
      <c r="AT2" s="3860" t="s">
        <v>3650</v>
      </c>
      <c r="AU2" s="3861" t="s">
        <v>3651</v>
      </c>
      <c r="AV2" s="3862"/>
      <c r="AW2" s="3862"/>
      <c r="AX2" s="3863" t="s">
        <v>3652</v>
      </c>
      <c r="AY2" s="3863" t="s">
        <v>3653</v>
      </c>
      <c r="AZ2" s="3864" t="s">
        <v>3654</v>
      </c>
      <c r="BA2" s="3864" t="s">
        <v>3655</v>
      </c>
      <c r="BB2" s="3864" t="s">
        <v>3656</v>
      </c>
      <c r="BC2" s="3863"/>
      <c r="BD2" s="3860" t="s">
        <v>3657</v>
      </c>
      <c r="BE2" s="3860" t="s">
        <v>3658</v>
      </c>
      <c r="BF2" s="3860" t="s">
        <v>3659</v>
      </c>
      <c r="BG2" s="3865"/>
      <c r="BH2" s="3860" t="s">
        <v>3660</v>
      </c>
      <c r="BI2" s="3860" t="s">
        <v>3661</v>
      </c>
      <c r="BJ2" s="3865"/>
      <c r="BK2" s="3861" t="s">
        <v>3662</v>
      </c>
      <c r="BL2" s="3860" t="s">
        <v>3663</v>
      </c>
      <c r="BM2" s="3860" t="s">
        <v>3664</v>
      </c>
      <c r="BN2" s="3866" t="s">
        <v>3665</v>
      </c>
      <c r="BO2" s="3867" t="s">
        <v>3666</v>
      </c>
      <c r="BP2" s="3868" t="s">
        <v>3654</v>
      </c>
      <c r="BQ2" s="3867" t="s">
        <v>3667</v>
      </c>
      <c r="BR2" s="3867" t="s">
        <v>3668</v>
      </c>
      <c r="BS2" s="3869" t="s">
        <v>3669</v>
      </c>
      <c r="BT2" s="3870"/>
      <c r="BU2" s="3871"/>
      <c r="BV2" s="3871"/>
      <c r="BW2" s="3871"/>
      <c r="BX2" s="3871"/>
    </row>
    <row r="3" spans="1:76" s="3900" customFormat="1" ht="12.75" thickBot="1">
      <c r="A3" s="3872" t="s">
        <v>3670</v>
      </c>
      <c r="B3" s="3873" t="s">
        <v>3671</v>
      </c>
      <c r="C3" s="3874" t="s">
        <v>3672</v>
      </c>
      <c r="D3" s="3874" t="str">
        <f>C3</f>
        <v>北京市朝阳区樱花园东街</v>
      </c>
      <c r="E3" s="3874" t="s">
        <v>3373</v>
      </c>
      <c r="F3" s="3874" t="s">
        <v>3373</v>
      </c>
      <c r="G3" s="3874" t="s">
        <v>3673</v>
      </c>
      <c r="H3" s="3875" t="s">
        <v>3674</v>
      </c>
      <c r="I3" s="3876" t="s">
        <v>3675</v>
      </c>
      <c r="J3" s="3877" t="s">
        <v>3676</v>
      </c>
      <c r="K3" s="3878" t="s">
        <v>3677</v>
      </c>
      <c r="L3" s="3879" t="s">
        <v>673</v>
      </c>
      <c r="M3" s="3880" t="s">
        <v>3678</v>
      </c>
      <c r="N3" s="3879" t="s">
        <v>3679</v>
      </c>
      <c r="O3" s="3879" t="s">
        <v>3680</v>
      </c>
      <c r="P3" s="3879" t="s">
        <v>3679</v>
      </c>
      <c r="Q3" s="3881">
        <v>3</v>
      </c>
      <c r="R3" s="3881">
        <v>0</v>
      </c>
      <c r="S3" s="3882" t="s">
        <v>3681</v>
      </c>
      <c r="T3" s="3879" t="s">
        <v>3422</v>
      </c>
      <c r="U3" s="3879" t="s">
        <v>3682</v>
      </c>
      <c r="V3" s="3881">
        <v>6.5</v>
      </c>
      <c r="W3" s="3881">
        <v>16</v>
      </c>
      <c r="X3" s="3881" t="s">
        <v>3679</v>
      </c>
      <c r="Y3" s="3881" t="s">
        <v>3679</v>
      </c>
      <c r="Z3" s="3881">
        <v>3</v>
      </c>
      <c r="AA3" s="3881" t="s">
        <v>3679</v>
      </c>
      <c r="AB3" s="3881" t="s">
        <v>3679</v>
      </c>
      <c r="AC3" s="3881">
        <v>1998</v>
      </c>
      <c r="AD3" s="3881" t="s">
        <v>3679</v>
      </c>
      <c r="AE3" s="3881" t="s">
        <v>3679</v>
      </c>
      <c r="AF3" s="3883">
        <v>54325</v>
      </c>
      <c r="AG3" s="3881" t="s">
        <v>3679</v>
      </c>
      <c r="AH3" s="3881" t="s">
        <v>3679</v>
      </c>
      <c r="AI3" s="3881" t="s">
        <v>3679</v>
      </c>
      <c r="AJ3" s="3881" t="s">
        <v>3679</v>
      </c>
      <c r="AK3" s="3884" t="s">
        <v>3683</v>
      </c>
      <c r="AL3" s="3884" t="s">
        <v>3684</v>
      </c>
      <c r="AM3" s="3879" t="s">
        <v>3685</v>
      </c>
      <c r="AN3" s="3879" t="s">
        <v>3679</v>
      </c>
      <c r="AO3" s="3881" t="s">
        <v>3679</v>
      </c>
      <c r="AP3" s="3881" t="s">
        <v>3679</v>
      </c>
      <c r="AQ3" s="3884">
        <v>120</v>
      </c>
      <c r="AR3" s="3885">
        <v>120</v>
      </c>
      <c r="AS3" s="3885" t="s">
        <v>3679</v>
      </c>
      <c r="AT3" s="3886" t="e">
        <f>IF(OR(AQ3=0,AR3=0,AS3=0),"/",AR3/AS3)</f>
        <v>#VALUE!</v>
      </c>
      <c r="AU3" s="3885" t="s">
        <v>3679</v>
      </c>
      <c r="AV3" s="3879" t="s">
        <v>3686</v>
      </c>
      <c r="AW3" s="3887" t="s">
        <v>3687</v>
      </c>
      <c r="AX3" s="3884">
        <f>ROUND(115.5*10000/365/AQ3,1)</f>
        <v>26.4</v>
      </c>
      <c r="AY3" s="3888">
        <f>ROUND((AX3-BA3/30-BB3)/(1+AZ3),2)</f>
        <v>25.14</v>
      </c>
      <c r="AZ3" s="3889">
        <v>0.05</v>
      </c>
      <c r="BA3" s="3884">
        <v>0</v>
      </c>
      <c r="BB3" s="3884">
        <v>0</v>
      </c>
      <c r="BC3" s="3885" t="s">
        <v>3679</v>
      </c>
      <c r="BD3" s="3890">
        <v>43675</v>
      </c>
      <c r="BE3" s="3890">
        <v>45546</v>
      </c>
      <c r="BF3" s="3884">
        <v>5</v>
      </c>
      <c r="BG3" s="3885" t="s">
        <v>3679</v>
      </c>
      <c r="BH3" s="3884" t="s">
        <v>3688</v>
      </c>
      <c r="BI3" s="3891">
        <v>1.9599999999999999E-2</v>
      </c>
      <c r="BJ3" s="3885" t="s">
        <v>3679</v>
      </c>
      <c r="BK3" s="3879" t="s">
        <v>3689</v>
      </c>
      <c r="BL3" s="3890">
        <v>43816</v>
      </c>
      <c r="BM3" s="3879" t="s">
        <v>3400</v>
      </c>
      <c r="BN3" s="3885" t="s">
        <v>3679</v>
      </c>
      <c r="BO3" s="3892" t="s">
        <v>3690</v>
      </c>
      <c r="BP3" s="3893" t="s">
        <v>3690</v>
      </c>
      <c r="BQ3" s="3894" t="s">
        <v>3690</v>
      </c>
      <c r="BR3" s="3894" t="s">
        <v>3690</v>
      </c>
      <c r="BS3" s="3894" t="s">
        <v>3690</v>
      </c>
      <c r="BT3" s="3895" t="s">
        <v>3691</v>
      </c>
      <c r="BU3" s="3896" t="s">
        <v>3692</v>
      </c>
      <c r="BV3" s="3897">
        <v>45139</v>
      </c>
      <c r="BW3" s="3898"/>
      <c r="BX3" s="3899"/>
    </row>
    <row r="4" spans="1:76" s="3900" customFormat="1" ht="12.75" thickBot="1">
      <c r="A4" s="3872" t="s">
        <v>3670</v>
      </c>
      <c r="B4" s="3873" t="s">
        <v>3671</v>
      </c>
      <c r="C4" s="3874" t="s">
        <v>3672</v>
      </c>
      <c r="D4" s="3874" t="str">
        <f>C4</f>
        <v>北京市朝阳区樱花园东街</v>
      </c>
      <c r="E4" s="3874" t="s">
        <v>3373</v>
      </c>
      <c r="F4" s="3874" t="s">
        <v>3373</v>
      </c>
      <c r="G4" s="3874" t="s">
        <v>3673</v>
      </c>
      <c r="H4" s="3875" t="s">
        <v>3674</v>
      </c>
      <c r="I4" s="3876" t="s">
        <v>3675</v>
      </c>
      <c r="J4" s="3877" t="s">
        <v>3676</v>
      </c>
      <c r="K4" s="3878" t="s">
        <v>3677</v>
      </c>
      <c r="L4" s="3879" t="s">
        <v>673</v>
      </c>
      <c r="M4" s="3880" t="s">
        <v>3678</v>
      </c>
      <c r="N4" s="3879" t="s">
        <v>3679</v>
      </c>
      <c r="O4" s="3879" t="s">
        <v>3680</v>
      </c>
      <c r="P4" s="3879" t="s">
        <v>3679</v>
      </c>
      <c r="Q4" s="3881">
        <v>3</v>
      </c>
      <c r="R4" s="3881">
        <v>0</v>
      </c>
      <c r="S4" s="3882" t="s">
        <v>3681</v>
      </c>
      <c r="T4" s="3879" t="s">
        <v>3422</v>
      </c>
      <c r="U4" s="3879" t="s">
        <v>3682</v>
      </c>
      <c r="V4" s="3881">
        <v>6.5</v>
      </c>
      <c r="W4" s="3881">
        <v>16</v>
      </c>
      <c r="X4" s="3881" t="s">
        <v>3679</v>
      </c>
      <c r="Y4" s="3881" t="s">
        <v>3679</v>
      </c>
      <c r="Z4" s="3881">
        <v>3</v>
      </c>
      <c r="AA4" s="3881" t="s">
        <v>3679</v>
      </c>
      <c r="AB4" s="3881" t="s">
        <v>3679</v>
      </c>
      <c r="AC4" s="3881">
        <v>1998</v>
      </c>
      <c r="AD4" s="3881" t="s">
        <v>3679</v>
      </c>
      <c r="AE4" s="3881" t="s">
        <v>3679</v>
      </c>
      <c r="AF4" s="3883">
        <v>54325</v>
      </c>
      <c r="AG4" s="3881" t="s">
        <v>3679</v>
      </c>
      <c r="AH4" s="3881" t="s">
        <v>3679</v>
      </c>
      <c r="AI4" s="3881" t="s">
        <v>3679</v>
      </c>
      <c r="AJ4" s="3881" t="s">
        <v>3679</v>
      </c>
      <c r="AK4" s="3884" t="s">
        <v>3693</v>
      </c>
      <c r="AL4" s="3884" t="s">
        <v>3694</v>
      </c>
      <c r="AM4" s="3879" t="s">
        <v>3685</v>
      </c>
      <c r="AN4" s="3879" t="s">
        <v>3679</v>
      </c>
      <c r="AO4" s="3881" t="s">
        <v>3679</v>
      </c>
      <c r="AP4" s="3881" t="s">
        <v>3679</v>
      </c>
      <c r="AQ4" s="3884">
        <v>102.86</v>
      </c>
      <c r="AR4" s="3885">
        <f>AQ4</f>
        <v>102.86</v>
      </c>
      <c r="AS4" s="3885" t="s">
        <v>3679</v>
      </c>
      <c r="AT4" s="3886" t="e">
        <f>IF(OR(AQ4=0,AR4=0,AS4=0),"/",AR4/AS4)</f>
        <v>#VALUE!</v>
      </c>
      <c r="AU4" s="3885" t="s">
        <v>3679</v>
      </c>
      <c r="AV4" s="3879" t="s">
        <v>3695</v>
      </c>
      <c r="AW4" s="3887" t="s">
        <v>3687</v>
      </c>
      <c r="AX4" s="3884">
        <f>ROUND(60*10000/365/AQ4,1)</f>
        <v>16</v>
      </c>
      <c r="AY4" s="3888">
        <f>ROUND((AX4-BA4/30-BB4)/(1+AZ4),2)</f>
        <v>15.24</v>
      </c>
      <c r="AZ4" s="3889">
        <v>0.05</v>
      </c>
      <c r="BA4" s="3884">
        <v>0</v>
      </c>
      <c r="BB4" s="3884">
        <v>0</v>
      </c>
      <c r="BC4" s="3885" t="s">
        <v>3679</v>
      </c>
      <c r="BD4" s="3890">
        <v>44071</v>
      </c>
      <c r="BE4" s="3890">
        <v>45946</v>
      </c>
      <c r="BF4" s="3884">
        <v>5</v>
      </c>
      <c r="BG4" s="3885" t="s">
        <v>3679</v>
      </c>
      <c r="BH4" s="3884" t="s">
        <v>3688</v>
      </c>
      <c r="BI4" s="3891">
        <v>1.6E-2</v>
      </c>
      <c r="BJ4" s="3885" t="s">
        <v>3679</v>
      </c>
      <c r="BK4" s="3879" t="s">
        <v>3689</v>
      </c>
      <c r="BL4" s="3890">
        <v>44066</v>
      </c>
      <c r="BM4" s="3879" t="s">
        <v>3400</v>
      </c>
      <c r="BN4" s="3885" t="s">
        <v>3679</v>
      </c>
      <c r="BO4" s="3892" t="s">
        <v>3690</v>
      </c>
      <c r="BP4" s="3893" t="s">
        <v>3690</v>
      </c>
      <c r="BQ4" s="3894" t="s">
        <v>3690</v>
      </c>
      <c r="BR4" s="3894" t="s">
        <v>3690</v>
      </c>
      <c r="BS4" s="3894" t="s">
        <v>3690</v>
      </c>
      <c r="BT4" s="3895" t="s">
        <v>3696</v>
      </c>
      <c r="BU4" s="3896" t="s">
        <v>3692</v>
      </c>
      <c r="BV4" s="3897">
        <v>45139</v>
      </c>
      <c r="BW4" s="3895"/>
      <c r="BX4" s="3901"/>
    </row>
    <row r="5" spans="1:76" s="3900" customFormat="1" ht="12.75" thickBot="1">
      <c r="A5" s="3872" t="s">
        <v>3670</v>
      </c>
      <c r="B5" s="3873" t="s">
        <v>3671</v>
      </c>
      <c r="C5" s="3874" t="s">
        <v>3672</v>
      </c>
      <c r="D5" s="3874" t="str">
        <f>C5</f>
        <v>北京市朝阳区樱花园东街</v>
      </c>
      <c r="E5" s="3874" t="s">
        <v>3373</v>
      </c>
      <c r="F5" s="3874" t="s">
        <v>3373</v>
      </c>
      <c r="G5" s="3874" t="s">
        <v>3673</v>
      </c>
      <c r="H5" s="3875" t="s">
        <v>3674</v>
      </c>
      <c r="I5" s="3876" t="s">
        <v>3675</v>
      </c>
      <c r="J5" s="3877" t="s">
        <v>3676</v>
      </c>
      <c r="K5" s="3878" t="s">
        <v>3677</v>
      </c>
      <c r="L5" s="3879" t="s">
        <v>673</v>
      </c>
      <c r="M5" s="3880" t="s">
        <v>3678</v>
      </c>
      <c r="N5" s="3879" t="s">
        <v>3679</v>
      </c>
      <c r="O5" s="3879" t="s">
        <v>3680</v>
      </c>
      <c r="P5" s="3879" t="s">
        <v>3679</v>
      </c>
      <c r="Q5" s="3881">
        <v>3</v>
      </c>
      <c r="R5" s="3881">
        <v>0</v>
      </c>
      <c r="S5" s="3882" t="s">
        <v>3697</v>
      </c>
      <c r="T5" s="3879" t="s">
        <v>3422</v>
      </c>
      <c r="U5" s="3879" t="s">
        <v>3682</v>
      </c>
      <c r="V5" s="3881">
        <v>6.5</v>
      </c>
      <c r="W5" s="3881">
        <v>16</v>
      </c>
      <c r="X5" s="3881" t="s">
        <v>3679</v>
      </c>
      <c r="Y5" s="3881" t="s">
        <v>3679</v>
      </c>
      <c r="Z5" s="3881">
        <v>3</v>
      </c>
      <c r="AA5" s="3881" t="s">
        <v>3679</v>
      </c>
      <c r="AB5" s="3881" t="s">
        <v>3679</v>
      </c>
      <c r="AC5" s="3881">
        <v>1998</v>
      </c>
      <c r="AD5" s="3881" t="s">
        <v>3679</v>
      </c>
      <c r="AE5" s="3881" t="s">
        <v>3679</v>
      </c>
      <c r="AF5" s="3883">
        <v>54325</v>
      </c>
      <c r="AG5" s="3881" t="s">
        <v>3679</v>
      </c>
      <c r="AH5" s="3881" t="s">
        <v>3679</v>
      </c>
      <c r="AI5" s="3881" t="s">
        <v>3679</v>
      </c>
      <c r="AJ5" s="3881" t="s">
        <v>3679</v>
      </c>
      <c r="AK5" s="3884" t="s">
        <v>3698</v>
      </c>
      <c r="AL5" s="3884" t="s">
        <v>3699</v>
      </c>
      <c r="AM5" s="3879" t="s">
        <v>3685</v>
      </c>
      <c r="AN5" s="3879" t="s">
        <v>3679</v>
      </c>
      <c r="AO5" s="3881" t="s">
        <v>3679</v>
      </c>
      <c r="AP5" s="3881" t="s">
        <v>3679</v>
      </c>
      <c r="AQ5" s="3884">
        <v>1026.6400000000001</v>
      </c>
      <c r="AR5" s="3885">
        <f>AQ5</f>
        <v>1026.6400000000001</v>
      </c>
      <c r="AS5" s="3885" t="s">
        <v>3679</v>
      </c>
      <c r="AT5" s="3886" t="e">
        <f>IF(OR(AQ5=0,AR5=0,AS5=0),"/",AR5/AS5)</f>
        <v>#VALUE!</v>
      </c>
      <c r="AU5" s="3885" t="s">
        <v>3679</v>
      </c>
      <c r="AV5" s="3879" t="s">
        <v>3686</v>
      </c>
      <c r="AW5" s="3887" t="s">
        <v>3687</v>
      </c>
      <c r="AX5" s="3884">
        <f>ROUND((45+43.4323)*4*10000/365/AQ5,1)</f>
        <v>9.4</v>
      </c>
      <c r="AY5" s="3888">
        <f>ROUND((AX5-BA5/30-BB5)/(1+AZ5),2)</f>
        <v>8.9499999999999993</v>
      </c>
      <c r="AZ5" s="3889">
        <v>0.05</v>
      </c>
      <c r="BA5" s="3884">
        <v>0</v>
      </c>
      <c r="BB5" s="3884">
        <v>0</v>
      </c>
      <c r="BC5" s="3885" t="s">
        <v>3679</v>
      </c>
      <c r="BD5" s="3890">
        <v>44102</v>
      </c>
      <c r="BE5" s="3890">
        <v>46292</v>
      </c>
      <c r="BF5" s="3884">
        <v>6</v>
      </c>
      <c r="BG5" s="3885" t="s">
        <v>3679</v>
      </c>
      <c r="BH5" s="3884" t="s">
        <v>3688</v>
      </c>
      <c r="BI5" s="3891">
        <v>2.1899999999999999E-2</v>
      </c>
      <c r="BJ5" s="3885" t="s">
        <v>3679</v>
      </c>
      <c r="BK5" s="3879" t="s">
        <v>3689</v>
      </c>
      <c r="BL5" s="3890">
        <v>44069</v>
      </c>
      <c r="BM5" s="3879" t="s">
        <v>3400</v>
      </c>
      <c r="BN5" s="3885" t="s">
        <v>3679</v>
      </c>
      <c r="BO5" s="3892" t="s">
        <v>3690</v>
      </c>
      <c r="BP5" s="3893" t="s">
        <v>3690</v>
      </c>
      <c r="BQ5" s="3894" t="s">
        <v>3690</v>
      </c>
      <c r="BR5" s="3894" t="s">
        <v>3690</v>
      </c>
      <c r="BS5" s="3894" t="s">
        <v>3690</v>
      </c>
      <c r="BT5" s="3895" t="s">
        <v>3700</v>
      </c>
      <c r="BU5" s="3896" t="s">
        <v>3692</v>
      </c>
      <c r="BV5" s="3897">
        <v>45139</v>
      </c>
      <c r="BW5" s="3898"/>
      <c r="BX5" s="3899"/>
    </row>
    <row r="41" spans="21:39">
      <c r="U41" s="3904" t="s">
        <v>3711</v>
      </c>
      <c r="V41" s="3904" t="s">
        <v>3710</v>
      </c>
      <c r="AL41" s="3904" t="s">
        <v>3717</v>
      </c>
    </row>
    <row r="42" spans="21:39">
      <c r="U42" s="3904" t="s">
        <v>3712</v>
      </c>
      <c r="V42" s="3904" t="s">
        <v>3713</v>
      </c>
      <c r="W42" s="3904" t="s">
        <v>3714</v>
      </c>
      <c r="AK42" s="3904" t="s">
        <v>3715</v>
      </c>
      <c r="AL42">
        <f>ROUND(31.5*10000/50/365,1)</f>
        <v>17.3</v>
      </c>
      <c r="AM42" s="3904" t="s">
        <v>3716</v>
      </c>
    </row>
  </sheetData>
  <mergeCells count="39">
    <mergeCell ref="BV1:BV2"/>
    <mergeCell ref="BW1:BW2"/>
    <mergeCell ref="BX1:BX2"/>
    <mergeCell ref="BJ1:BJ2"/>
    <mergeCell ref="BK1:BL1"/>
    <mergeCell ref="BM1:BN1"/>
    <mergeCell ref="BO1:BS1"/>
    <mergeCell ref="BT1:BT2"/>
    <mergeCell ref="BU1:BU2"/>
    <mergeCell ref="AV1:AV2"/>
    <mergeCell ref="AW1:AW2"/>
    <mergeCell ref="AX1:BB1"/>
    <mergeCell ref="BD1:BF1"/>
    <mergeCell ref="BG1:BG2"/>
    <mergeCell ref="BH1:BI1"/>
    <mergeCell ref="AH1:AI1"/>
    <mergeCell ref="AJ1:AJ2"/>
    <mergeCell ref="AK1:AL1"/>
    <mergeCell ref="AM1:AN1"/>
    <mergeCell ref="AO1:AP1"/>
    <mergeCell ref="AQ1:AU1"/>
    <mergeCell ref="Q1:T1"/>
    <mergeCell ref="U1:Y1"/>
    <mergeCell ref="Z1:AA1"/>
    <mergeCell ref="AB1:AC1"/>
    <mergeCell ref="AD1:AE1"/>
    <mergeCell ref="AF1:AG1"/>
    <mergeCell ref="H1:H2"/>
    <mergeCell ref="I1:I2"/>
    <mergeCell ref="J1:J2"/>
    <mergeCell ref="K1:L1"/>
    <mergeCell ref="M1:N1"/>
    <mergeCell ref="O1:P1"/>
    <mergeCell ref="A1:A2"/>
    <mergeCell ref="B1:B2"/>
    <mergeCell ref="C1:D1"/>
    <mergeCell ref="E1:E2"/>
    <mergeCell ref="F1:F2"/>
    <mergeCell ref="G1:G2"/>
  </mergeCells>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
      <c r="A3" s="3497"/>
      <c r="B3" s="3497"/>
      <c r="C3" s="3497"/>
      <c r="D3" s="853" t="s">
        <v>925</v>
      </c>
      <c r="E3" s="853" t="s">
        <v>931</v>
      </c>
      <c r="F3" s="853" t="s">
        <v>925</v>
      </c>
      <c r="G3" s="853" t="s">
        <v>926</v>
      </c>
      <c r="H3" s="853" t="s">
        <v>925</v>
      </c>
      <c r="I3" s="853" t="s">
        <v>926</v>
      </c>
    </row>
    <row r="4" spans="1:9" ht="30">
      <c r="A4" s="1504" t="str">
        <f>项目基本情况!S2</f>
        <v>北京市朝阳区樱花园东街1号楼1至2层1-7房地产</v>
      </c>
      <c r="B4" s="853">
        <f>项目基本情况!C17</f>
        <v>1014.0699999999999</v>
      </c>
      <c r="C4" s="853">
        <f>项目基本情况!C18</f>
        <v>0</v>
      </c>
      <c r="D4" s="853">
        <f ca="1">结果表!D118</f>
        <v>3891</v>
      </c>
      <c r="E4" s="853">
        <f ca="1">结果表!E118</f>
        <v>38370</v>
      </c>
      <c r="F4" s="853">
        <f ca="1">结果表!F118</f>
        <v>423</v>
      </c>
      <c r="G4" s="853">
        <f ca="1">结果表!G118</f>
        <v>4171</v>
      </c>
      <c r="H4" s="853">
        <f ca="1">结果表!H118</f>
        <v>4314</v>
      </c>
      <c r="I4" s="853">
        <f ca="1">结果表!I118</f>
        <v>42541</v>
      </c>
    </row>
    <row r="5" spans="1:9" ht="30" customHeight="1">
      <c r="A5" s="3497" t="s">
        <v>927</v>
      </c>
      <c r="B5" s="3497"/>
      <c r="C5" s="3497"/>
      <c r="D5" s="3497" t="str">
        <f ca="1">结果表!D119</f>
        <v>叁仟捌佰玖拾壹万元整</v>
      </c>
      <c r="E5" s="3497"/>
      <c r="F5" s="3497" t="str">
        <f ca="1">结果表!F119</f>
        <v>肆佰贰拾叁万元整</v>
      </c>
      <c r="G5" s="3497"/>
      <c r="H5" s="3497" t="str">
        <f ca="1">结果表!H119</f>
        <v>肆仟叁佰壹拾肆万元整</v>
      </c>
      <c r="I5" s="3497"/>
    </row>
    <row r="6" spans="1:9" ht="15.75">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
      </c>
      <c r="B8" s="3496"/>
      <c r="C8" s="3496"/>
      <c r="D8" s="3496">
        <f ca="1">结果表!D122</f>
        <v>4314</v>
      </c>
      <c r="E8" s="3496"/>
      <c r="F8" s="3496"/>
      <c r="G8" s="3496"/>
      <c r="H8" s="3496"/>
      <c r="I8" s="3496"/>
    </row>
    <row r="9" spans="1:9" ht="15">
      <c r="A9" s="3497" t="s">
        <v>927</v>
      </c>
      <c r="B9" s="3497"/>
      <c r="C9" s="3497"/>
      <c r="D9" s="3497" t="str">
        <f ca="1">结果表!D123</f>
        <v>肆仟叁佰壹拾肆万元整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949</v>
      </c>
      <c r="B1" s="3509"/>
      <c r="C1" s="3509"/>
      <c r="D1" s="3509"/>
    </row>
    <row r="2" spans="1:4" ht="18">
      <c r="A2" s="3510" t="s">
        <v>933</v>
      </c>
      <c r="B2" s="3510"/>
      <c r="C2" s="3510"/>
      <c r="D2" s="351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10" t="s">
        <v>939</v>
      </c>
      <c r="B6" s="3510"/>
      <c r="C6" s="3510"/>
      <c r="D6" s="351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45139</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0"/>
      <c r="E18" s="3522" t="s">
        <v>2162</v>
      </c>
      <c r="F18" s="3521"/>
      <c r="G18" s="3521"/>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收益法</vt:lpstr>
      <vt:lpstr>租赁情况</vt:lpstr>
      <vt:lpstr>比较法-商业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2023-08-01T07:01:46Z</dcterms:modified>
</cp:coreProperties>
</file>