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成本法-120" sheetId="84" state="hidden" r:id="rId22"/>
    <sheet name="收益法-120" sheetId="67" state="hidden" r:id="rId23"/>
    <sheet name="比较法-办公" sheetId="34" state="hidden" r:id="rId24"/>
    <sheet name="比较法-商业" sheetId="33" state="hidden" r:id="rId25"/>
    <sheet name="结果表 (2)" sheetId="86" r:id="rId26"/>
    <sheet name="成本法-207" sheetId="69" r:id="rId27"/>
    <sheet name="基准地价修正" sheetId="43" r:id="rId28"/>
    <sheet name="收益法-207" sheetId="85"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'成本法-120'!$A$1:$G$57</definedName>
    <definedName name="_xlnm.Print_Area" localSheetId="26">'成本法-207'!$A$1:$G$57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'结果表 (2)'!$A$1:$I$127</definedName>
    <definedName name="_xlnm.Print_Area" localSheetId="20">收益法!$A$1:$F$43,收益法!$H$3:$M$29,收益法!$A$46:$F$71,收益法!$I$46:$N$65</definedName>
    <definedName name="_xlnm.Print_Area" localSheetId="30">'收益法（汇总）'!$A$1:$F$13</definedName>
    <definedName name="_xlnm.Print_Area" localSheetId="22">'收益法-120'!$A$1:$F$43,'收益法-120'!$H$3:$M$29,'收益法-120'!$A$45:$F$71,'收益法-120'!$I$46:$N$65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B14" i="74" l="1"/>
  <c r="U3" i="43"/>
  <c r="G23" i="4"/>
  <c r="E104" i="33" l="1"/>
  <c r="F104" i="33"/>
  <c r="D104"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7" i="86"/>
  <c r="L4" i="86"/>
  <c r="K4" i="86"/>
  <c r="A2" i="86"/>
  <c r="H1" i="86"/>
  <c r="P74" i="85"/>
  <c r="Q72" i="85"/>
  <c r="F62" i="85"/>
  <c r="F60" i="85"/>
  <c r="Q59" i="85"/>
  <c r="K59" i="85"/>
  <c r="P61" i="85" s="1"/>
  <c r="Q58" i="85"/>
  <c r="Q51" i="85"/>
  <c r="J50" i="85"/>
  <c r="J51" i="85" s="1"/>
  <c r="J49" i="85"/>
  <c r="M47" i="85"/>
  <c r="D46" i="85"/>
  <c r="F34" i="85"/>
  <c r="F33" i="85"/>
  <c r="F61" i="85" s="1"/>
  <c r="F32" i="85"/>
  <c r="F28" i="85"/>
  <c r="C28" i="85"/>
  <c r="F23" i="85"/>
  <c r="D24" i="85" s="1"/>
  <c r="D23" i="85"/>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F19" i="6"/>
  <c r="C33" i="33" s="1"/>
  <c r="G24" i="4"/>
  <c r="E2" i="84"/>
  <c r="D22" i="85" l="1"/>
  <c r="C18" i="86"/>
  <c r="D18" i="86" s="1"/>
  <c r="D118" i="86"/>
  <c r="D119" i="86" s="1"/>
  <c r="D121" i="86"/>
  <c r="K120" i="86"/>
  <c r="C94" i="86"/>
  <c r="G118" i="86"/>
  <c r="F118" i="86" s="1"/>
  <c r="F119" i="86" s="1"/>
  <c r="H109" i="86"/>
  <c r="D124" i="86" l="1"/>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G1" i="85" s="1"/>
  <c r="AP6" i="1"/>
  <c r="AG6" i="1"/>
  <c r="P6" i="1"/>
  <c r="O6" i="1"/>
  <c r="D6" i="1"/>
  <c r="A6" i="1"/>
  <c r="G1" i="84"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F27" i="84"/>
  <c r="F43" i="85"/>
  <c r="AO8" i="1"/>
  <c r="B8" i="76"/>
  <c r="D2" i="36"/>
  <c r="F7" i="85"/>
  <c r="L48" i="85"/>
  <c r="E8" i="76"/>
  <c r="D2" i="37"/>
  <c r="M6" i="85"/>
  <c r="F42" i="85"/>
  <c r="M8" i="85"/>
  <c r="F26" i="85"/>
  <c r="D2" i="21"/>
  <c r="B10" i="76"/>
  <c r="F40" i="85"/>
  <c r="F6" i="85"/>
  <c r="B7" i="76"/>
  <c r="B12" i="76"/>
  <c r="C36" i="84"/>
  <c r="F16" i="85"/>
  <c r="E9" i="76"/>
  <c r="B9" i="76"/>
  <c r="B13" i="76"/>
  <c r="F36" i="85"/>
  <c r="E2" i="68"/>
  <c r="M26" i="85"/>
  <c r="C76" i="85"/>
  <c r="E12" i="76"/>
  <c r="E7" i="76"/>
  <c r="M29" i="85"/>
  <c r="E13" i="76"/>
  <c r="J15" i="85"/>
  <c r="F9" i="85"/>
  <c r="B11" i="76"/>
  <c r="AO11" i="1"/>
  <c r="F38" i="85"/>
  <c r="F8" i="85"/>
  <c r="E11" i="76"/>
  <c r="AO10" i="1"/>
  <c r="D9" i="84"/>
  <c r="F13" i="85"/>
  <c r="AO12" i="1"/>
  <c r="D2" i="33"/>
  <c r="F37" i="85"/>
  <c r="L47" i="85"/>
  <c r="E2" i="69"/>
  <c r="F20" i="31"/>
  <c r="M28" i="85"/>
  <c r="M9" i="85"/>
  <c r="D2" i="35"/>
  <c r="AO9" i="1"/>
  <c r="M23" i="85"/>
  <c r="M22" i="85"/>
  <c r="M27" i="85"/>
  <c r="M24" i="85"/>
  <c r="AO13" i="1"/>
  <c r="E10" i="76"/>
  <c r="D2" i="34"/>
  <c r="G26" i="12" l="1"/>
  <c r="G41" i="84"/>
  <c r="G22" i="84"/>
  <c r="C9" i="84"/>
  <c r="F45" i="84"/>
  <c r="C47" i="84"/>
  <c r="D45" i="84" s="1"/>
  <c r="C29" i="84"/>
  <c r="D27" i="84" s="1"/>
  <c r="BA14" i="3"/>
  <c r="Q71" i="85"/>
  <c r="C27" i="85"/>
  <c r="F51" i="85"/>
  <c r="F31" i="85"/>
  <c r="C6" i="85"/>
  <c r="F71" i="85"/>
  <c r="F64" i="85"/>
  <c r="M7" i="85"/>
  <c r="J6" i="85" s="1"/>
  <c r="F50" i="85"/>
  <c r="F65" i="85"/>
  <c r="F66" i="85"/>
  <c r="F68" i="85"/>
  <c r="M59" i="85"/>
  <c r="L59" i="85"/>
  <c r="N59" i="85"/>
  <c r="L56" i="85"/>
  <c r="J53" i="85"/>
  <c r="L58" i="85"/>
  <c r="J57" i="85"/>
  <c r="J55" i="85" s="1"/>
  <c r="J58" i="85" s="1"/>
  <c r="Q50" i="85" s="1"/>
  <c r="I54" i="85"/>
  <c r="L57"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C14" i="85"/>
  <c r="M6" i="67"/>
  <c r="D4" i="73"/>
  <c r="C36" i="69"/>
  <c r="F26" i="67"/>
  <c r="J15" i="67"/>
  <c r="F4" i="73"/>
  <c r="F26" i="15"/>
  <c r="M24" i="67"/>
  <c r="M24" i="15"/>
  <c r="M9" i="15"/>
  <c r="M26" i="15"/>
  <c r="F6" i="15"/>
  <c r="F40" i="67"/>
  <c r="F37" i="67"/>
  <c r="M23" i="67"/>
  <c r="M6" i="15"/>
  <c r="M28" i="67"/>
  <c r="M27" i="15"/>
  <c r="L48" i="15"/>
  <c r="F9" i="15"/>
  <c r="C16" i="85"/>
  <c r="F16" i="67"/>
  <c r="F8" i="67"/>
  <c r="F3" i="73"/>
  <c r="M9" i="67"/>
  <c r="F16" i="15"/>
  <c r="F38" i="67"/>
  <c r="D6" i="73"/>
  <c r="F6" i="73"/>
  <c r="F36" i="15"/>
  <c r="D3" i="73"/>
  <c r="F7" i="73"/>
  <c r="M22" i="67"/>
  <c r="C17" i="85"/>
  <c r="M28" i="15"/>
  <c r="M8" i="15"/>
  <c r="F40" i="15"/>
  <c r="F9" i="67"/>
  <c r="F6" i="67"/>
  <c r="D7" i="73"/>
  <c r="M8" i="67"/>
  <c r="F42" i="67"/>
  <c r="L48" i="67"/>
  <c r="M27" i="67"/>
  <c r="F8" i="15"/>
  <c r="L47" i="15"/>
  <c r="M23" i="15"/>
  <c r="F42" i="15"/>
  <c r="C76" i="67"/>
  <c r="F37" i="15"/>
  <c r="F36" i="67"/>
  <c r="L47" i="67"/>
  <c r="D5" i="73"/>
  <c r="D9" i="69"/>
  <c r="C76" i="15"/>
  <c r="F5" i="73"/>
  <c r="J15" i="15"/>
  <c r="M26" i="67"/>
  <c r="F38" i="15"/>
  <c r="M22" i="15"/>
  <c r="C18" i="85" l="1"/>
  <c r="C15" i="85"/>
  <c r="C49" i="85"/>
  <c r="C61" i="85" s="1"/>
  <c r="M17" i="85"/>
  <c r="F59" i="85"/>
  <c r="J18" i="85"/>
  <c r="J19" i="85"/>
  <c r="Q74" i="85"/>
  <c r="Q61" i="85"/>
  <c r="Q66" i="85"/>
  <c r="Q57" i="85"/>
  <c r="Q60" i="85"/>
  <c r="Q73" i="85"/>
  <c r="F1" i="85"/>
  <c r="Q52" i="85"/>
  <c r="U25" i="33"/>
  <c r="AA25" i="33"/>
  <c r="G30" i="6"/>
  <c r="G31" i="6" s="1"/>
  <c r="F29" i="6"/>
  <c r="E29" i="6" s="1"/>
  <c r="F28" i="6"/>
  <c r="E28" i="6" s="1"/>
  <c r="K14" i="1" s="1"/>
  <c r="M14" i="1"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F13" i="15"/>
  <c r="F13" i="67"/>
  <c r="G1" i="73"/>
  <c r="C19" i="85" l="1"/>
  <c r="C20" i="85" s="1"/>
  <c r="C26" i="85" s="1"/>
  <c r="M11" i="15"/>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M29" i="67"/>
  <c r="F7" i="15"/>
  <c r="F43" i="67"/>
  <c r="AE6" i="1"/>
  <c r="F43" i="15"/>
  <c r="M29" i="15"/>
  <c r="F7" i="67"/>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D10" i="69"/>
  <c r="F41" i="15"/>
  <c r="C34" i="69"/>
  <c r="C16" i="67"/>
  <c r="F41" i="85"/>
  <c r="C16" i="15"/>
  <c r="F41" i="67"/>
  <c r="C44" i="11" l="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D6" i="6"/>
  <c r="D20" i="6"/>
  <c r="D5" i="6"/>
  <c r="D15" i="6"/>
  <c r="D8" i="6"/>
  <c r="D19" i="6"/>
  <c r="M19" i="9" s="1"/>
  <c r="C118" i="9" s="1"/>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H20" i="6" s="1"/>
  <c r="R20" i="6" s="1"/>
  <c r="R7" i="1"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67"/>
  <c r="C17" i="15"/>
  <c r="D10" i="84"/>
  <c r="C34" i="84"/>
  <c r="C14" i="67"/>
  <c r="C35" i="84" l="1"/>
  <c r="C38" i="84"/>
  <c r="C10" i="84"/>
  <c r="C8" i="84" s="1"/>
  <c r="D19" i="84"/>
  <c r="D37" i="84" s="1"/>
  <c r="C37"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42"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39" i="84" l="1"/>
  <c r="C43" i="84" s="1"/>
  <c r="C41"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C46" i="84" l="1"/>
  <c r="C45" i="84" s="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85"/>
  <c r="M21" i="15"/>
  <c r="F35" i="15"/>
  <c r="M21" i="67"/>
  <c r="F35" i="85"/>
  <c r="F35" i="67"/>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L51" i="67"/>
  <c r="C20" i="86"/>
  <c r="B3" i="84"/>
  <c r="C19" i="9"/>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C20" i="9"/>
  <c r="AO7" i="1"/>
  <c r="L51" i="15"/>
  <c r="D19" i="86"/>
  <c r="D20" i="86"/>
  <c r="D103" i="86" l="1"/>
  <c r="G20" i="86"/>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C32" i="86" l="1"/>
  <c r="D34" i="86" s="1"/>
  <c r="G26" i="86"/>
  <c r="G19" i="9"/>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D35" i="86" l="1"/>
  <c r="I118" i="86"/>
  <c r="H118" i="86" s="1"/>
  <c r="C104" i="86" s="1"/>
  <c r="C32" i="9"/>
  <c r="G21" i="9"/>
  <c r="C43" i="40"/>
  <c r="C42" i="40"/>
  <c r="E47" i="40"/>
  <c r="F47" i="40" s="1"/>
  <c r="E46" i="40"/>
  <c r="F46" i="40" s="1"/>
  <c r="C48" i="39"/>
  <c r="C47" i="39"/>
  <c r="E52" i="39"/>
  <c r="F52" i="39" s="1"/>
  <c r="E51" i="39"/>
  <c r="F51" i="39" s="1"/>
  <c r="H101" i="86" l="1"/>
  <c r="H107" i="86" s="1"/>
  <c r="H119" i="86"/>
  <c r="C105" i="86"/>
  <c r="H102" i="86"/>
  <c r="D45" i="86"/>
  <c r="M48"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D14" i="74" s="1"/>
  <c r="G14" i="74"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B6" i="74"/>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<sst xmlns="http://schemas.openxmlformats.org/spreadsheetml/2006/main" count="9203" uniqueCount="2912">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</sst>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3" fillId="19" borderId="7" xfId="0" applyNumberFormat="1" applyFont="1" applyFill="1" applyBorder="1" applyAlignment="1" applyProtection="1">
      <alignment vertical="center" wrapText="1"/>
      <protection locked="0"/>
    </xf>
    <xf numFmtId="179" fontId="69" fillId="19" borderId="6"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4" fillId="2" borderId="80"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崔锴（注册号：1120100036)、（注册号：0)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估价对象为北京市房地产，为所有。根据《国有土地使用证》[]，估价对象（分摊）出让国有建设用地使用权面积为0平方米，建筑面积为333.8平方米。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估价对象为北京市房地产,属开发建设的商业项目，该项目尚在开发建设中。根据《国有土地使用证》[]，估价对象（分摊）出让国有建设用地使用权面积为0平方米，规划建筑面积为333.8平方米。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2024年9月10日（评估专业人员实地查勘之日）</v>
      </c>
    </row>
    <row r="13" spans="1:2" s="3419" customFormat="1">
      <c r="A13" s="3427" t="s">
        <v>13</v>
      </c>
      <c r="B13" s="3428"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t="e">
        <f ca="1">'预评函-2'!D5</f>
        <v>#N/A</v>
      </c>
    </row>
    <row r="21" spans="1:2" s="3419" customFormat="1">
      <c r="A21" s="3427" t="s">
        <v>21</v>
      </c>
      <c r="B21" s="3428" t="e">
        <f ca="1">'预评函-2'!D7</f>
        <v>#N/A</v>
      </c>
    </row>
    <row r="22" spans="1:2" s="3419" customFormat="1">
      <c r="A22" s="3427" t="s">
        <v>22</v>
      </c>
      <c r="B22" s="3428" t="e">
        <f ca="1">'预评函-2'!D6</f>
        <v>#N/A</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t="e">
        <f ca="1">'预评函-2'!D13</f>
        <v>#N/A</v>
      </c>
    </row>
    <row r="31" spans="1:2" s="3419" customFormat="1">
      <c r="A31" s="3427" t="s">
        <v>31</v>
      </c>
      <c r="B31" s="3428" t="e">
        <f ca="1">'预评函-2'!D15</f>
        <v>#N/A</v>
      </c>
    </row>
    <row r="32" spans="1:2" s="3419" customFormat="1">
      <c r="A32" s="3427" t="s">
        <v>32</v>
      </c>
      <c r="B32" s="3428" t="e">
        <f ca="1">'预评函-2'!D14</f>
        <v>#N/A</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333.8</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'预评函-3'!D4</f>
        <v>0</v>
      </c>
    </row>
    <row r="48" spans="1:2" s="3419" customFormat="1">
      <c r="A48" s="3427" t="s">
        <v>48</v>
      </c>
      <c r="B48" s="3428">
        <f>'预评函-3'!E4</f>
        <v>0</v>
      </c>
    </row>
    <row r="49" spans="1:2" s="3419" customFormat="1">
      <c r="A49" s="3427" t="s">
        <v>49</v>
      </c>
      <c r="B49" s="3428" t="str">
        <f>'预评函-3'!D5</f>
        <v>零元整</v>
      </c>
    </row>
    <row r="50" spans="1:2" s="3419" customFormat="1">
      <c r="A50" s="3427" t="s">
        <v>50</v>
      </c>
      <c r="B50" s="3428" t="str">
        <f>'预评函-3'!F2</f>
        <v>在建建筑物价值</v>
      </c>
    </row>
    <row r="51" spans="1:2" s="3419" customFormat="1">
      <c r="A51" s="3427" t="s">
        <v>51</v>
      </c>
      <c r="B51" s="3428">
        <f>'预评函-3'!F4</f>
        <v>0</v>
      </c>
    </row>
    <row r="52" spans="1:2" s="3419" customFormat="1">
      <c r="A52" s="3427" t="s">
        <v>52</v>
      </c>
      <c r="B52" s="3428">
        <f>'预评函-3'!G4</f>
        <v>0</v>
      </c>
    </row>
    <row r="53" spans="1:2" s="3419" customFormat="1">
      <c r="A53" s="3427" t="s">
        <v>53</v>
      </c>
      <c r="B53" s="3428" t="str">
        <f>'预评函-3'!F5</f>
        <v>零元整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崔锴</v>
      </c>
    </row>
    <row r="71" spans="1:2">
      <c r="A71" s="3427" t="s">
        <v>71</v>
      </c>
      <c r="B71" s="3428">
        <f ca="1">'预评函-4'!B4</f>
        <v>1120100036</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2893</v>
      </c>
      <c r="C19" s="3305"/>
    </row>
    <row r="20" spans="1:3">
      <c r="A20" s="3304" t="s">
        <v>316</v>
      </c>
      <c r="B20" s="3304" t="s">
        <v>2895</v>
      </c>
      <c r="C20" s="3305"/>
    </row>
    <row r="21" spans="1:3">
      <c r="A21" s="3304" t="s">
        <v>260</v>
      </c>
      <c r="B21" s="3306" t="s">
        <v>2897</v>
      </c>
      <c r="C21" s="3305"/>
    </row>
    <row r="22" spans="1:3">
      <c r="A22" s="3304" t="s">
        <v>317</v>
      </c>
      <c r="B22" s="3306" t="s">
        <v>2899</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509"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3310" t="s">
        <v>330</v>
      </c>
      <c r="C54" s="3297" t="s">
        <v>331</v>
      </c>
    </row>
    <row r="55" spans="1:4">
      <c r="A55" s="3509"/>
      <c r="B55" s="3310" t="s">
        <v>332</v>
      </c>
      <c r="C55" s="3297" t="s">
        <v>333</v>
      </c>
    </row>
    <row r="56" spans="1:4">
      <c r="A56" s="3509"/>
      <c r="B56" s="3310" t="s">
        <v>334</v>
      </c>
      <c r="C56" s="3297" t="s">
        <v>335</v>
      </c>
    </row>
    <row r="57" spans="1:4">
      <c r="A57" s="3509"/>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510" t="s">
        <v>340</v>
      </c>
      <c r="J2" s="3510"/>
      <c r="K2" s="3510"/>
      <c r="L2" s="3510"/>
      <c r="M2" s="3510"/>
      <c r="N2" s="3510"/>
      <c r="O2" s="3510"/>
      <c r="P2" s="3510"/>
      <c r="Q2" s="3510"/>
      <c r="R2" s="3510"/>
    </row>
    <row r="3" spans="1:18">
      <c r="A3" s="487" t="s">
        <v>341</v>
      </c>
      <c r="B3" s="3252">
        <f>项目基本情况!D3</f>
        <v>45545</v>
      </c>
      <c r="C3" s="488"/>
      <c r="D3" s="488"/>
      <c r="E3" s="488"/>
      <c r="F3" s="3251"/>
      <c r="I3" s="3291"/>
      <c r="J3" s="3291" t="s">
        <v>342</v>
      </c>
      <c r="K3" s="3291" t="s">
        <v>343</v>
      </c>
      <c r="L3" s="3291" t="s">
        <v>344</v>
      </c>
      <c r="M3" s="3291" t="s">
        <v>345</v>
      </c>
      <c r="N3" s="3292" t="s">
        <v>346</v>
      </c>
      <c r="O3" s="3292" t="s">
        <v>347</v>
      </c>
      <c r="P3" s="3292" t="s">
        <v>348</v>
      </c>
      <c r="Q3" s="3292" t="s">
        <v>349</v>
      </c>
      <c r="R3" s="3292" t="s">
        <v>350</v>
      </c>
    </row>
    <row r="4" spans="1:18">
      <c r="A4" s="487" t="s">
        <v>351</v>
      </c>
      <c r="B4" s="488" t="s">
        <v>352</v>
      </c>
      <c r="C4" s="488" t="s">
        <v>353</v>
      </c>
      <c r="D4" s="488" t="s">
        <v>354</v>
      </c>
      <c r="E4" s="488" t="s">
        <v>355</v>
      </c>
      <c r="F4" s="3251"/>
      <c r="I4" s="3291" t="s">
        <v>356</v>
      </c>
      <c r="J4" s="3291">
        <v>80</v>
      </c>
      <c r="K4" s="3291">
        <v>70</v>
      </c>
      <c r="L4" s="3291">
        <v>20</v>
      </c>
      <c r="M4" s="3291">
        <v>30</v>
      </c>
      <c r="N4" s="488">
        <v>45</v>
      </c>
      <c r="O4" s="488">
        <v>60</v>
      </c>
      <c r="P4" s="488">
        <v>50</v>
      </c>
      <c r="Q4" s="488">
        <v>20</v>
      </c>
      <c r="R4" s="488">
        <v>375</v>
      </c>
    </row>
    <row r="5" spans="1:18">
      <c r="A5" s="3253">
        <v>40</v>
      </c>
      <c r="B5" s="3252">
        <v>46375</v>
      </c>
      <c r="C5" s="488">
        <f>ROUNDDOWN(MIN((B5-B3)/365,A5),2)</f>
        <v>2.27</v>
      </c>
      <c r="D5" s="3254">
        <f>IF(ISERROR(ROUND(POWER(1+E5,A5-C5)*(POWER(1+E5,C5)-1)/(POWER(1+E5,A5)-1),3)),0,ROUND(POWER(1+E5,A5-C5)*(POWER(1+E5,C5)-1)/(POWER(1+E5,A5)-1),4))</f>
        <v>0.1076</v>
      </c>
      <c r="E5" s="3255">
        <v>0.04</v>
      </c>
      <c r="F5" s="3251"/>
      <c r="I5" s="3291" t="s">
        <v>357</v>
      </c>
      <c r="J5" s="3291">
        <v>70</v>
      </c>
      <c r="K5" s="3291">
        <v>60</v>
      </c>
      <c r="L5" s="3291">
        <v>15</v>
      </c>
      <c r="M5" s="3291">
        <v>25</v>
      </c>
      <c r="N5" s="488">
        <v>40</v>
      </c>
      <c r="O5" s="488">
        <v>50</v>
      </c>
      <c r="P5" s="488">
        <v>40</v>
      </c>
      <c r="Q5" s="488">
        <v>15</v>
      </c>
      <c r="R5" s="488">
        <v>315</v>
      </c>
    </row>
    <row r="6" spans="1:18">
      <c r="A6" s="3253">
        <v>50</v>
      </c>
      <c r="B6" s="3252">
        <f>项目基本情况!H13</f>
        <v>0</v>
      </c>
      <c r="C6" s="488">
        <f>ROUNDDOWN(MIN((B6-B3)/365,A6),2)</f>
        <v>-124.78</v>
      </c>
      <c r="D6" s="3254">
        <f>IF(ISERROR(ROUND(POWER(1+E6,A6-C6)*(POWER(1+E6,C6)-1)/(POWER(1+E6,A6)-1),3)),0,ROUND(POWER(1+E6,A6-C6)*(POWER(1+E6,C6)-1)/(POWER(1+E6,A6)-1),4))</f>
        <v>-481.54840000000002</v>
      </c>
      <c r="E6" s="3255">
        <v>0.05</v>
      </c>
      <c r="F6" s="3251"/>
      <c r="I6" s="3291" t="s">
        <v>358</v>
      </c>
      <c r="J6" s="3291">
        <v>60</v>
      </c>
      <c r="K6" s="3291">
        <v>50</v>
      </c>
      <c r="L6" s="3291">
        <v>10</v>
      </c>
      <c r="M6" s="3291">
        <v>20</v>
      </c>
      <c r="N6" s="488">
        <v>35</v>
      </c>
      <c r="O6" s="488">
        <v>40</v>
      </c>
      <c r="P6" s="488">
        <v>30</v>
      </c>
      <c r="Q6" s="488">
        <v>10</v>
      </c>
      <c r="R6" s="488">
        <v>255</v>
      </c>
    </row>
    <row r="7" spans="1:18">
      <c r="A7" s="3253">
        <v>70</v>
      </c>
      <c r="B7" s="3252">
        <v>57333</v>
      </c>
      <c r="C7" s="488">
        <f>ROUNDDOWN(MIN((B7-B3)/365,A7),2)</f>
        <v>32.29</v>
      </c>
      <c r="D7" s="3254">
        <f>IF(ISERROR(ROUND(POWER(1+E7,A7-C7)*(POWER(1+E7,C7)-1)/(POWER(1+E7,A7)-1),3)),0,ROUND(POWER(1+E7,A7-C7)*(POWER(1+E7,C7)-1)/(POWER(1+E7,A7)-1),4))</f>
        <v>0.76749999999999996</v>
      </c>
      <c r="E7" s="3255">
        <v>0.04</v>
      </c>
      <c r="F7" s="3251"/>
    </row>
    <row r="8" spans="1:18">
      <c r="A8" s="3249"/>
      <c r="B8" s="3250"/>
      <c r="C8" s="3250"/>
      <c r="D8" s="3250"/>
      <c r="E8" s="3250"/>
      <c r="F8" s="3251"/>
    </row>
    <row r="9" spans="1:18">
      <c r="A9" s="487" t="s">
        <v>359</v>
      </c>
      <c r="B9" s="488"/>
      <c r="C9" s="488"/>
      <c r="D9" s="488"/>
      <c r="E9" s="488"/>
      <c r="F9" s="530"/>
    </row>
    <row r="10" spans="1:18">
      <c r="A10" s="487" t="s">
        <v>360</v>
      </c>
      <c r="B10" s="488"/>
      <c r="C10" s="488"/>
      <c r="D10" s="488" t="s">
        <v>355</v>
      </c>
      <c r="E10" s="488"/>
      <c r="F10" s="530" t="s">
        <v>354</v>
      </c>
    </row>
    <row r="11" spans="1:18">
      <c r="A11" s="487" t="s">
        <v>361</v>
      </c>
      <c r="B11" s="3256">
        <v>20</v>
      </c>
      <c r="C11" s="488" t="s">
        <v>362</v>
      </c>
      <c r="D11" s="3257">
        <v>0.05</v>
      </c>
      <c r="E11" s="488" t="s">
        <v>363</v>
      </c>
      <c r="F11" s="3258">
        <f>ROUND(1-(1/(POWER(1+D11,B11))),4)</f>
        <v>0.62309999999999999</v>
      </c>
    </row>
    <row r="12" spans="1:18">
      <c r="A12" s="487" t="s">
        <v>364</v>
      </c>
      <c r="B12" s="3256">
        <v>50</v>
      </c>
      <c r="C12" s="488" t="s">
        <v>365</v>
      </c>
      <c r="D12" s="3257">
        <v>0.05</v>
      </c>
      <c r="E12" s="488" t="s">
        <v>366</v>
      </c>
      <c r="F12" s="3258">
        <f>ROUND(1-(1/(POWER(1+D12,B12))),4)</f>
        <v>0.91279999999999994</v>
      </c>
    </row>
    <row r="13" spans="1:18">
      <c r="A13" s="487" t="s">
        <v>367</v>
      </c>
      <c r="B13" s="488"/>
      <c r="C13" s="488"/>
      <c r="D13" s="3250"/>
      <c r="E13" s="3250"/>
      <c r="F13" s="3251"/>
    </row>
    <row r="14" spans="1:18">
      <c r="A14" s="487" t="s">
        <v>368</v>
      </c>
      <c r="B14" s="3256"/>
      <c r="C14" s="3259"/>
      <c r="D14" s="3250"/>
      <c r="E14" s="3250"/>
      <c r="F14" s="3251"/>
    </row>
    <row r="15" spans="1:18">
      <c r="A15" s="487" t="s">
        <v>369</v>
      </c>
      <c r="B15" s="488">
        <f>ROUND(B14*F12/F11,2)</f>
        <v>0</v>
      </c>
      <c r="C15" s="488">
        <f>ROUND(F12/F11,4)</f>
        <v>1.4649000000000001</v>
      </c>
      <c r="D15" s="3250"/>
      <c r="E15" s="3250"/>
      <c r="F15" s="3251"/>
    </row>
    <row r="16" spans="1:18">
      <c r="A16" s="487" t="s">
        <v>370</v>
      </c>
      <c r="B16" s="488"/>
      <c r="C16" s="488"/>
      <c r="D16" s="3250"/>
      <c r="E16" s="3250"/>
      <c r="F16" s="3251"/>
    </row>
    <row r="17" spans="1:13">
      <c r="A17" s="487" t="s">
        <v>369</v>
      </c>
      <c r="B17" s="3257">
        <v>4810</v>
      </c>
      <c r="C17" s="3259"/>
      <c r="D17" s="3250"/>
      <c r="E17" s="3250"/>
      <c r="F17" s="3251"/>
    </row>
    <row r="18" spans="1:13">
      <c r="A18" s="3260" t="s">
        <v>368</v>
      </c>
      <c r="B18" s="533">
        <f>ROUND(B17*F11/F12,2)</f>
        <v>3283.43</v>
      </c>
      <c r="C18" s="533">
        <f>ROUND(F11/F12,4)</f>
        <v>0.68259999999999998</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14" sqref="D1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1" customWidth="1"/>
    <col min="12" max="13" width="10" style="3112" customWidth="1"/>
    <col min="14" max="14" width="10" style="2926" customWidth="1"/>
    <col min="15" max="15" width="10" style="556" customWidth="1"/>
    <col min="16" max="17" width="10" style="2926"/>
    <col min="18" max="18" width="10" style="2926" customWidth="1"/>
    <col min="19" max="30" width="10" style="2926"/>
    <col min="31" max="16384" width="10" style="2731"/>
  </cols>
  <sheetData>
    <row r="1" spans="1:30">
      <c r="A1" s="3113" t="s">
        <v>425</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681"/>
      <c r="K1" s="3211"/>
      <c r="L1" s="3212"/>
      <c r="M1" s="3212"/>
      <c r="N1" s="3155"/>
      <c r="O1" s="3021"/>
      <c r="P1" s="3155"/>
      <c r="Q1" s="3155"/>
      <c r="R1" s="3155"/>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4" t="s">
        <v>426</v>
      </c>
      <c r="B2" s="3115"/>
      <c r="C2" s="3116"/>
      <c r="D2" s="3117"/>
      <c r="E2" s="3118"/>
      <c r="F2" s="3118"/>
      <c r="G2" s="3119"/>
      <c r="H2" s="3119"/>
      <c r="I2" s="3119"/>
      <c r="J2" s="2681"/>
      <c r="K2" s="3211"/>
      <c r="L2" s="3212"/>
      <c r="M2" s="3212"/>
      <c r="N2" s="3155"/>
      <c r="O2" s="3021"/>
      <c r="P2" s="3155"/>
      <c r="Q2" s="3155"/>
      <c r="R2" s="3155"/>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608" t="s">
        <v>427</v>
      </c>
      <c r="B3" s="3120">
        <v>45545</v>
      </c>
      <c r="C3" s="3121" t="s">
        <v>428</v>
      </c>
      <c r="D3" s="3120">
        <f>B3</f>
        <v>45545</v>
      </c>
      <c r="E3" s="3119"/>
      <c r="F3" s="3119"/>
      <c r="G3" s="3119"/>
      <c r="H3" s="3119"/>
      <c r="I3" s="3119"/>
      <c r="J3" s="2681"/>
      <c r="K3" s="3211"/>
      <c r="L3" s="3212"/>
      <c r="M3" s="3212"/>
      <c r="N3" s="3155"/>
      <c r="O3" s="3021"/>
      <c r="P3" s="3155"/>
      <c r="Q3" s="3155"/>
      <c r="R3" s="3155"/>
      <c r="S3" s="2732"/>
      <c r="T3" s="2731"/>
      <c r="U3" s="2731"/>
      <c r="V3" s="2731"/>
      <c r="W3" s="2731"/>
      <c r="X3" s="2731"/>
      <c r="Y3" s="2731"/>
      <c r="Z3" s="2731"/>
      <c r="AA3" s="2731"/>
      <c r="AB3" s="2731"/>
    </row>
    <row r="4" spans="1:30">
      <c r="A4" s="1630" t="s">
        <v>429</v>
      </c>
      <c r="B4" s="3122" t="s">
        <v>190</v>
      </c>
      <c r="C4" s="3123">
        <f ca="1">SUMIF(注册房地产估价师,B4,估价师及机构信息!B3:B24)</f>
        <v>1120100036</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5"/>
      <c r="K4" s="3213" t="str">
        <f ca="1">CONCATENATE(B4,"（注册号：",C4,")、",D4,"（注册号：",E4,")")</f>
        <v>崔锴（注册号：1120100036)、（注册号：0)</v>
      </c>
      <c r="L4" s="3212"/>
      <c r="M4" s="3212"/>
      <c r="N4" s="3155"/>
      <c r="O4" s="3021"/>
      <c r="P4" s="3155"/>
      <c r="Q4" s="3155"/>
      <c r="R4" s="3155"/>
      <c r="S4" s="2732"/>
      <c r="T4" s="2731"/>
      <c r="U4" s="2731"/>
      <c r="V4" s="2731"/>
      <c r="W4" s="2731"/>
      <c r="X4" s="2731"/>
      <c r="Y4" s="2731"/>
      <c r="Z4" s="2731"/>
      <c r="AA4" s="2731"/>
      <c r="AB4" s="2731"/>
    </row>
    <row r="5" spans="1:30">
      <c r="A5" s="3125" t="s">
        <v>430</v>
      </c>
      <c r="B5" s="3126"/>
      <c r="C5" s="3127"/>
      <c r="D5" s="3128"/>
      <c r="E5" s="2836"/>
      <c r="F5" s="2836"/>
      <c r="G5" s="2836"/>
      <c r="H5" s="2836"/>
      <c r="I5" s="2836"/>
      <c r="J5" s="2715"/>
      <c r="K5" s="3213" t="str">
        <f>IF(F4="——","",IF(H4="——",F4&amp;"（注册号："&amp;G4&amp;")",CONCATENATE(F4,"（注册号：",G4,")、",H4,"（注册号：",I4,")")))</f>
        <v>（注册号：0)、（注册号：0)</v>
      </c>
      <c r="L5" s="3212"/>
      <c r="M5" s="3212"/>
      <c r="N5" s="3155"/>
      <c r="O5" s="3021"/>
      <c r="P5" s="3155"/>
      <c r="Q5" s="3155"/>
      <c r="R5" s="3155"/>
      <c r="S5" s="2731"/>
      <c r="T5" s="2731"/>
      <c r="U5" s="2731"/>
      <c r="V5" s="2731"/>
      <c r="W5" s="2731"/>
      <c r="X5" s="2731"/>
      <c r="Y5" s="2731"/>
      <c r="Z5" s="2731"/>
      <c r="AA5" s="2731"/>
      <c r="AB5" s="2731"/>
    </row>
    <row r="6" spans="1:30">
      <c r="A6" s="3129" t="s">
        <v>431</v>
      </c>
      <c r="B6" s="3130"/>
      <c r="C6" s="3131"/>
      <c r="D6" s="3132"/>
      <c r="E6" s="3118"/>
      <c r="F6" s="2836"/>
      <c r="G6" s="2836"/>
      <c r="H6" s="2836"/>
      <c r="I6" s="2836"/>
      <c r="J6" s="2715"/>
      <c r="K6" s="3214" t="str">
        <f>IF(COUNTIF(B6,"*上海银行*"),"上海银行","")</f>
        <v/>
      </c>
      <c r="L6" s="3215"/>
      <c r="M6" s="3215"/>
      <c r="N6" s="2715"/>
      <c r="O6" s="3216"/>
      <c r="P6" s="2715"/>
      <c r="Q6" s="2715"/>
      <c r="R6" s="2715"/>
    </row>
    <row r="7" spans="1:30">
      <c r="A7" s="3129" t="s">
        <v>432</v>
      </c>
      <c r="B7" s="3133"/>
      <c r="C7" s="3131"/>
      <c r="D7" s="3132"/>
      <c r="E7" s="3118"/>
      <c r="F7" s="2836"/>
      <c r="G7" s="2836"/>
      <c r="H7" s="2836"/>
      <c r="I7" s="2836"/>
      <c r="J7" s="2715"/>
      <c r="K7" s="3217"/>
      <c r="L7" s="3215"/>
      <c r="M7" s="3215"/>
      <c r="N7" s="2715"/>
      <c r="O7" s="3216"/>
      <c r="P7" s="2715"/>
      <c r="Q7" s="2715"/>
      <c r="R7" s="2715"/>
    </row>
    <row r="8" spans="1:30">
      <c r="A8" s="3134" t="s">
        <v>433</v>
      </c>
      <c r="B8" s="3135" t="s">
        <v>325</v>
      </c>
      <c r="C8" s="3136"/>
      <c r="D8" s="3539" t="s">
        <v>434</v>
      </c>
      <c r="E8" s="3137" t="s">
        <v>330</v>
      </c>
      <c r="F8" s="3138"/>
      <c r="G8" s="3119"/>
      <c r="H8" s="3119"/>
      <c r="I8" s="3119"/>
      <c r="J8" s="2715"/>
      <c r="K8" s="3218"/>
      <c r="L8" s="3215"/>
      <c r="M8" s="3215"/>
      <c r="N8" s="2715"/>
      <c r="O8" s="3216"/>
      <c r="P8" s="2715"/>
      <c r="Q8" s="2715"/>
      <c r="R8" s="2715"/>
    </row>
    <row r="9" spans="1:30">
      <c r="A9" s="3139" t="s">
        <v>435</v>
      </c>
      <c r="B9" s="3140" t="s">
        <v>330</v>
      </c>
      <c r="C9" s="3141"/>
      <c r="D9" s="3540"/>
      <c r="E9" s="3140" t="s">
        <v>124</v>
      </c>
      <c r="F9" s="3142"/>
      <c r="G9" s="3143"/>
      <c r="H9" s="3143"/>
      <c r="I9" s="3143"/>
      <c r="J9" s="2715"/>
      <c r="K9" s="3217"/>
      <c r="L9" s="3215"/>
      <c r="M9" s="3215"/>
      <c r="N9" s="2715"/>
      <c r="O9" s="3216"/>
      <c r="P9" s="2715"/>
      <c r="Q9" s="2715"/>
      <c r="R9" s="2715"/>
    </row>
    <row r="10" spans="1:30">
      <c r="A10" s="3144" t="s">
        <v>436</v>
      </c>
      <c r="B10" s="3145" t="s">
        <v>437</v>
      </c>
      <c r="C10" s="3146"/>
      <c r="D10" s="3128"/>
      <c r="E10" s="3147" t="s">
        <v>438</v>
      </c>
      <c r="F10" s="3148"/>
      <c r="G10" s="3149"/>
      <c r="H10" s="3150"/>
      <c r="I10" s="3219"/>
      <c r="J10" s="2715"/>
      <c r="K10" s="3217"/>
      <c r="L10" s="3215"/>
      <c r="M10" s="3215"/>
      <c r="N10" s="2715"/>
      <c r="O10" s="3216"/>
      <c r="P10" s="2715"/>
      <c r="Q10" s="2715"/>
      <c r="R10" s="2715"/>
    </row>
    <row r="11" spans="1:30">
      <c r="A11" s="3151" t="s">
        <v>439</v>
      </c>
      <c r="B11" s="3152" t="s">
        <v>2900</v>
      </c>
      <c r="C11" s="3153"/>
      <c r="D11" s="3154"/>
      <c r="E11" s="3155"/>
      <c r="F11" s="3155"/>
      <c r="G11" s="3155"/>
      <c r="H11" s="3155"/>
      <c r="I11" s="3155"/>
      <c r="J11" s="3220"/>
      <c r="K11" s="3221"/>
      <c r="L11" s="3215"/>
      <c r="M11" s="3215"/>
      <c r="N11" s="2715"/>
      <c r="O11" s="3216"/>
      <c r="P11" s="2715"/>
      <c r="Q11" s="2715"/>
      <c r="R11" s="2715"/>
    </row>
    <row r="12" spans="1:30">
      <c r="A12" s="3156" t="s">
        <v>440</v>
      </c>
      <c r="B12" s="1649" t="s">
        <v>441</v>
      </c>
      <c r="C12" s="3157" t="s">
        <v>442</v>
      </c>
      <c r="D12" s="3157" t="s">
        <v>443</v>
      </c>
      <c r="E12" s="3157" t="s">
        <v>444</v>
      </c>
      <c r="F12" s="3157" t="s">
        <v>445</v>
      </c>
      <c r="G12" s="3157" t="s">
        <v>446</v>
      </c>
      <c r="H12" s="3157" t="s">
        <v>447</v>
      </c>
      <c r="I12" s="3222" t="s">
        <v>280</v>
      </c>
      <c r="J12" s="3223"/>
      <c r="K12" s="3215"/>
      <c r="L12" s="3215"/>
      <c r="M12" s="2715"/>
      <c r="N12" s="3216"/>
      <c r="O12" s="2715"/>
      <c r="P12" s="2715"/>
      <c r="Q12" s="2715"/>
      <c r="AD12" s="2731"/>
    </row>
    <row r="13" spans="1:30">
      <c r="A13" s="3158" t="s">
        <v>448</v>
      </c>
      <c r="B13" s="3159" t="s">
        <v>449</v>
      </c>
      <c r="C13" s="3160"/>
      <c r="D13" s="3464">
        <v>56132</v>
      </c>
      <c r="E13" s="3160"/>
      <c r="F13" s="3160"/>
      <c r="G13" s="3160"/>
      <c r="H13" s="3160"/>
      <c r="I13" s="3160"/>
      <c r="J13" s="3223"/>
      <c r="K13" s="3215"/>
      <c r="L13" s="3215"/>
      <c r="M13" s="2715"/>
      <c r="N13" s="3216"/>
      <c r="O13" s="2715"/>
      <c r="P13" s="2715"/>
      <c r="Q13" s="2715"/>
      <c r="AD13" s="2731"/>
    </row>
    <row r="14" spans="1:30">
      <c r="A14" s="1635"/>
      <c r="B14" s="3159" t="s">
        <v>450</v>
      </c>
      <c r="C14" s="3161"/>
      <c r="D14" s="3161">
        <v>40</v>
      </c>
      <c r="E14" s="3161"/>
      <c r="F14" s="3161"/>
      <c r="G14" s="3161"/>
      <c r="H14" s="3161"/>
      <c r="I14" s="3161"/>
      <c r="J14" s="3224"/>
      <c r="K14" s="3215"/>
      <c r="L14" s="3215"/>
      <c r="M14" s="2715"/>
      <c r="N14" s="3216"/>
      <c r="O14" s="2715"/>
      <c r="P14" s="2715"/>
      <c r="Q14" s="2715"/>
      <c r="AD14" s="2731"/>
    </row>
    <row r="15" spans="1:30">
      <c r="A15" s="1642"/>
      <c r="B15" s="3162" t="s">
        <v>451</v>
      </c>
      <c r="C15" s="3163" t="str">
        <f>IF(A13="出让",IF(C13="","",ROUNDDOWN(MIN((C13-$D$3)/365,C14),2)),C14)</f>
        <v/>
      </c>
      <c r="D15" s="3163">
        <f>IF(A13="出让",IF(D13="","",ROUNDDOWN(MIN((D13-$D$3)/365,D14),2)),D14)</f>
        <v>29</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6"/>
      <c r="N15" s="3226"/>
      <c r="O15" s="2716"/>
      <c r="P15" s="2715"/>
      <c r="Q15" s="2715"/>
      <c r="AD15" s="2731"/>
    </row>
    <row r="16" spans="1:30">
      <c r="A16" s="3147" t="s">
        <v>452</v>
      </c>
      <c r="B16" s="3527"/>
      <c r="C16" s="3528"/>
      <c r="D16" s="3529"/>
      <c r="E16" s="3164" t="s">
        <v>453</v>
      </c>
      <c r="F16" s="3530"/>
      <c r="G16" s="3531"/>
      <c r="H16" s="3531"/>
      <c r="I16" s="3532"/>
      <c r="J16" s="2715"/>
      <c r="K16" s="3227"/>
      <c r="L16" s="3226"/>
      <c r="M16" s="3226"/>
      <c r="N16" s="2716"/>
      <c r="O16" s="3226"/>
      <c r="P16" s="2716"/>
      <c r="Q16" s="2715"/>
      <c r="R16" s="2715"/>
    </row>
    <row r="17" spans="1:28">
      <c r="A17" s="1619" t="s">
        <v>454</v>
      </c>
      <c r="B17" s="1608" t="s">
        <v>455</v>
      </c>
      <c r="C17" s="618">
        <f>'数据-汇总表'!E3</f>
        <v>333.8</v>
      </c>
      <c r="D17" s="1662" t="s">
        <v>456</v>
      </c>
      <c r="E17" s="3533" t="s">
        <v>457</v>
      </c>
      <c r="F17" s="3534"/>
      <c r="G17" s="3534"/>
      <c r="H17" s="3534"/>
      <c r="I17" s="3535"/>
      <c r="J17" s="2715"/>
      <c r="K17" s="3228"/>
      <c r="L17" s="3226"/>
      <c r="M17" s="3226"/>
      <c r="N17" s="2716"/>
      <c r="O17" s="3226"/>
      <c r="P17" s="2716"/>
      <c r="Q17" s="2715"/>
      <c r="R17" s="2715"/>
      <c r="S17" s="2715"/>
      <c r="T17" s="2715"/>
      <c r="U17" s="2715"/>
      <c r="V17" s="2715"/>
    </row>
    <row r="18" spans="1:28" ht="24">
      <c r="A18" s="3165" t="s">
        <v>458</v>
      </c>
      <c r="B18" s="1630" t="s">
        <v>459</v>
      </c>
      <c r="C18" s="3166">
        <f>'数据-汇总表'!D3</f>
        <v>0</v>
      </c>
      <c r="D18" s="1655" t="s">
        <v>456</v>
      </c>
      <c r="E18" s="3536" t="s">
        <v>460</v>
      </c>
      <c r="F18" s="3537"/>
      <c r="G18" s="3537"/>
      <c r="H18" s="3537"/>
      <c r="I18" s="3538"/>
      <c r="J18" s="2715"/>
      <c r="K18" s="3228"/>
      <c r="L18" s="3226"/>
      <c r="M18" s="3226"/>
      <c r="N18" s="2716"/>
      <c r="O18" s="3226"/>
      <c r="P18" s="2716"/>
      <c r="Q18" s="2715"/>
      <c r="R18" s="2715"/>
      <c r="S18" s="2715"/>
      <c r="T18" s="2715"/>
      <c r="U18" s="2715"/>
      <c r="V18" s="2715"/>
    </row>
    <row r="19" spans="1:28" ht="36">
      <c r="A19" s="1672" t="s">
        <v>461</v>
      </c>
      <c r="B19" s="1612" t="s">
        <v>462</v>
      </c>
      <c r="C19" s="3167"/>
      <c r="D19" s="3168" t="s">
        <v>463</v>
      </c>
      <c r="E19" s="3169"/>
      <c r="F19" s="3170" t="str">
        <f>IF(AND(C19="是",E19="否"),"是否提供他项权证或相关说明","")</f>
        <v/>
      </c>
      <c r="G19" s="3171"/>
      <c r="H19" s="2836"/>
      <c r="I19" s="2836"/>
      <c r="J19" s="2715"/>
      <c r="K19" s="3217"/>
      <c r="L19" s="3215"/>
      <c r="M19" s="3215"/>
      <c r="N19" s="2716"/>
      <c r="O19" s="3226"/>
      <c r="P19" s="2716"/>
      <c r="Q19" s="2715"/>
      <c r="R19" s="2715"/>
      <c r="S19" s="2715"/>
      <c r="T19" s="2715"/>
      <c r="U19" s="2715"/>
      <c r="V19" s="2715"/>
    </row>
    <row r="20" spans="1:28">
      <c r="A20" s="3172" t="s">
        <v>464</v>
      </c>
      <c r="B20" s="3513" t="s">
        <v>465</v>
      </c>
      <c r="C20" s="3514"/>
      <c r="D20" s="3515" t="s">
        <v>466</v>
      </c>
      <c r="E20" s="3516"/>
      <c r="F20" s="3173" t="s">
        <v>467</v>
      </c>
      <c r="G20" s="2836"/>
      <c r="H20" s="2836"/>
      <c r="I20" s="2836"/>
      <c r="J20" s="2715"/>
      <c r="K20" s="3511"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5"/>
      <c r="R20" s="3155"/>
      <c r="S20" s="3155"/>
      <c r="T20" s="3155"/>
      <c r="U20" s="3155"/>
      <c r="V20" s="3155"/>
      <c r="W20" s="2731"/>
      <c r="X20" s="2731"/>
      <c r="Y20" s="2731"/>
      <c r="Z20" s="2731"/>
      <c r="AA20" s="2731"/>
      <c r="AB20" s="2731"/>
    </row>
    <row r="21" spans="1:28" ht="24">
      <c r="A21" s="3172"/>
      <c r="B21" s="3174" t="s">
        <v>469</v>
      </c>
      <c r="C21" s="3175" t="s">
        <v>470</v>
      </c>
      <c r="D21" s="3176" t="s">
        <v>471</v>
      </c>
      <c r="E21" s="3177" t="s">
        <v>470</v>
      </c>
      <c r="F21" s="3178"/>
      <c r="G21" s="2836"/>
      <c r="H21" s="2836"/>
      <c r="I21" s="2836"/>
      <c r="J21" s="2715"/>
      <c r="K21" s="3511"/>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31"/>
      <c r="X21" s="2731"/>
      <c r="Y21" s="2731"/>
      <c r="Z21" s="2731"/>
      <c r="AA21" s="2731"/>
      <c r="AB21" s="2731"/>
    </row>
    <row r="22" spans="1:28" ht="24">
      <c r="A22" s="3172"/>
      <c r="B22" s="3179" t="s">
        <v>472</v>
      </c>
      <c r="C22" s="3175" t="s">
        <v>473</v>
      </c>
      <c r="D22" s="3119"/>
      <c r="E22" s="3119"/>
      <c r="F22" s="3119"/>
      <c r="G22" s="2836">
        <v>2014</v>
      </c>
      <c r="H22" s="2836"/>
      <c r="I22" s="2836"/>
      <c r="J22" s="2715"/>
      <c r="K22" s="3511"/>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31"/>
      <c r="X22" s="2731"/>
      <c r="Y22" s="2731"/>
      <c r="Z22" s="2731"/>
      <c r="AA22" s="2731"/>
      <c r="AB22" s="2731"/>
    </row>
    <row r="23" spans="1:28">
      <c r="A23" s="3180" t="s">
        <v>474</v>
      </c>
      <c r="B23" s="2706" t="s">
        <v>475</v>
      </c>
      <c r="C23" s="3181"/>
      <c r="D23" s="3182" t="s">
        <v>475</v>
      </c>
      <c r="E23" s="3183"/>
      <c r="F23" s="3119"/>
      <c r="G23" s="2836">
        <f>2024-G22+'数据-取费表'!B20</f>
        <v>12</v>
      </c>
      <c r="H23" s="2836"/>
      <c r="I23" s="2836"/>
      <c r="J23" s="2715"/>
      <c r="K23" s="3231"/>
      <c r="L23" s="1771"/>
      <c r="M23" s="3215"/>
      <c r="N23" s="2716"/>
      <c r="O23" s="3226"/>
      <c r="P23" s="2716"/>
      <c r="Q23" s="2715"/>
      <c r="R23" s="2715"/>
      <c r="S23" s="2715"/>
      <c r="T23" s="2715"/>
      <c r="U23" s="2715"/>
      <c r="V23" s="2715"/>
    </row>
    <row r="24" spans="1:28">
      <c r="A24" s="3180"/>
      <c r="B24" s="2706" t="s">
        <v>476</v>
      </c>
      <c r="C24" s="3184"/>
      <c r="D24" s="3180" t="s">
        <v>476</v>
      </c>
      <c r="E24" s="3185"/>
      <c r="F24" s="3119"/>
      <c r="G24" s="2836">
        <f>40-G23</f>
        <v>28</v>
      </c>
      <c r="H24" s="2836"/>
      <c r="I24" s="2836"/>
      <c r="J24" s="2715"/>
      <c r="K24" s="3231"/>
      <c r="L24" s="1771"/>
      <c r="M24" s="3215"/>
      <c r="N24" s="2716"/>
      <c r="O24" s="3226"/>
      <c r="P24" s="2716"/>
      <c r="Q24" s="2715"/>
      <c r="R24" s="2715"/>
      <c r="S24" s="2715"/>
      <c r="T24" s="2715"/>
      <c r="U24" s="2715"/>
      <c r="V24" s="2715"/>
    </row>
    <row r="25" spans="1:28">
      <c r="A25" s="3180"/>
      <c r="B25" s="2706" t="s">
        <v>477</v>
      </c>
      <c r="C25" s="3184"/>
      <c r="D25" s="3180" t="s">
        <v>477</v>
      </c>
      <c r="E25" s="3185"/>
      <c r="F25" s="3119"/>
      <c r="G25" s="2836"/>
      <c r="H25" s="2836"/>
      <c r="I25" s="2836"/>
      <c r="J25" s="2715"/>
      <c r="K25" s="3217"/>
      <c r="L25" s="3215"/>
      <c r="M25" s="3215"/>
      <c r="N25" s="2716"/>
      <c r="O25" s="3226"/>
      <c r="P25" s="2716"/>
      <c r="Q25" s="2715"/>
      <c r="R25" s="2715"/>
      <c r="S25" s="2715"/>
      <c r="T25" s="2715"/>
      <c r="U25" s="2715"/>
      <c r="V25" s="2715"/>
    </row>
    <row r="26" spans="1:28">
      <c r="A26" s="3186"/>
      <c r="B26" s="3187" t="s">
        <v>478</v>
      </c>
      <c r="C26" s="3188"/>
      <c r="D26" s="3186" t="s">
        <v>478</v>
      </c>
      <c r="E26" s="3189"/>
      <c r="F26" s="3143"/>
      <c r="G26" s="3143"/>
      <c r="H26" s="3143"/>
      <c r="I26" s="3143"/>
      <c r="J26" s="2715"/>
      <c r="K26" s="3217"/>
      <c r="L26" s="3215"/>
      <c r="M26" s="3215"/>
      <c r="N26" s="2716"/>
      <c r="O26" s="3226"/>
      <c r="P26" s="2716"/>
      <c r="Q26" s="2715"/>
      <c r="R26" s="2715"/>
      <c r="S26" s="2715"/>
      <c r="T26" s="2715"/>
      <c r="U26" s="2715"/>
      <c r="V26" s="2715"/>
    </row>
    <row r="27" spans="1:28">
      <c r="A27" s="3520" t="s">
        <v>479</v>
      </c>
      <c r="B27" s="1642" t="s">
        <v>480</v>
      </c>
      <c r="C27" s="3190" t="s">
        <v>2890</v>
      </c>
      <c r="D27" s="3191"/>
      <c r="E27" s="2836"/>
      <c r="F27" s="2836"/>
      <c r="G27" s="2836"/>
      <c r="H27" s="2836"/>
      <c r="I27" s="2836"/>
      <c r="J27" s="2715"/>
      <c r="K27" s="3227"/>
      <c r="L27" s="3226"/>
      <c r="M27" s="3226"/>
      <c r="N27" s="2716"/>
      <c r="O27" s="3226"/>
      <c r="P27" s="2716"/>
      <c r="Q27" s="2715"/>
      <c r="R27" s="2715"/>
      <c r="S27" s="2715"/>
      <c r="T27" s="2715"/>
      <c r="U27" s="2715"/>
      <c r="V27" s="2715"/>
    </row>
    <row r="28" spans="1:28">
      <c r="A28" s="3520"/>
      <c r="B28" s="1608" t="s">
        <v>481</v>
      </c>
      <c r="C28" s="3192" t="s">
        <v>482</v>
      </c>
      <c r="D28" s="3193"/>
      <c r="E28" s="2836"/>
      <c r="F28" s="2836"/>
      <c r="G28" s="2836"/>
      <c r="H28" s="2836"/>
      <c r="I28" s="2836"/>
      <c r="J28" s="2715"/>
      <c r="K28" s="3217"/>
      <c r="L28" s="3215"/>
      <c r="M28" s="3215"/>
      <c r="N28" s="2715"/>
      <c r="O28" s="3216"/>
      <c r="P28" s="2715"/>
      <c r="Q28" s="2715"/>
      <c r="R28" s="2715"/>
      <c r="S28" s="2715"/>
      <c r="T28" s="2715"/>
      <c r="U28" s="2715"/>
      <c r="V28" s="2715"/>
    </row>
    <row r="29" spans="1:28">
      <c r="A29" s="3520"/>
      <c r="B29" s="1608" t="s">
        <v>483</v>
      </c>
      <c r="C29" s="3194" t="s">
        <v>484</v>
      </c>
      <c r="D29" s="3195"/>
      <c r="E29" s="2836"/>
      <c r="F29" s="2836"/>
      <c r="G29" s="2836"/>
      <c r="H29" s="2836"/>
      <c r="I29" s="2836"/>
      <c r="J29" s="2715"/>
      <c r="K29" s="3217"/>
      <c r="L29" s="3215"/>
      <c r="M29" s="3215"/>
      <c r="N29" s="2715"/>
      <c r="O29" s="3216"/>
      <c r="P29" s="2715"/>
      <c r="Q29" s="2715"/>
      <c r="R29" s="2715"/>
      <c r="S29" s="2715"/>
      <c r="T29" s="2715"/>
      <c r="U29" s="2715"/>
      <c r="V29" s="2715"/>
    </row>
    <row r="30" spans="1:28">
      <c r="A30" s="3521"/>
      <c r="B30" s="1608" t="s">
        <v>485</v>
      </c>
      <c r="C30" s="3517"/>
      <c r="D30" s="3518"/>
      <c r="E30" s="2836"/>
      <c r="F30" s="2836"/>
      <c r="G30" s="2836"/>
      <c r="H30" s="2836"/>
      <c r="I30" s="2836"/>
      <c r="J30" s="2715"/>
      <c r="K30" s="3217"/>
      <c r="L30" s="3215"/>
      <c r="M30" s="3215"/>
      <c r="N30" s="2715"/>
      <c r="O30" s="3216"/>
      <c r="P30" s="2715"/>
      <c r="Q30" s="2715"/>
      <c r="R30" s="2715"/>
      <c r="S30" s="2715"/>
      <c r="T30" s="2715"/>
      <c r="U30" s="2715"/>
      <c r="V30" s="2715"/>
    </row>
    <row r="31" spans="1:28">
      <c r="A31" s="3522" t="s">
        <v>486</v>
      </c>
      <c r="B31" s="3196" t="s">
        <v>487</v>
      </c>
      <c r="C31" s="1762" t="str">
        <f>IF(B31="现房","成新及维护状况正常否",IF(B31="在建","工程状态是否正常",IF(B31="土地","是否闲置","-")))</f>
        <v>成新及维护状况正常否</v>
      </c>
      <c r="D31" s="2242"/>
      <c r="E31" s="3197"/>
      <c r="F31" s="2836"/>
      <c r="G31" s="2836"/>
      <c r="H31" s="2836"/>
      <c r="I31" s="2836"/>
      <c r="J31" s="2715"/>
      <c r="K31" s="3214"/>
      <c r="L31" s="3215"/>
      <c r="M31" s="3215"/>
      <c r="N31" s="2715"/>
      <c r="O31" s="3216"/>
      <c r="P31" s="2715"/>
      <c r="Q31" s="2715"/>
      <c r="R31" s="2715"/>
      <c r="S31" s="2715"/>
      <c r="T31" s="2715"/>
      <c r="U31" s="2715"/>
      <c r="V31" s="2715"/>
    </row>
    <row r="32" spans="1:28">
      <c r="A32" s="3523"/>
      <c r="B32" s="3196"/>
      <c r="C32" s="1762" t="str">
        <f>IF(B32="现房","成新及维护状况是否正常",IF(B32="在建","工程状态是否正常",IF(B32="土地","是否闲置","-")))</f>
        <v>-</v>
      </c>
      <c r="D32" s="2242"/>
      <c r="E32" s="3197"/>
      <c r="F32" s="2836"/>
      <c r="G32" s="2836"/>
      <c r="H32" s="2836"/>
      <c r="I32" s="2836"/>
      <c r="J32" s="2715"/>
      <c r="K32" s="3217"/>
      <c r="L32" s="3215"/>
      <c r="M32" s="3215"/>
      <c r="N32" s="2715"/>
      <c r="O32" s="3216"/>
      <c r="P32" s="2715"/>
      <c r="Q32" s="2715"/>
      <c r="R32" s="2715"/>
      <c r="S32" s="2715"/>
      <c r="T32" s="2715"/>
      <c r="U32" s="2715"/>
      <c r="V32" s="2715"/>
    </row>
    <row r="33" spans="1:30">
      <c r="A33" s="3523"/>
      <c r="B33" s="3198"/>
      <c r="C33" s="2467" t="str">
        <f>IF(B33="现房","成新及维护状况是否正常",IF(B33="在建","工程状态是否正常",IF(B33="土地","是否闲置","-")))</f>
        <v>-</v>
      </c>
      <c r="D33" s="1617"/>
      <c r="E33" s="3199"/>
      <c r="F33" s="2836"/>
      <c r="G33" s="2836"/>
      <c r="H33" s="2836"/>
      <c r="I33" s="2836"/>
      <c r="J33" s="2715"/>
      <c r="K33" s="3217"/>
      <c r="L33" s="3215"/>
      <c r="M33" s="3215"/>
      <c r="N33" s="2715"/>
      <c r="O33" s="3216"/>
      <c r="P33" s="2715"/>
      <c r="Q33" s="2715"/>
      <c r="R33" s="2715"/>
      <c r="S33" s="2715"/>
      <c r="T33" s="2715"/>
      <c r="U33" s="2715"/>
      <c r="V33" s="2715"/>
    </row>
    <row r="34" spans="1:30">
      <c r="A34" s="1608" t="s">
        <v>488</v>
      </c>
      <c r="B34" s="1895"/>
      <c r="C34" s="1895"/>
      <c r="D34" s="1895"/>
      <c r="E34" s="1895"/>
      <c r="F34" s="1895"/>
      <c r="G34" s="1895"/>
      <c r="H34" s="1895"/>
      <c r="I34" s="2836"/>
      <c r="J34" s="2715"/>
      <c r="K34" s="618">
        <f>COUNTIF(B34:H34,"——")</f>
        <v>0</v>
      </c>
      <c r="L34" s="1649" t="s">
        <v>489</v>
      </c>
      <c r="M34" s="1649" t="s">
        <v>490</v>
      </c>
      <c r="N34" s="1649" t="s">
        <v>491</v>
      </c>
      <c r="O34" s="1649" t="s">
        <v>492</v>
      </c>
      <c r="P34" s="1649" t="s">
        <v>493</v>
      </c>
      <c r="Q34" s="1649" t="s">
        <v>494</v>
      </c>
      <c r="R34" s="1649" t="s">
        <v>495</v>
      </c>
      <c r="S34" s="3512" t="s">
        <v>496</v>
      </c>
      <c r="T34" s="1649" t="str">
        <f>NUMBERSTRING(7-K34,1)&amp;"通"</f>
        <v>七通</v>
      </c>
      <c r="U34" s="2715"/>
      <c r="V34" s="2715"/>
    </row>
    <row r="35" spans="1:30">
      <c r="A35" s="3200"/>
      <c r="B35" s="3519" t="s">
        <v>497</v>
      </c>
      <c r="C35" s="3519"/>
      <c r="D35" s="3519"/>
      <c r="E35" s="3519"/>
      <c r="F35" s="676">
        <f>C10</f>
        <v>0</v>
      </c>
      <c r="G35" s="2836"/>
      <c r="H35" s="2836"/>
      <c r="I35" s="2836"/>
      <c r="J35" s="2715"/>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12"/>
      <c r="T35" s="1651" t="str">
        <f>IF(T34="一通",L35,IF(T34="二通",M35,IF(T34="三通",N35,IF(T34="四通",O35,IF(T34="五通",P35,IF(T34="六通",Q35,R35))))))</f>
        <v>、、、、、、</v>
      </c>
      <c r="U35" s="2715"/>
      <c r="V35" s="2715"/>
    </row>
    <row r="36" spans="1:30">
      <c r="A36" s="3201"/>
      <c r="B36" s="676" t="s">
        <v>443</v>
      </c>
      <c r="C36" s="676" t="s">
        <v>444</v>
      </c>
      <c r="D36" s="676" t="s">
        <v>442</v>
      </c>
      <c r="E36" s="676" t="s">
        <v>447</v>
      </c>
      <c r="F36" s="3202" t="s">
        <v>280</v>
      </c>
      <c r="G36" s="2836"/>
      <c r="H36" s="2836"/>
      <c r="I36" s="2836"/>
      <c r="J36" s="2715"/>
      <c r="K36" s="3217"/>
      <c r="L36" s="3215"/>
      <c r="M36" s="3215"/>
      <c r="N36" s="2715"/>
      <c r="O36" s="3216"/>
      <c r="P36" s="2715"/>
      <c r="Q36" s="2715"/>
      <c r="R36" s="2715"/>
      <c r="S36" s="2715"/>
      <c r="T36" s="2715"/>
      <c r="U36" s="2715"/>
      <c r="V36" s="2715"/>
    </row>
    <row r="37" spans="1:30">
      <c r="A37" s="3203" t="s">
        <v>498</v>
      </c>
      <c r="B37" s="3204" t="s">
        <v>267</v>
      </c>
      <c r="C37" s="3204"/>
      <c r="D37" s="3204"/>
      <c r="E37" s="3204"/>
      <c r="F37" s="3204"/>
      <c r="G37" s="2836"/>
      <c r="H37" s="2836"/>
      <c r="I37" s="2836"/>
      <c r="J37" s="2715"/>
      <c r="K37" s="3217"/>
      <c r="L37" s="3215"/>
      <c r="M37" s="3215"/>
      <c r="N37" s="2715"/>
      <c r="O37" s="3216"/>
      <c r="P37" s="2715"/>
      <c r="Q37" s="2715"/>
      <c r="R37" s="2715"/>
      <c r="S37" s="2715"/>
      <c r="T37" s="2715"/>
      <c r="U37" s="2715"/>
      <c r="V37" s="2715"/>
    </row>
    <row r="38" spans="1:30">
      <c r="A38" s="3205" t="s">
        <v>499</v>
      </c>
      <c r="B38" s="3206" t="s">
        <v>2634</v>
      </c>
      <c r="C38" s="3206"/>
      <c r="D38" s="3206"/>
      <c r="E38" s="3206"/>
      <c r="F38" s="3206"/>
      <c r="G38" s="3143"/>
      <c r="H38" s="3143"/>
      <c r="I38" s="3143"/>
      <c r="J38" s="2715"/>
      <c r="K38" s="3217"/>
      <c r="L38" s="3215"/>
      <c r="M38" s="3215"/>
      <c r="N38" s="2715"/>
      <c r="O38" s="3216"/>
      <c r="P38" s="2715"/>
      <c r="Q38" s="2715"/>
      <c r="R38" s="2715"/>
      <c r="S38" s="2715"/>
      <c r="T38" s="2715"/>
      <c r="U38" s="2715"/>
      <c r="V38" s="2715"/>
    </row>
    <row r="39" spans="1:30" s="3110" customFormat="1">
      <c r="A39" s="3207" t="s">
        <v>501</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7"/>
      <c r="J40" s="2716"/>
      <c r="K40" s="3214"/>
      <c r="L40" s="3226"/>
      <c r="M40" s="3226"/>
      <c r="N40" s="2716"/>
      <c r="O40" s="3226"/>
      <c r="P40" s="2715"/>
      <c r="Q40" s="2715"/>
      <c r="R40" s="2715"/>
      <c r="S40" s="2715"/>
      <c r="T40" s="2715"/>
      <c r="U40" s="2715"/>
      <c r="V40" s="2715"/>
    </row>
    <row r="41" spans="1:30">
      <c r="A41" s="3209" t="s">
        <v>502</v>
      </c>
      <c r="B41" s="2373"/>
      <c r="C41" s="2242"/>
      <c r="D41" s="3155"/>
      <c r="E41" s="3155"/>
      <c r="F41" s="3155"/>
      <c r="G41" s="3155"/>
      <c r="H41" s="3155"/>
      <c r="I41" s="3021"/>
      <c r="J41" s="2715"/>
      <c r="K41" s="3217"/>
      <c r="L41" s="3215"/>
      <c r="M41" s="3215"/>
      <c r="N41" s="2715"/>
      <c r="O41" s="3216"/>
      <c r="P41" s="2715"/>
      <c r="Q41" s="2715"/>
      <c r="R41" s="2715"/>
      <c r="S41" s="2715"/>
      <c r="T41" s="2715"/>
      <c r="U41" s="2715"/>
      <c r="V41" s="2715"/>
    </row>
    <row r="42" spans="1:30" ht="25.5">
      <c r="A42" s="1649" t="s">
        <v>503</v>
      </c>
      <c r="B42" s="618" t="s">
        <v>504</v>
      </c>
      <c r="C42" s="618" t="s">
        <v>505</v>
      </c>
      <c r="D42" s="618" t="s">
        <v>506</v>
      </c>
      <c r="E42" s="618" t="s">
        <v>507</v>
      </c>
      <c r="F42" s="618" t="s">
        <v>508</v>
      </c>
      <c r="G42" s="618" t="s">
        <v>509</v>
      </c>
      <c r="H42" s="618" t="s">
        <v>510</v>
      </c>
      <c r="I42" s="618" t="s">
        <v>511</v>
      </c>
      <c r="J42" s="3235" t="s">
        <v>512</v>
      </c>
      <c r="K42" s="3236" t="s">
        <v>513</v>
      </c>
      <c r="L42" s="3236" t="s">
        <v>514</v>
      </c>
      <c r="M42" s="3236" t="s">
        <v>515</v>
      </c>
      <c r="N42" s="3237" t="s">
        <v>516</v>
      </c>
      <c r="O42" s="3237" t="s">
        <v>517</v>
      </c>
      <c r="P42" s="3237" t="s">
        <v>518</v>
      </c>
      <c r="Q42" s="3242" t="s">
        <v>519</v>
      </c>
      <c r="R42" s="3242" t="s">
        <v>520</v>
      </c>
      <c r="S42" s="2715"/>
      <c r="T42" s="2715"/>
      <c r="U42" s="2715"/>
      <c r="V42" s="2715"/>
    </row>
    <row r="43" spans="1:30" s="2926" customFormat="1">
      <c r="A43" s="3210"/>
      <c r="B43" s="3042"/>
      <c r="C43" s="3042"/>
      <c r="D43" s="3042"/>
      <c r="E43" s="3042"/>
      <c r="F43" s="3042"/>
      <c r="G43" s="3042"/>
      <c r="H43" s="3042"/>
      <c r="I43" s="3042"/>
      <c r="J43" s="3238"/>
      <c r="K43" s="3239"/>
      <c r="L43" s="3239"/>
      <c r="M43" s="3042"/>
      <c r="N43" s="3042"/>
      <c r="O43" s="3042"/>
      <c r="P43" s="3042"/>
      <c r="Q43" s="3042"/>
      <c r="R43" s="3042"/>
      <c r="S43" s="2715"/>
      <c r="T43" s="2715"/>
      <c r="U43" s="2715"/>
      <c r="V43" s="2715"/>
    </row>
    <row r="44" spans="1:30" s="2926" customFormat="1">
      <c r="A44" s="3210"/>
      <c r="B44" s="3210"/>
      <c r="C44" s="3042"/>
      <c r="D44" s="3042"/>
      <c r="E44" s="3042"/>
      <c r="F44" s="3042"/>
      <c r="G44" s="3042"/>
      <c r="H44" s="3042"/>
      <c r="I44" s="3042"/>
      <c r="J44" s="3238"/>
      <c r="K44" s="3239"/>
      <c r="L44" s="3239"/>
      <c r="M44" s="3042"/>
      <c r="N44" s="3042"/>
      <c r="O44" s="3042"/>
      <c r="P44" s="3042"/>
      <c r="Q44" s="3042"/>
      <c r="R44" s="3042"/>
      <c r="S44" s="2715"/>
      <c r="T44" s="2715"/>
      <c r="U44" s="2715"/>
      <c r="V44" s="2715"/>
    </row>
    <row r="45" spans="1:30" s="2926" customFormat="1">
      <c r="A45" s="3210"/>
      <c r="B45" s="3210"/>
      <c r="C45" s="3042"/>
      <c r="D45" s="3042"/>
      <c r="E45" s="3042"/>
      <c r="F45" s="3042"/>
      <c r="G45" s="3042"/>
      <c r="H45" s="3042"/>
      <c r="I45" s="3042"/>
      <c r="J45" s="3238"/>
      <c r="K45" s="3239"/>
      <c r="L45" s="3239"/>
      <c r="M45" s="3042"/>
      <c r="N45" s="3042"/>
      <c r="O45" s="3042"/>
      <c r="P45" s="3042"/>
      <c r="Q45" s="3042"/>
      <c r="R45" s="3042"/>
      <c r="S45" s="2715"/>
      <c r="T45" s="2715"/>
      <c r="U45" s="2715"/>
      <c r="V45" s="2715"/>
    </row>
    <row r="46" spans="1:30" s="2926" customFormat="1">
      <c r="A46" s="3210"/>
      <c r="B46" s="3210"/>
      <c r="C46" s="3042"/>
      <c r="D46" s="3042"/>
      <c r="E46" s="3042"/>
      <c r="F46" s="3042"/>
      <c r="G46" s="3042"/>
      <c r="H46" s="3042"/>
      <c r="I46" s="3042"/>
      <c r="J46" s="3238"/>
      <c r="K46" s="3239"/>
      <c r="L46" s="3239"/>
      <c r="M46" s="3042"/>
      <c r="N46" s="3042"/>
      <c r="O46" s="3042"/>
      <c r="P46" s="3042"/>
      <c r="Q46" s="3042"/>
      <c r="R46" s="3042"/>
      <c r="S46" s="2715"/>
      <c r="T46" s="2715"/>
      <c r="U46" s="2715"/>
      <c r="V46" s="2715"/>
    </row>
    <row r="47" spans="1:30" s="2926" customFormat="1">
      <c r="A47" s="3210"/>
      <c r="B47" s="3210"/>
      <c r="C47" s="3042"/>
      <c r="D47" s="3042"/>
      <c r="E47" s="3042"/>
      <c r="F47" s="3042"/>
      <c r="G47" s="3042"/>
      <c r="H47" s="3042"/>
      <c r="I47" s="3042"/>
      <c r="J47" s="3238"/>
      <c r="K47" s="3239"/>
      <c r="L47" s="3239"/>
      <c r="M47" s="3042"/>
      <c r="N47" s="3042"/>
      <c r="O47" s="3042"/>
      <c r="P47" s="3042"/>
      <c r="Q47" s="3042"/>
      <c r="R47" s="3042"/>
      <c r="S47" s="2715"/>
      <c r="T47" s="2715"/>
      <c r="U47" s="2715"/>
      <c r="V47" s="2715"/>
    </row>
    <row r="48" spans="1:30" s="2926" customFormat="1">
      <c r="A48" s="3210"/>
      <c r="B48" s="3210"/>
      <c r="C48" s="3042"/>
      <c r="D48" s="3042"/>
      <c r="E48" s="3042"/>
      <c r="F48" s="3042"/>
      <c r="G48" s="3042"/>
      <c r="H48" s="3042"/>
      <c r="I48" s="3042"/>
      <c r="J48" s="3238"/>
      <c r="K48" s="3239"/>
      <c r="L48" s="3239"/>
      <c r="M48" s="3042"/>
      <c r="N48" s="3042"/>
      <c r="O48" s="3042"/>
      <c r="P48" s="3042"/>
      <c r="Q48" s="3042"/>
      <c r="R48" s="3042"/>
      <c r="S48" s="2715"/>
      <c r="T48" s="2715"/>
      <c r="U48" s="2715"/>
      <c r="V48" s="2715"/>
    </row>
    <row r="49" spans="1:22" s="2926" customFormat="1">
      <c r="A49" s="3210"/>
      <c r="B49" s="3210"/>
      <c r="C49" s="3042"/>
      <c r="D49" s="3042"/>
      <c r="E49" s="3042"/>
      <c r="F49" s="3042"/>
      <c r="G49" s="3042"/>
      <c r="H49" s="3042"/>
      <c r="I49" s="3042"/>
      <c r="J49" s="3238"/>
      <c r="K49" s="3239"/>
      <c r="L49" s="3239"/>
      <c r="M49" s="3042"/>
      <c r="N49" s="3042"/>
      <c r="O49" s="3042"/>
      <c r="P49" s="3042"/>
      <c r="Q49" s="3042"/>
      <c r="R49" s="3042"/>
      <c r="S49" s="2715"/>
      <c r="T49" s="2715"/>
      <c r="U49" s="2715"/>
      <c r="V49" s="2715"/>
    </row>
    <row r="50" spans="1:22" s="2926" customFormat="1">
      <c r="A50" s="3210"/>
      <c r="B50" s="3210"/>
      <c r="C50" s="3042"/>
      <c r="D50" s="3042"/>
      <c r="E50" s="3042"/>
      <c r="F50" s="3042"/>
      <c r="G50" s="3042"/>
      <c r="H50" s="3042"/>
      <c r="I50" s="3042"/>
      <c r="J50" s="3238"/>
      <c r="K50" s="3239"/>
      <c r="L50" s="3239"/>
      <c r="M50" s="3042"/>
      <c r="N50" s="3042"/>
      <c r="O50" s="3042"/>
      <c r="P50" s="3042"/>
      <c r="Q50" s="3042"/>
      <c r="R50" s="3042"/>
      <c r="S50" s="2715"/>
      <c r="T50" s="2715"/>
      <c r="U50" s="2715"/>
      <c r="V50" s="2715"/>
    </row>
    <row r="51" spans="1:22" s="2926" customFormat="1">
      <c r="A51" s="3210"/>
      <c r="B51" s="3210"/>
      <c r="C51" s="3042"/>
      <c r="D51" s="3042"/>
      <c r="E51" s="3042"/>
      <c r="F51" s="3042"/>
      <c r="G51" s="3042"/>
      <c r="H51" s="3042"/>
      <c r="I51" s="3042"/>
      <c r="J51" s="3238"/>
      <c r="K51" s="3239"/>
      <c r="L51" s="3239"/>
      <c r="M51" s="3042"/>
      <c r="N51" s="3042"/>
      <c r="O51" s="3042"/>
      <c r="P51" s="3042"/>
      <c r="Q51" s="3042"/>
      <c r="R51" s="3042"/>
    </row>
    <row r="52" spans="1:22" s="2926" customFormat="1">
      <c r="A52" s="3210"/>
      <c r="B52" s="3210"/>
      <c r="C52" s="3210"/>
      <c r="D52" s="3210"/>
      <c r="E52" s="3210"/>
      <c r="F52" s="3042"/>
      <c r="G52" s="3210"/>
      <c r="H52" s="3210"/>
      <c r="I52" s="3210"/>
      <c r="J52" s="3240"/>
      <c r="K52" s="3239"/>
      <c r="L52" s="3239"/>
      <c r="M52" s="3239"/>
      <c r="N52" s="3210"/>
      <c r="O52" s="3210"/>
      <c r="P52" s="3210"/>
      <c r="Q52" s="3210"/>
      <c r="R52" s="3210"/>
    </row>
    <row r="53" spans="1:22" s="2926" customFormat="1">
      <c r="A53" s="3210"/>
      <c r="B53" s="3210"/>
      <c r="C53" s="3210"/>
      <c r="D53" s="3210"/>
      <c r="E53" s="3210"/>
      <c r="F53" s="3042"/>
      <c r="G53" s="3210"/>
      <c r="H53" s="3210"/>
      <c r="I53" s="3210"/>
      <c r="J53" s="3240"/>
      <c r="K53" s="3239"/>
      <c r="L53" s="3239"/>
      <c r="M53" s="3239"/>
      <c r="N53" s="3210"/>
      <c r="O53" s="3210"/>
      <c r="P53" s="3210"/>
      <c r="Q53" s="3210"/>
      <c r="R53" s="3210"/>
    </row>
    <row r="54" spans="1:22" s="2926" customFormat="1">
      <c r="A54" s="3210"/>
      <c r="B54" s="3210"/>
      <c r="C54" s="3210"/>
      <c r="D54" s="3210"/>
      <c r="E54" s="3210"/>
      <c r="F54" s="3042"/>
      <c r="G54" s="3210"/>
      <c r="H54" s="3210"/>
      <c r="I54" s="3210"/>
      <c r="J54" s="3240"/>
      <c r="K54" s="3239"/>
      <c r="L54" s="3239"/>
      <c r="M54" s="3239"/>
      <c r="N54" s="3210"/>
      <c r="O54" s="3210"/>
      <c r="P54" s="3210"/>
      <c r="Q54" s="3210"/>
      <c r="R54" s="3210"/>
    </row>
    <row r="55" spans="1:22" s="2926" customFormat="1">
      <c r="A55" s="3210"/>
      <c r="B55" s="3210"/>
      <c r="C55" s="3210"/>
      <c r="D55" s="3210"/>
      <c r="E55" s="3210"/>
      <c r="F55" s="3042"/>
      <c r="G55" s="3210"/>
      <c r="H55" s="3210"/>
      <c r="I55" s="3210"/>
      <c r="J55" s="3240"/>
      <c r="K55" s="3239"/>
      <c r="L55" s="3239"/>
      <c r="M55" s="3239"/>
      <c r="N55" s="3210"/>
      <c r="O55" s="3210"/>
      <c r="P55" s="3210"/>
      <c r="Q55" s="3210"/>
      <c r="R55" s="3210"/>
    </row>
    <row r="56" spans="1:22" s="2926" customFormat="1">
      <c r="A56" s="3210"/>
      <c r="B56" s="3210"/>
      <c r="C56" s="3210"/>
      <c r="D56" s="3210"/>
      <c r="E56" s="3210"/>
      <c r="F56" s="3042"/>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3"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8" t="s">
        <v>459</v>
      </c>
      <c r="B2" s="618" t="s">
        <v>455</v>
      </c>
      <c r="C2" s="618"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3" t="s">
        <v>524</v>
      </c>
      <c r="AZ2" s="3084" t="s">
        <v>525</v>
      </c>
      <c r="BA2" s="618"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333.8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5"/>
      <c r="AZ3" s="3042"/>
      <c r="BA3" s="3086"/>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7"/>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62" t="s">
        <v>528</v>
      </c>
      <c r="B5" s="2370"/>
      <c r="C5" s="2370"/>
      <c r="D5" s="2498"/>
      <c r="E5" s="3028" t="s">
        <v>124</v>
      </c>
      <c r="F5" s="3028">
        <f>SUM(F13:F587)</f>
        <v>0</v>
      </c>
      <c r="G5" s="3028">
        <f>SUM(G13:G587)</f>
        <v>333.8</v>
      </c>
      <c r="H5" s="3028">
        <f t="shared" ref="H5:AT5" si="0">SUM(H13:H656)</f>
        <v>333.8</v>
      </c>
      <c r="I5" s="3028">
        <f t="shared" si="0"/>
        <v>333.8</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1762" t="s">
        <v>528</v>
      </c>
      <c r="AW5" s="2370"/>
      <c r="AX5" s="2370"/>
      <c r="AY5" s="3088" t="s">
        <v>124</v>
      </c>
      <c r="AZ5" s="3089">
        <f t="shared" ref="AZ5:BT5" si="1">SUM(AZ13:AZ656)</f>
        <v>333.8</v>
      </c>
      <c r="BA5" s="3089">
        <f t="shared" si="1"/>
        <v>333.8</v>
      </c>
      <c r="BB5" s="3089">
        <f t="shared" si="1"/>
        <v>333.8</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5" customFormat="1" ht="12.75">
      <c r="A6" s="1762"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4"/>
      <c r="AV6" s="1762" t="s">
        <v>529</v>
      </c>
      <c r="AW6" s="3029"/>
      <c r="AX6" s="3029"/>
      <c r="AY6" s="3090">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9">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5" t="s">
        <v>530</v>
      </c>
      <c r="AW7" s="2487" t="s">
        <v>531</v>
      </c>
      <c r="AX7" s="3075" t="s">
        <v>504</v>
      </c>
      <c r="AY7" s="2370" t="s">
        <v>536</v>
      </c>
      <c r="AZ7" s="3066"/>
      <c r="BA7" s="3033"/>
      <c r="BB7" s="3033"/>
      <c r="BC7" s="3033"/>
      <c r="BD7" s="3033"/>
      <c r="BE7" s="3033"/>
      <c r="BF7" s="3033"/>
      <c r="BG7" s="3033"/>
      <c r="BH7" s="3033"/>
      <c r="BI7" s="3033"/>
      <c r="BJ7" s="3033"/>
      <c r="BK7" s="3033"/>
      <c r="BL7" s="3033"/>
      <c r="BM7" s="3033"/>
      <c r="BN7" s="3033"/>
      <c r="BO7" s="3033"/>
      <c r="BP7" s="3033"/>
      <c r="BQ7" s="3033"/>
      <c r="BR7" s="3033"/>
      <c r="BS7" s="3033"/>
      <c r="BT7" s="3100"/>
    </row>
    <row r="8" spans="1:72" s="2734" customFormat="1" ht="24">
      <c r="A8" s="3034"/>
      <c r="B8" s="3034"/>
      <c r="C8" s="3034"/>
      <c r="D8" s="3034"/>
      <c r="E8" s="3034"/>
      <c r="F8" s="3034"/>
      <c r="G8" s="3035" t="s">
        <v>537</v>
      </c>
      <c r="H8" s="3036" t="s">
        <v>538</v>
      </c>
      <c r="I8" s="3054"/>
      <c r="J8" s="617"/>
      <c r="K8" s="617"/>
      <c r="L8" s="617"/>
      <c r="M8" s="617"/>
      <c r="N8" s="617"/>
      <c r="O8" s="617"/>
      <c r="P8" s="617"/>
      <c r="Q8" s="617"/>
      <c r="R8" s="617"/>
      <c r="S8" s="617"/>
      <c r="T8" s="617"/>
      <c r="U8" s="617"/>
      <c r="V8" s="3062"/>
      <c r="W8" s="617"/>
      <c r="X8" s="617"/>
      <c r="Y8" s="617"/>
      <c r="Z8" s="617"/>
      <c r="AA8" s="3062"/>
      <c r="AB8" s="3064"/>
      <c r="AC8" s="2291" t="s">
        <v>539</v>
      </c>
      <c r="AD8" s="3065"/>
      <c r="AE8" s="3066"/>
      <c r="AF8" s="617"/>
      <c r="AG8" s="617"/>
      <c r="AH8" s="617"/>
      <c r="AI8" s="617"/>
      <c r="AJ8" s="617"/>
      <c r="AK8" s="617"/>
      <c r="AL8" s="617"/>
      <c r="AM8" s="617"/>
      <c r="AN8" s="617"/>
      <c r="AO8" s="617"/>
      <c r="AP8" s="617"/>
      <c r="AQ8" s="617"/>
      <c r="AR8" s="617"/>
      <c r="AS8" s="617"/>
      <c r="AT8" s="1601" t="s">
        <v>540</v>
      </c>
      <c r="AU8" s="3034" t="s">
        <v>541</v>
      </c>
      <c r="AV8" s="1601"/>
      <c r="AW8" s="2447"/>
      <c r="AX8" s="1601"/>
      <c r="AY8" s="2487"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4" customFormat="1" ht="12.75">
      <c r="A9" s="3034"/>
      <c r="B9" s="3034"/>
      <c r="C9" s="3034"/>
      <c r="D9" s="3034"/>
      <c r="E9" s="3034"/>
      <c r="F9" s="3034"/>
      <c r="G9" s="1601"/>
      <c r="H9" s="3037" t="s">
        <v>542</v>
      </c>
      <c r="I9" s="3055" t="s">
        <v>543</v>
      </c>
      <c r="J9" s="2291"/>
      <c r="K9" s="3055"/>
      <c r="L9" s="2291"/>
      <c r="M9" s="3055"/>
      <c r="N9" s="2291"/>
      <c r="O9" s="3055"/>
      <c r="P9" s="2291"/>
      <c r="Q9" s="3055"/>
      <c r="R9" s="2291"/>
      <c r="S9" s="3055"/>
      <c r="T9" s="2291"/>
      <c r="U9" s="3055"/>
      <c r="V9" s="2291"/>
      <c r="W9" s="3055"/>
      <c r="X9" s="3063"/>
      <c r="Y9" s="3055"/>
      <c r="Z9" s="2291"/>
      <c r="AA9" s="3055"/>
      <c r="AB9" s="2291"/>
      <c r="AC9" s="3035"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6"/>
      <c r="AT9" s="3034"/>
      <c r="AU9" s="3034" t="s">
        <v>546</v>
      </c>
      <c r="AV9" s="1601"/>
      <c r="AW9" s="2447"/>
      <c r="AX9" s="1601"/>
      <c r="AY9" s="3038"/>
      <c r="AZ9" s="3038" t="s">
        <v>537</v>
      </c>
      <c r="BA9" s="3091" t="s">
        <v>547</v>
      </c>
      <c r="BB9" s="3092"/>
      <c r="BC9" s="1659"/>
      <c r="BD9" s="1659"/>
      <c r="BE9" s="1659"/>
      <c r="BF9" s="1659"/>
      <c r="BG9" s="1659"/>
      <c r="BH9" s="1659"/>
      <c r="BI9" s="1659"/>
      <c r="BJ9" s="1659"/>
      <c r="BK9" s="3097"/>
      <c r="BL9" s="1762" t="s">
        <v>548</v>
      </c>
      <c r="BM9" s="617"/>
      <c r="BN9" s="3054"/>
      <c r="BO9" s="617"/>
      <c r="BP9" s="617"/>
      <c r="BQ9" s="617"/>
      <c r="BR9" s="617"/>
      <c r="BS9" s="617"/>
      <c r="BT9" s="1647"/>
    </row>
    <row r="10" spans="1:72" s="2734" customFormat="1" ht="12.75">
      <c r="A10" s="3034"/>
      <c r="B10" s="3034"/>
      <c r="C10" s="3034"/>
      <c r="D10" s="3034"/>
      <c r="E10" s="3034"/>
      <c r="F10" s="3034"/>
      <c r="G10" s="1601"/>
      <c r="H10" s="3038"/>
      <c r="I10" s="3055" t="s">
        <v>1766</v>
      </c>
      <c r="J10" s="2291"/>
      <c r="K10" s="3056"/>
      <c r="L10" s="2291"/>
      <c r="M10" s="3056"/>
      <c r="N10" s="2291"/>
      <c r="O10" s="3056"/>
      <c r="P10" s="2291"/>
      <c r="Q10" s="3056"/>
      <c r="R10" s="2291"/>
      <c r="S10" s="3056"/>
      <c r="T10" s="2291"/>
      <c r="U10" s="3056"/>
      <c r="V10" s="2291"/>
      <c r="W10" s="3056"/>
      <c r="X10" s="2291"/>
      <c r="Y10" s="3056"/>
      <c r="Z10" s="2291"/>
      <c r="AA10" s="3056"/>
      <c r="AB10" s="2291"/>
      <c r="AC10" s="1601"/>
      <c r="AD10" s="1762" t="s">
        <v>549</v>
      </c>
      <c r="AE10" s="3067"/>
      <c r="AF10" s="1762" t="s">
        <v>549</v>
      </c>
      <c r="AG10" s="3067"/>
      <c r="AH10" s="1762" t="s">
        <v>550</v>
      </c>
      <c r="AI10" s="3067"/>
      <c r="AJ10" s="1762" t="s">
        <v>550</v>
      </c>
      <c r="AK10" s="3067"/>
      <c r="AL10" s="1762" t="s">
        <v>551</v>
      </c>
      <c r="AM10" s="1613"/>
      <c r="AN10" s="1762" t="s">
        <v>551</v>
      </c>
      <c r="AO10" s="1613"/>
      <c r="AP10" s="1762" t="s">
        <v>552</v>
      </c>
      <c r="AQ10" s="1613"/>
      <c r="AR10" s="1762" t="s">
        <v>552</v>
      </c>
      <c r="AS10" s="1613"/>
      <c r="AT10" s="3034"/>
      <c r="AU10" s="3034"/>
      <c r="AV10" s="1601"/>
      <c r="AW10" s="2447"/>
      <c r="AX10" s="1601"/>
      <c r="AY10" s="3038"/>
      <c r="AZ10" s="3038"/>
      <c r="BA10" s="3039" t="s">
        <v>542</v>
      </c>
      <c r="BB10" s="3093"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1" t="str">
        <f>AR9</f>
        <v>地下</v>
      </c>
    </row>
    <row r="11" spans="1:72" s="2734" customFormat="1" ht="12.75">
      <c r="A11" s="3034"/>
      <c r="B11" s="3034"/>
      <c r="C11" s="3034"/>
      <c r="D11" s="3034"/>
      <c r="E11" s="3034"/>
      <c r="F11" s="3034"/>
      <c r="G11" s="1601"/>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601"/>
      <c r="AD11" s="3068" t="s">
        <v>553</v>
      </c>
      <c r="AE11" s="674"/>
      <c r="AF11" s="3068" t="s">
        <v>553</v>
      </c>
      <c r="AG11" s="674"/>
      <c r="AH11" s="3068" t="s">
        <v>554</v>
      </c>
      <c r="AI11" s="3072"/>
      <c r="AJ11" s="3068" t="s">
        <v>554</v>
      </c>
      <c r="AK11" s="674"/>
      <c r="AL11" s="616"/>
      <c r="AM11" s="674"/>
      <c r="AN11" s="616"/>
      <c r="AO11" s="674"/>
      <c r="AP11" s="616"/>
      <c r="AQ11" s="674"/>
      <c r="AR11" s="616"/>
      <c r="AS11" s="674"/>
      <c r="AT11" s="2447"/>
      <c r="AU11" s="3034"/>
      <c r="AV11" s="1601"/>
      <c r="AW11" s="2447"/>
      <c r="AX11" s="1601"/>
      <c r="AY11" s="3038"/>
      <c r="AZ11" s="3038"/>
      <c r="BA11" s="3038"/>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2" t="str">
        <f>AR10</f>
        <v>未注明</v>
      </c>
    </row>
    <row r="12" spans="1:72" s="3013" customFormat="1" ht="12.75">
      <c r="A12" s="3040"/>
      <c r="B12" s="3040"/>
      <c r="C12" s="3040"/>
      <c r="D12" s="3040"/>
      <c r="E12" s="3040"/>
      <c r="F12" s="3040"/>
      <c r="G12" s="1920"/>
      <c r="H12" s="3041"/>
      <c r="I12" s="2498"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69" t="s">
        <v>556</v>
      </c>
      <c r="W12" s="618" t="s">
        <v>555</v>
      </c>
      <c r="X12" s="618" t="s">
        <v>556</v>
      </c>
      <c r="Y12" s="618" t="s">
        <v>555</v>
      </c>
      <c r="Z12" s="618" t="s">
        <v>556</v>
      </c>
      <c r="AA12" s="618" t="s">
        <v>555</v>
      </c>
      <c r="AB12" s="618" t="s">
        <v>556</v>
      </c>
      <c r="AC12" s="3069"/>
      <c r="AD12" s="2498"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0" t="s">
        <v>555</v>
      </c>
      <c r="AS12" s="3040" t="s">
        <v>556</v>
      </c>
      <c r="AT12" s="3077"/>
      <c r="AU12" s="3040"/>
      <c r="AV12" s="3078"/>
      <c r="AW12" s="2487"/>
      <c r="AX12" s="3078"/>
      <c r="AY12" s="3094"/>
      <c r="AZ12" s="3038"/>
      <c r="BA12" s="3039"/>
      <c r="BB12" s="615">
        <f>I11</f>
        <v>0</v>
      </c>
      <c r="BC12" s="3095">
        <f>K11</f>
        <v>0</v>
      </c>
      <c r="BD12" s="3095">
        <f>M11</f>
        <v>0</v>
      </c>
      <c r="BE12" s="3064">
        <f>O11</f>
        <v>0</v>
      </c>
      <c r="BF12" s="3064">
        <f>Q11</f>
        <v>0</v>
      </c>
      <c r="BG12" s="3064">
        <f>S11</f>
        <v>0</v>
      </c>
      <c r="BH12" s="3064">
        <f>U11</f>
        <v>0</v>
      </c>
      <c r="BI12" s="3064">
        <f>W11</f>
        <v>0</v>
      </c>
      <c r="BJ12" s="3064">
        <f>Y11</f>
        <v>0</v>
      </c>
      <c r="BK12" s="3064">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2">
        <f>AR11</f>
        <v>0</v>
      </c>
    </row>
    <row r="13" spans="1:72" s="3013" customFormat="1" ht="12.75">
      <c r="A13" s="3042"/>
      <c r="B13" s="3043"/>
      <c r="C13" s="3042">
        <v>207</v>
      </c>
      <c r="D13" s="3044" t="s">
        <v>557</v>
      </c>
      <c r="E13" s="3028">
        <f>IF($C$3="是",ROUND($A$3*G13/$B$3,2),ROUND($A$3*(G13-AT13)/$B$3,2))</f>
        <v>0</v>
      </c>
      <c r="F13" s="3045"/>
      <c r="G13" s="3046">
        <f>H13+AC13+AT13</f>
        <v>333.8</v>
      </c>
      <c r="H13" s="3031">
        <f>SUMIF(I$12:AB$12,"总值",I13:AB13)</f>
        <v>333.8</v>
      </c>
      <c r="I13" s="3059">
        <v>333.8</v>
      </c>
      <c r="J13" s="3060"/>
      <c r="K13" s="3435"/>
      <c r="L13" s="3060"/>
      <c r="M13" s="3060"/>
      <c r="N13" s="3060"/>
      <c r="O13" s="3060"/>
      <c r="P13" s="3060"/>
      <c r="Q13" s="3060"/>
      <c r="R13" s="3060"/>
      <c r="S13" s="3060"/>
      <c r="T13" s="3060"/>
      <c r="U13" s="3060"/>
      <c r="V13" s="3060"/>
      <c r="W13" s="3060"/>
      <c r="X13" s="3060"/>
      <c r="Y13" s="3060"/>
      <c r="Z13" s="3060"/>
      <c r="AA13" s="3060"/>
      <c r="AB13" s="3060"/>
      <c r="AC13" s="3028">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8">
        <f t="shared" ref="AV13:AX17" si="6">A13</f>
        <v>0</v>
      </c>
      <c r="AW13" s="618">
        <f t="shared" si="6"/>
        <v>0</v>
      </c>
      <c r="AX13" s="618">
        <f t="shared" si="6"/>
        <v>207</v>
      </c>
      <c r="AY13" s="2498">
        <f>ROUND($AY$6*AZ13/$AZ$5,2)</f>
        <v>0</v>
      </c>
      <c r="AZ13" s="3028">
        <f>BA13+BL13</f>
        <v>333.8</v>
      </c>
      <c r="BA13" s="3028">
        <f>SUM(BB13:BK13)</f>
        <v>333.8</v>
      </c>
      <c r="BB13" s="3028">
        <f>IF($D13="是",I13-J13,0)</f>
        <v>333.8</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9">
        <f>IF($D13="是",AR13-AS13,0)</f>
        <v>0</v>
      </c>
    </row>
    <row r="14" spans="1:72" s="3013" customFormat="1" ht="12.75">
      <c r="A14" s="3042"/>
      <c r="B14" s="3043"/>
      <c r="C14" s="3042"/>
      <c r="D14" s="3044"/>
      <c r="E14" s="3028">
        <f>IF($C$3="是",ROUND($A$3*G14/$B$3,2),ROUND($A$3*(G14-AT14)/$B$3,2))</f>
        <v>0</v>
      </c>
      <c r="F14" s="3045"/>
      <c r="G14" s="3046">
        <f>H14+AC14+AT14</f>
        <v>0</v>
      </c>
      <c r="H14" s="3031">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8">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8">
        <f t="shared" si="6"/>
        <v>0</v>
      </c>
      <c r="AW14" s="618">
        <f t="shared" si="6"/>
        <v>0</v>
      </c>
      <c r="AX14" s="618">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9">
        <f>IF($D14="是",AR14-AS14,0)</f>
        <v>0</v>
      </c>
    </row>
    <row r="15" spans="1:72" s="3013" customFormat="1" ht="12.75">
      <c r="A15" s="3042"/>
      <c r="B15" s="3043"/>
      <c r="C15" s="3042"/>
      <c r="D15" s="3044"/>
      <c r="E15" s="3028">
        <f>IF($C$3="是",ROUND($A$3*G15/$B$3,2),ROUND($A$3*(G15-AT15)/$B$3,2))</f>
        <v>0</v>
      </c>
      <c r="F15" s="3045"/>
      <c r="G15" s="3046">
        <f>H15+AC15+AT15</f>
        <v>0</v>
      </c>
      <c r="H15" s="3031">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8">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8">
        <f t="shared" si="6"/>
        <v>0</v>
      </c>
      <c r="AW15" s="618">
        <f t="shared" si="6"/>
        <v>0</v>
      </c>
      <c r="AX15" s="618">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9">
        <f>IF($D15="是",AR15-AS15,0)</f>
        <v>0</v>
      </c>
    </row>
    <row r="16" spans="1:72" s="3013" customFormat="1" ht="12.75">
      <c r="A16" s="3042"/>
      <c r="B16" s="3043"/>
      <c r="C16" s="3042"/>
      <c r="D16" s="3044"/>
      <c r="E16" s="3028">
        <f>IF($C$3="是",ROUND($A$3*G16/$B$3,2),ROUND($A$3*(G16-AT16)/$B$3,2))</f>
        <v>0</v>
      </c>
      <c r="F16" s="3045"/>
      <c r="G16" s="3046">
        <f>H16+AC16+AT16</f>
        <v>0</v>
      </c>
      <c r="H16" s="3031">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8">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8">
        <f t="shared" si="6"/>
        <v>0</v>
      </c>
      <c r="AW16" s="618">
        <f t="shared" si="6"/>
        <v>0</v>
      </c>
      <c r="AX16" s="618">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9">
        <f>IF($D16="是",AR16-AS16,0)</f>
        <v>0</v>
      </c>
    </row>
    <row r="17" spans="1:72" s="3013" customFormat="1" ht="12.75">
      <c r="A17" s="3042"/>
      <c r="B17" s="3043"/>
      <c r="C17" s="3042"/>
      <c r="D17" s="3044"/>
      <c r="E17" s="3028">
        <f>IF($C$3="是",ROUND($A$3*G17/$B$3,2),ROUND($A$3*(G17-AT17)/$B$3,2))</f>
        <v>0</v>
      </c>
      <c r="F17" s="3045"/>
      <c r="G17" s="3046">
        <f>H17+AC17+AT17</f>
        <v>0</v>
      </c>
      <c r="H17" s="3031">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8">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8">
        <f t="shared" si="6"/>
        <v>0</v>
      </c>
      <c r="AW17" s="618">
        <f t="shared" si="6"/>
        <v>0</v>
      </c>
      <c r="AX17" s="618">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9">
        <f>IF($D17="是",AR17-AS17,0)</f>
        <v>0</v>
      </c>
    </row>
    <row r="18" spans="1:72">
      <c r="A18" s="3047"/>
      <c r="B18" s="3048"/>
      <c r="C18" s="3042"/>
      <c r="D18" s="3044"/>
      <c r="E18" s="3049">
        <f t="shared" ref="E18:E112" si="7">IF($C$3="是",ROUND($A$3*G18/$B$3,2),ROUND($A$3*(G18-AT18)/$B$3,2))</f>
        <v>0</v>
      </c>
      <c r="F18" s="3050"/>
      <c r="G18" s="3051">
        <f t="shared" ref="G18:G109" si="8">H18+AC18+AT18</f>
        <v>0</v>
      </c>
      <c r="H18" s="3052">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49">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900">
        <f t="shared" ref="AV18:AV112" si="11">A18</f>
        <v>0</v>
      </c>
      <c r="AW18" s="900">
        <f t="shared" ref="AW18:AW112" si="12">B18</f>
        <v>0</v>
      </c>
      <c r="AX18" s="900">
        <f t="shared" ref="AX18:AX112" si="13">C18</f>
        <v>0</v>
      </c>
      <c r="AY18" s="3096">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3">
        <f t="shared" ref="BT18:BT109" si="35">IF($D18="是",AR18-AS18,0)</f>
        <v>0</v>
      </c>
    </row>
    <row r="19" spans="1:72">
      <c r="A19" s="3047"/>
      <c r="B19" s="3048"/>
      <c r="C19" s="3042"/>
      <c r="D19" s="3044"/>
      <c r="E19" s="3049">
        <f t="shared" si="7"/>
        <v>0</v>
      </c>
      <c r="F19" s="3050"/>
      <c r="G19" s="3051">
        <f t="shared" si="8"/>
        <v>0</v>
      </c>
      <c r="H19" s="3052">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49">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900">
        <f t="shared" si="11"/>
        <v>0</v>
      </c>
      <c r="AW19" s="900">
        <f t="shared" si="12"/>
        <v>0</v>
      </c>
      <c r="AX19" s="900">
        <f t="shared" si="13"/>
        <v>0</v>
      </c>
      <c r="AY19" s="3096">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3">
        <f t="shared" si="35"/>
        <v>0</v>
      </c>
    </row>
    <row r="20" spans="1:72">
      <c r="A20" s="3047"/>
      <c r="B20" s="3048"/>
      <c r="C20" s="3042"/>
      <c r="D20" s="3044"/>
      <c r="E20" s="3049">
        <f t="shared" si="7"/>
        <v>0</v>
      </c>
      <c r="F20" s="3050"/>
      <c r="G20" s="3051">
        <f t="shared" si="8"/>
        <v>0</v>
      </c>
      <c r="H20" s="3052">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49">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900">
        <f t="shared" si="11"/>
        <v>0</v>
      </c>
      <c r="AW20" s="900">
        <f t="shared" si="12"/>
        <v>0</v>
      </c>
      <c r="AX20" s="900">
        <f t="shared" si="13"/>
        <v>0</v>
      </c>
      <c r="AY20" s="3096">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3">
        <f t="shared" si="35"/>
        <v>0</v>
      </c>
    </row>
    <row r="21" spans="1:72">
      <c r="A21" s="3047"/>
      <c r="B21" s="3048">
        <v>2</v>
      </c>
      <c r="C21" s="3042"/>
      <c r="D21" s="3044"/>
      <c r="E21" s="3049">
        <f t="shared" si="7"/>
        <v>0</v>
      </c>
      <c r="F21" s="3050"/>
      <c r="G21" s="3051">
        <f t="shared" si="8"/>
        <v>0</v>
      </c>
      <c r="H21" s="3052">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49">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900">
        <f t="shared" si="11"/>
        <v>0</v>
      </c>
      <c r="AW21" s="900">
        <f t="shared" si="12"/>
        <v>2</v>
      </c>
      <c r="AX21" s="900">
        <f t="shared" si="13"/>
        <v>0</v>
      </c>
      <c r="AY21" s="3096">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3">
        <f t="shared" si="35"/>
        <v>0</v>
      </c>
    </row>
    <row r="22" spans="1:72">
      <c r="A22" s="3047"/>
      <c r="B22" s="3048"/>
      <c r="C22" s="3042"/>
      <c r="D22" s="3044"/>
      <c r="E22" s="3049">
        <f t="shared" si="7"/>
        <v>0</v>
      </c>
      <c r="F22" s="3050"/>
      <c r="G22" s="3051">
        <f t="shared" si="8"/>
        <v>0</v>
      </c>
      <c r="H22" s="3052">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49">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900">
        <f t="shared" si="11"/>
        <v>0</v>
      </c>
      <c r="AW22" s="900">
        <f t="shared" si="12"/>
        <v>0</v>
      </c>
      <c r="AX22" s="900">
        <f t="shared" si="13"/>
        <v>0</v>
      </c>
      <c r="AY22" s="3096">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3">
        <f t="shared" si="35"/>
        <v>0</v>
      </c>
    </row>
    <row r="23" spans="1:72">
      <c r="A23" s="3047"/>
      <c r="B23" s="3048"/>
      <c r="C23" s="3042"/>
      <c r="D23" s="3044"/>
      <c r="E23" s="3049">
        <f t="shared" si="7"/>
        <v>0</v>
      </c>
      <c r="F23" s="3050"/>
      <c r="G23" s="3051">
        <f t="shared" si="8"/>
        <v>0</v>
      </c>
      <c r="H23" s="3052">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49">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900">
        <f t="shared" si="11"/>
        <v>0</v>
      </c>
      <c r="AW23" s="900">
        <f t="shared" si="12"/>
        <v>0</v>
      </c>
      <c r="AX23" s="900">
        <f t="shared" si="13"/>
        <v>0</v>
      </c>
      <c r="AY23" s="3096">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3">
        <f t="shared" si="35"/>
        <v>0</v>
      </c>
    </row>
    <row r="24" spans="1:72">
      <c r="A24" s="3047"/>
      <c r="B24" s="3048"/>
      <c r="C24" s="3042"/>
      <c r="D24" s="3044"/>
      <c r="E24" s="3049">
        <f t="shared" si="7"/>
        <v>0</v>
      </c>
      <c r="F24" s="3050"/>
      <c r="G24" s="3051">
        <f t="shared" si="8"/>
        <v>0</v>
      </c>
      <c r="H24" s="3052">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49">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900">
        <f t="shared" si="11"/>
        <v>0</v>
      </c>
      <c r="AW24" s="900">
        <f t="shared" si="12"/>
        <v>0</v>
      </c>
      <c r="AX24" s="900">
        <f t="shared" si="13"/>
        <v>0</v>
      </c>
      <c r="AY24" s="3096">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3">
        <f t="shared" si="35"/>
        <v>0</v>
      </c>
    </row>
    <row r="25" spans="1:72">
      <c r="A25" s="3047"/>
      <c r="B25" s="3048"/>
      <c r="C25" s="3042"/>
      <c r="D25" s="3044"/>
      <c r="E25" s="3049">
        <f t="shared" si="7"/>
        <v>0</v>
      </c>
      <c r="F25" s="3050"/>
      <c r="G25" s="3051">
        <f t="shared" si="8"/>
        <v>0</v>
      </c>
      <c r="H25" s="3052">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49">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900">
        <f t="shared" si="11"/>
        <v>0</v>
      </c>
      <c r="AW25" s="900">
        <f t="shared" si="12"/>
        <v>0</v>
      </c>
      <c r="AX25" s="900">
        <f t="shared" si="13"/>
        <v>0</v>
      </c>
      <c r="AY25" s="3096">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3">
        <f t="shared" si="35"/>
        <v>0</v>
      </c>
    </row>
    <row r="26" spans="1:72">
      <c r="A26" s="3047"/>
      <c r="B26" s="3048"/>
      <c r="C26" s="3042"/>
      <c r="D26" s="3044"/>
      <c r="E26" s="3049">
        <f t="shared" si="7"/>
        <v>0</v>
      </c>
      <c r="F26" s="3050"/>
      <c r="G26" s="3051">
        <f t="shared" si="8"/>
        <v>0</v>
      </c>
      <c r="H26" s="3052">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49">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900">
        <f t="shared" si="11"/>
        <v>0</v>
      </c>
      <c r="AW26" s="900">
        <f t="shared" si="12"/>
        <v>0</v>
      </c>
      <c r="AX26" s="900">
        <f t="shared" si="13"/>
        <v>0</v>
      </c>
      <c r="AY26" s="3096">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3">
        <f t="shared" si="35"/>
        <v>0</v>
      </c>
    </row>
    <row r="27" spans="1:72">
      <c r="A27" s="3047"/>
      <c r="B27" s="3048"/>
      <c r="C27" s="3042"/>
      <c r="D27" s="3053"/>
      <c r="E27" s="3049">
        <f t="shared" si="7"/>
        <v>0</v>
      </c>
      <c r="F27" s="3050"/>
      <c r="G27" s="3051">
        <f t="shared" si="8"/>
        <v>0</v>
      </c>
      <c r="H27" s="3052">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49">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900">
        <f t="shared" si="11"/>
        <v>0</v>
      </c>
      <c r="AW27" s="900">
        <f t="shared" si="12"/>
        <v>0</v>
      </c>
      <c r="AX27" s="900">
        <f t="shared" si="13"/>
        <v>0</v>
      </c>
      <c r="AY27" s="3096">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3">
        <f t="shared" si="35"/>
        <v>0</v>
      </c>
    </row>
    <row r="28" spans="1:72">
      <c r="A28" s="3047"/>
      <c r="B28" s="3048"/>
      <c r="C28" s="3042"/>
      <c r="D28" s="3053"/>
      <c r="E28" s="3049">
        <f t="shared" si="7"/>
        <v>0</v>
      </c>
      <c r="F28" s="3050"/>
      <c r="G28" s="3051">
        <f t="shared" si="8"/>
        <v>0</v>
      </c>
      <c r="H28" s="3052">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49">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900">
        <f t="shared" si="11"/>
        <v>0</v>
      </c>
      <c r="AW28" s="900">
        <f t="shared" si="12"/>
        <v>0</v>
      </c>
      <c r="AX28" s="900">
        <f t="shared" si="13"/>
        <v>0</v>
      </c>
      <c r="AY28" s="3096">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3">
        <f t="shared" si="35"/>
        <v>0</v>
      </c>
    </row>
    <row r="29" spans="1:72">
      <c r="A29" s="3047"/>
      <c r="B29" s="3048"/>
      <c r="C29" s="3048"/>
      <c r="D29" s="3053"/>
      <c r="E29" s="3049">
        <f t="shared" si="7"/>
        <v>0</v>
      </c>
      <c r="F29" s="3050"/>
      <c r="G29" s="3051">
        <f t="shared" si="8"/>
        <v>0</v>
      </c>
      <c r="H29" s="3052">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49">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900">
        <f t="shared" si="11"/>
        <v>0</v>
      </c>
      <c r="AW29" s="900">
        <f t="shared" si="12"/>
        <v>0</v>
      </c>
      <c r="AX29" s="900">
        <f t="shared" si="13"/>
        <v>0</v>
      </c>
      <c r="AY29" s="3096">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3">
        <f t="shared" si="35"/>
        <v>0</v>
      </c>
    </row>
    <row r="30" spans="1:72">
      <c r="A30" s="3047"/>
      <c r="B30" s="3048"/>
      <c r="C30" s="3048"/>
      <c r="D30" s="3053"/>
      <c r="E30" s="3049">
        <f t="shared" si="7"/>
        <v>0</v>
      </c>
      <c r="F30" s="3050"/>
      <c r="G30" s="3051">
        <f t="shared" si="8"/>
        <v>0</v>
      </c>
      <c r="H30" s="3052">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49">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900">
        <f t="shared" si="11"/>
        <v>0</v>
      </c>
      <c r="AW30" s="900">
        <f t="shared" si="12"/>
        <v>0</v>
      </c>
      <c r="AX30" s="900">
        <f t="shared" si="13"/>
        <v>0</v>
      </c>
      <c r="AY30" s="3096">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3">
        <f t="shared" si="35"/>
        <v>0</v>
      </c>
    </row>
    <row r="31" spans="1:72">
      <c r="A31" s="3047"/>
      <c r="B31" s="3048"/>
      <c r="C31" s="3048"/>
      <c r="D31" s="3053"/>
      <c r="E31" s="3049">
        <f t="shared" si="7"/>
        <v>0</v>
      </c>
      <c r="F31" s="3050"/>
      <c r="G31" s="3051">
        <f t="shared" si="8"/>
        <v>0</v>
      </c>
      <c r="H31" s="3052">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49">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900">
        <f t="shared" si="11"/>
        <v>0</v>
      </c>
      <c r="AW31" s="900">
        <f t="shared" si="12"/>
        <v>0</v>
      </c>
      <c r="AX31" s="900">
        <f t="shared" si="13"/>
        <v>0</v>
      </c>
      <c r="AY31" s="3096">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3">
        <f t="shared" si="35"/>
        <v>0</v>
      </c>
    </row>
    <row r="32" spans="1:72">
      <c r="A32" s="3047"/>
      <c r="B32" s="3048"/>
      <c r="C32" s="3048"/>
      <c r="D32" s="3053"/>
      <c r="E32" s="3049">
        <f t="shared" si="7"/>
        <v>0</v>
      </c>
      <c r="F32" s="3050"/>
      <c r="G32" s="3051">
        <f t="shared" si="8"/>
        <v>0</v>
      </c>
      <c r="H32" s="3052">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49">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900">
        <f t="shared" si="11"/>
        <v>0</v>
      </c>
      <c r="AW32" s="900">
        <f t="shared" si="12"/>
        <v>0</v>
      </c>
      <c r="AX32" s="900">
        <f t="shared" si="13"/>
        <v>0</v>
      </c>
      <c r="AY32" s="3096">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3">
        <f t="shared" si="35"/>
        <v>0</v>
      </c>
    </row>
    <row r="33" spans="1:72">
      <c r="A33" s="3047"/>
      <c r="B33" s="3048"/>
      <c r="C33" s="3048"/>
      <c r="D33" s="3053"/>
      <c r="E33" s="3049">
        <f t="shared" si="7"/>
        <v>0</v>
      </c>
      <c r="F33" s="3050"/>
      <c r="G33" s="3051">
        <f t="shared" si="8"/>
        <v>0</v>
      </c>
      <c r="H33" s="3052">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49">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900">
        <f t="shared" si="11"/>
        <v>0</v>
      </c>
      <c r="AW33" s="900">
        <f t="shared" si="12"/>
        <v>0</v>
      </c>
      <c r="AX33" s="900">
        <f t="shared" si="13"/>
        <v>0</v>
      </c>
      <c r="AY33" s="3096">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3">
        <f t="shared" si="35"/>
        <v>0</v>
      </c>
    </row>
    <row r="34" spans="1:72">
      <c r="A34" s="3047"/>
      <c r="B34" s="3048"/>
      <c r="C34" s="3048"/>
      <c r="D34" s="3053"/>
      <c r="E34" s="3049">
        <f t="shared" si="7"/>
        <v>0</v>
      </c>
      <c r="F34" s="3050"/>
      <c r="G34" s="3051">
        <f t="shared" si="8"/>
        <v>0</v>
      </c>
      <c r="H34" s="3052">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49">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900">
        <f t="shared" si="11"/>
        <v>0</v>
      </c>
      <c r="AW34" s="900">
        <f t="shared" si="12"/>
        <v>0</v>
      </c>
      <c r="AX34" s="900">
        <f t="shared" si="13"/>
        <v>0</v>
      </c>
      <c r="AY34" s="3096">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3">
        <f t="shared" si="35"/>
        <v>0</v>
      </c>
    </row>
    <row r="35" spans="1:72">
      <c r="A35" s="3047"/>
      <c r="B35" s="3048"/>
      <c r="C35" s="3048"/>
      <c r="D35" s="3053"/>
      <c r="E35" s="3049">
        <f t="shared" si="7"/>
        <v>0</v>
      </c>
      <c r="F35" s="3050"/>
      <c r="G35" s="3051">
        <f t="shared" si="8"/>
        <v>0</v>
      </c>
      <c r="H35" s="3052">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49">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900">
        <f t="shared" si="11"/>
        <v>0</v>
      </c>
      <c r="AW35" s="900">
        <f t="shared" si="12"/>
        <v>0</v>
      </c>
      <c r="AX35" s="900">
        <f t="shared" si="13"/>
        <v>0</v>
      </c>
      <c r="AY35" s="3096">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3">
        <f t="shared" si="35"/>
        <v>0</v>
      </c>
    </row>
    <row r="36" spans="1:72">
      <c r="A36" s="3047"/>
      <c r="B36" s="3048"/>
      <c r="C36" s="3048"/>
      <c r="D36" s="3053"/>
      <c r="E36" s="3049">
        <f t="shared" si="7"/>
        <v>0</v>
      </c>
      <c r="F36" s="3050"/>
      <c r="G36" s="3051">
        <f t="shared" si="8"/>
        <v>0</v>
      </c>
      <c r="H36" s="3052">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49">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900">
        <f t="shared" si="11"/>
        <v>0</v>
      </c>
      <c r="AW36" s="900">
        <f t="shared" si="12"/>
        <v>0</v>
      </c>
      <c r="AX36" s="900">
        <f t="shared" si="13"/>
        <v>0</v>
      </c>
      <c r="AY36" s="3096">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3">
        <f t="shared" si="35"/>
        <v>0</v>
      </c>
    </row>
    <row r="37" spans="1:72">
      <c r="A37" s="3047"/>
      <c r="B37" s="3048"/>
      <c r="C37" s="3048"/>
      <c r="D37" s="3053"/>
      <c r="E37" s="3049">
        <f t="shared" si="7"/>
        <v>0</v>
      </c>
      <c r="F37" s="3050"/>
      <c r="G37" s="3051">
        <f t="shared" si="8"/>
        <v>0</v>
      </c>
      <c r="H37" s="3052">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49">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900">
        <f t="shared" si="11"/>
        <v>0</v>
      </c>
      <c r="AW37" s="900">
        <f t="shared" si="12"/>
        <v>0</v>
      </c>
      <c r="AX37" s="900">
        <f t="shared" si="13"/>
        <v>0</v>
      </c>
      <c r="AY37" s="3096">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3">
        <f t="shared" si="35"/>
        <v>0</v>
      </c>
    </row>
    <row r="38" spans="1:72">
      <c r="A38" s="3047"/>
      <c r="B38" s="3048"/>
      <c r="C38" s="3048"/>
      <c r="D38" s="3053"/>
      <c r="E38" s="3049">
        <f t="shared" si="7"/>
        <v>0</v>
      </c>
      <c r="F38" s="3050"/>
      <c r="G38" s="3051">
        <f t="shared" si="8"/>
        <v>0</v>
      </c>
      <c r="H38" s="3052">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49">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900">
        <f t="shared" si="11"/>
        <v>0</v>
      </c>
      <c r="AW38" s="900">
        <f t="shared" si="12"/>
        <v>0</v>
      </c>
      <c r="AX38" s="900">
        <f t="shared" si="13"/>
        <v>0</v>
      </c>
      <c r="AY38" s="3096">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3">
        <f t="shared" si="35"/>
        <v>0</v>
      </c>
    </row>
    <row r="39" spans="1:72">
      <c r="A39" s="3047"/>
      <c r="B39" s="3048"/>
      <c r="C39" s="3048"/>
      <c r="D39" s="3053"/>
      <c r="E39" s="3049">
        <f t="shared" si="7"/>
        <v>0</v>
      </c>
      <c r="F39" s="3050"/>
      <c r="G39" s="3051">
        <f t="shared" si="8"/>
        <v>0</v>
      </c>
      <c r="H39" s="3052">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49">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900">
        <f t="shared" si="11"/>
        <v>0</v>
      </c>
      <c r="AW39" s="900">
        <f t="shared" si="12"/>
        <v>0</v>
      </c>
      <c r="AX39" s="900">
        <f t="shared" si="13"/>
        <v>0</v>
      </c>
      <c r="AY39" s="3096">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3">
        <f t="shared" si="35"/>
        <v>0</v>
      </c>
    </row>
    <row r="40" spans="1:72">
      <c r="A40" s="3047"/>
      <c r="B40" s="3048"/>
      <c r="C40" s="3048"/>
      <c r="D40" s="3053"/>
      <c r="E40" s="3049">
        <f t="shared" si="7"/>
        <v>0</v>
      </c>
      <c r="F40" s="3050"/>
      <c r="G40" s="3051">
        <f t="shared" si="8"/>
        <v>0</v>
      </c>
      <c r="H40" s="3052">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49">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900">
        <f t="shared" si="11"/>
        <v>0</v>
      </c>
      <c r="AW40" s="900">
        <f t="shared" si="12"/>
        <v>0</v>
      </c>
      <c r="AX40" s="900">
        <f t="shared" si="13"/>
        <v>0</v>
      </c>
      <c r="AY40" s="3096">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3">
        <f t="shared" si="35"/>
        <v>0</v>
      </c>
    </row>
    <row r="41" spans="1:72">
      <c r="A41" s="3047"/>
      <c r="B41" s="3048"/>
      <c r="C41" s="3048"/>
      <c r="D41" s="3053"/>
      <c r="E41" s="3049">
        <f t="shared" si="7"/>
        <v>0</v>
      </c>
      <c r="F41" s="3050"/>
      <c r="G41" s="3051">
        <f t="shared" si="8"/>
        <v>0</v>
      </c>
      <c r="H41" s="3052">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49">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900">
        <f t="shared" si="11"/>
        <v>0</v>
      </c>
      <c r="AW41" s="900">
        <f t="shared" si="12"/>
        <v>0</v>
      </c>
      <c r="AX41" s="900">
        <f t="shared" si="13"/>
        <v>0</v>
      </c>
      <c r="AY41" s="3096">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3">
        <f t="shared" si="35"/>
        <v>0</v>
      </c>
    </row>
    <row r="42" spans="1:72">
      <c r="A42" s="3047"/>
      <c r="B42" s="3048"/>
      <c r="C42" s="3048"/>
      <c r="D42" s="3053"/>
      <c r="E42" s="3049">
        <f t="shared" si="7"/>
        <v>0</v>
      </c>
      <c r="F42" s="3050"/>
      <c r="G42" s="3051">
        <f t="shared" si="8"/>
        <v>0</v>
      </c>
      <c r="H42" s="3052">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49">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900">
        <f t="shared" si="11"/>
        <v>0</v>
      </c>
      <c r="AW42" s="900">
        <f t="shared" si="12"/>
        <v>0</v>
      </c>
      <c r="AX42" s="900">
        <f t="shared" si="13"/>
        <v>0</v>
      </c>
      <c r="AY42" s="3096">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3">
        <f t="shared" si="35"/>
        <v>0</v>
      </c>
    </row>
    <row r="43" spans="1:72">
      <c r="A43" s="3047"/>
      <c r="B43" s="3048"/>
      <c r="C43" s="3048"/>
      <c r="D43" s="3053"/>
      <c r="E43" s="3049">
        <f t="shared" si="7"/>
        <v>0</v>
      </c>
      <c r="F43" s="3050"/>
      <c r="G43" s="3051">
        <f t="shared" si="8"/>
        <v>0</v>
      </c>
      <c r="H43" s="3052">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49">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900">
        <f t="shared" si="11"/>
        <v>0</v>
      </c>
      <c r="AW43" s="900">
        <f t="shared" si="12"/>
        <v>0</v>
      </c>
      <c r="AX43" s="900">
        <f t="shared" si="13"/>
        <v>0</v>
      </c>
      <c r="AY43" s="3096">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3">
        <f t="shared" si="35"/>
        <v>0</v>
      </c>
    </row>
    <row r="44" spans="1:72">
      <c r="A44" s="3047"/>
      <c r="B44" s="3048"/>
      <c r="C44" s="3048"/>
      <c r="D44" s="3053"/>
      <c r="E44" s="3049">
        <f t="shared" si="7"/>
        <v>0</v>
      </c>
      <c r="F44" s="3050"/>
      <c r="G44" s="3051">
        <f t="shared" si="8"/>
        <v>0</v>
      </c>
      <c r="H44" s="3052">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49">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900">
        <f t="shared" si="11"/>
        <v>0</v>
      </c>
      <c r="AW44" s="900">
        <f t="shared" si="12"/>
        <v>0</v>
      </c>
      <c r="AX44" s="900">
        <f t="shared" si="13"/>
        <v>0</v>
      </c>
      <c r="AY44" s="3096">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3">
        <f t="shared" si="35"/>
        <v>0</v>
      </c>
    </row>
    <row r="45" spans="1:72">
      <c r="A45" s="3047"/>
      <c r="B45" s="3048"/>
      <c r="C45" s="3048"/>
      <c r="D45" s="3053"/>
      <c r="E45" s="3049">
        <f t="shared" si="7"/>
        <v>0</v>
      </c>
      <c r="F45" s="3050"/>
      <c r="G45" s="3051">
        <f t="shared" si="8"/>
        <v>0</v>
      </c>
      <c r="H45" s="3052">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49">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900">
        <f t="shared" si="11"/>
        <v>0</v>
      </c>
      <c r="AW45" s="900">
        <f t="shared" si="12"/>
        <v>0</v>
      </c>
      <c r="AX45" s="900">
        <f t="shared" si="13"/>
        <v>0</v>
      </c>
      <c r="AY45" s="3096">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3">
        <f t="shared" si="35"/>
        <v>0</v>
      </c>
    </row>
    <row r="46" spans="1:72">
      <c r="A46" s="3047"/>
      <c r="B46" s="3048"/>
      <c r="C46" s="3048"/>
      <c r="D46" s="3053"/>
      <c r="E46" s="3049">
        <f t="shared" si="7"/>
        <v>0</v>
      </c>
      <c r="F46" s="3050"/>
      <c r="G46" s="3051">
        <f t="shared" si="8"/>
        <v>0</v>
      </c>
      <c r="H46" s="3052">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49">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900">
        <f t="shared" si="11"/>
        <v>0</v>
      </c>
      <c r="AW46" s="900">
        <f t="shared" si="12"/>
        <v>0</v>
      </c>
      <c r="AX46" s="900">
        <f t="shared" si="13"/>
        <v>0</v>
      </c>
      <c r="AY46" s="3096">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3">
        <f t="shared" si="35"/>
        <v>0</v>
      </c>
    </row>
    <row r="47" spans="1:72">
      <c r="A47" s="3047"/>
      <c r="B47" s="3048"/>
      <c r="C47" s="3048"/>
      <c r="D47" s="3053"/>
      <c r="E47" s="3049">
        <f t="shared" si="7"/>
        <v>0</v>
      </c>
      <c r="F47" s="3050"/>
      <c r="G47" s="3051">
        <f t="shared" si="8"/>
        <v>0</v>
      </c>
      <c r="H47" s="3052">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49">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900">
        <f t="shared" si="11"/>
        <v>0</v>
      </c>
      <c r="AW47" s="900">
        <f t="shared" si="12"/>
        <v>0</v>
      </c>
      <c r="AX47" s="900">
        <f t="shared" si="13"/>
        <v>0</v>
      </c>
      <c r="AY47" s="3096">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3">
        <f t="shared" si="35"/>
        <v>0</v>
      </c>
    </row>
    <row r="48" spans="1:72">
      <c r="A48" s="3047"/>
      <c r="B48" s="3048"/>
      <c r="C48" s="3048"/>
      <c r="D48" s="3053"/>
      <c r="E48" s="3049">
        <f t="shared" si="7"/>
        <v>0</v>
      </c>
      <c r="F48" s="3050"/>
      <c r="G48" s="3051">
        <f t="shared" si="8"/>
        <v>0</v>
      </c>
      <c r="H48" s="3052">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49">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900">
        <f t="shared" si="11"/>
        <v>0</v>
      </c>
      <c r="AW48" s="900">
        <f t="shared" si="12"/>
        <v>0</v>
      </c>
      <c r="AX48" s="900">
        <f t="shared" si="13"/>
        <v>0</v>
      </c>
      <c r="AY48" s="3096">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3">
        <f t="shared" si="35"/>
        <v>0</v>
      </c>
    </row>
    <row r="49" spans="1:72">
      <c r="A49" s="3047"/>
      <c r="B49" s="3048"/>
      <c r="C49" s="3048"/>
      <c r="D49" s="3053"/>
      <c r="E49" s="3049">
        <f t="shared" si="7"/>
        <v>0</v>
      </c>
      <c r="F49" s="3050"/>
      <c r="G49" s="3051">
        <f t="shared" si="8"/>
        <v>0</v>
      </c>
      <c r="H49" s="3052">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49">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900">
        <f t="shared" si="11"/>
        <v>0</v>
      </c>
      <c r="AW49" s="900">
        <f t="shared" si="12"/>
        <v>0</v>
      </c>
      <c r="AX49" s="900">
        <f t="shared" si="13"/>
        <v>0</v>
      </c>
      <c r="AY49" s="3096">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3">
        <f t="shared" si="35"/>
        <v>0</v>
      </c>
    </row>
    <row r="50" spans="1:72">
      <c r="A50" s="3047"/>
      <c r="B50" s="3048"/>
      <c r="C50" s="3048"/>
      <c r="D50" s="3053"/>
      <c r="E50" s="3049">
        <f t="shared" si="7"/>
        <v>0</v>
      </c>
      <c r="F50" s="3050"/>
      <c r="G50" s="3051">
        <f t="shared" si="8"/>
        <v>0</v>
      </c>
      <c r="H50" s="3052">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49">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900">
        <f t="shared" si="11"/>
        <v>0</v>
      </c>
      <c r="AW50" s="900">
        <f t="shared" si="12"/>
        <v>0</v>
      </c>
      <c r="AX50" s="900">
        <f t="shared" si="13"/>
        <v>0</v>
      </c>
      <c r="AY50" s="3096">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3">
        <f t="shared" si="35"/>
        <v>0</v>
      </c>
    </row>
    <row r="51" spans="1:72">
      <c r="A51" s="3047"/>
      <c r="B51" s="3048"/>
      <c r="C51" s="3048"/>
      <c r="D51" s="3053"/>
      <c r="E51" s="3049">
        <f t="shared" si="7"/>
        <v>0</v>
      </c>
      <c r="F51" s="3050"/>
      <c r="G51" s="3051">
        <f t="shared" si="8"/>
        <v>0</v>
      </c>
      <c r="H51" s="3052">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49">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900">
        <f t="shared" si="11"/>
        <v>0</v>
      </c>
      <c r="AW51" s="900">
        <f t="shared" si="12"/>
        <v>0</v>
      </c>
      <c r="AX51" s="900">
        <f t="shared" si="13"/>
        <v>0</v>
      </c>
      <c r="AY51" s="3096">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3">
        <f t="shared" si="35"/>
        <v>0</v>
      </c>
    </row>
    <row r="52" spans="1:72">
      <c r="A52" s="3047"/>
      <c r="B52" s="3048"/>
      <c r="C52" s="3048"/>
      <c r="D52" s="3053"/>
      <c r="E52" s="3049">
        <f t="shared" si="7"/>
        <v>0</v>
      </c>
      <c r="F52" s="3050"/>
      <c r="G52" s="3051">
        <f t="shared" si="8"/>
        <v>0</v>
      </c>
      <c r="H52" s="3052">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49">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900">
        <f t="shared" si="11"/>
        <v>0</v>
      </c>
      <c r="AW52" s="900">
        <f t="shared" si="12"/>
        <v>0</v>
      </c>
      <c r="AX52" s="900">
        <f t="shared" si="13"/>
        <v>0</v>
      </c>
      <c r="AY52" s="3096">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3">
        <f t="shared" si="35"/>
        <v>0</v>
      </c>
    </row>
    <row r="53" spans="1:72">
      <c r="A53" s="3047"/>
      <c r="B53" s="3048"/>
      <c r="C53" s="3048"/>
      <c r="D53" s="3053"/>
      <c r="E53" s="3049">
        <f t="shared" si="7"/>
        <v>0</v>
      </c>
      <c r="F53" s="3050"/>
      <c r="G53" s="3051">
        <f t="shared" si="8"/>
        <v>0</v>
      </c>
      <c r="H53" s="3052">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49">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900">
        <f t="shared" si="11"/>
        <v>0</v>
      </c>
      <c r="AW53" s="900">
        <f t="shared" si="12"/>
        <v>0</v>
      </c>
      <c r="AX53" s="900">
        <f t="shared" si="13"/>
        <v>0</v>
      </c>
      <c r="AY53" s="3096">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3">
        <f t="shared" si="35"/>
        <v>0</v>
      </c>
    </row>
    <row r="54" spans="1:72">
      <c r="A54" s="3047"/>
      <c r="B54" s="3048"/>
      <c r="C54" s="3048"/>
      <c r="D54" s="3053"/>
      <c r="E54" s="3049">
        <f t="shared" si="7"/>
        <v>0</v>
      </c>
      <c r="F54" s="3050"/>
      <c r="G54" s="3051">
        <f t="shared" si="8"/>
        <v>0</v>
      </c>
      <c r="H54" s="3052">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49">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900">
        <f t="shared" si="11"/>
        <v>0</v>
      </c>
      <c r="AW54" s="900">
        <f t="shared" si="12"/>
        <v>0</v>
      </c>
      <c r="AX54" s="900">
        <f t="shared" si="13"/>
        <v>0</v>
      </c>
      <c r="AY54" s="3096">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3">
        <f t="shared" si="35"/>
        <v>0</v>
      </c>
    </row>
    <row r="55" spans="1:72">
      <c r="A55" s="3047"/>
      <c r="B55" s="3048"/>
      <c r="C55" s="3048"/>
      <c r="D55" s="3053"/>
      <c r="E55" s="3049">
        <f t="shared" si="7"/>
        <v>0</v>
      </c>
      <c r="F55" s="3050"/>
      <c r="G55" s="3051">
        <f t="shared" si="8"/>
        <v>0</v>
      </c>
      <c r="H55" s="3052">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49">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900">
        <f t="shared" si="11"/>
        <v>0</v>
      </c>
      <c r="AW55" s="900">
        <f t="shared" si="12"/>
        <v>0</v>
      </c>
      <c r="AX55" s="900">
        <f t="shared" si="13"/>
        <v>0</v>
      </c>
      <c r="AY55" s="3096">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3">
        <f t="shared" si="35"/>
        <v>0</v>
      </c>
    </row>
    <row r="56" spans="1:72">
      <c r="A56" s="3047"/>
      <c r="B56" s="3048"/>
      <c r="C56" s="3048"/>
      <c r="D56" s="3053"/>
      <c r="E56" s="3049">
        <f t="shared" si="7"/>
        <v>0</v>
      </c>
      <c r="F56" s="3050"/>
      <c r="G56" s="3051">
        <f t="shared" si="8"/>
        <v>0</v>
      </c>
      <c r="H56" s="3052">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49">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900">
        <f t="shared" si="11"/>
        <v>0</v>
      </c>
      <c r="AW56" s="900">
        <f t="shared" si="12"/>
        <v>0</v>
      </c>
      <c r="AX56" s="900">
        <f t="shared" si="13"/>
        <v>0</v>
      </c>
      <c r="AY56" s="3096">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3">
        <f t="shared" si="35"/>
        <v>0</v>
      </c>
    </row>
    <row r="57" spans="1:72">
      <c r="A57" s="3047"/>
      <c r="B57" s="3048"/>
      <c r="C57" s="3048"/>
      <c r="D57" s="3053"/>
      <c r="E57" s="3049">
        <f t="shared" si="7"/>
        <v>0</v>
      </c>
      <c r="F57" s="3050"/>
      <c r="G57" s="3051">
        <f t="shared" si="8"/>
        <v>0</v>
      </c>
      <c r="H57" s="3052">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49">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900">
        <f t="shared" si="11"/>
        <v>0</v>
      </c>
      <c r="AW57" s="900">
        <f t="shared" si="12"/>
        <v>0</v>
      </c>
      <c r="AX57" s="900">
        <f t="shared" si="13"/>
        <v>0</v>
      </c>
      <c r="AY57" s="3096">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3">
        <f t="shared" si="35"/>
        <v>0</v>
      </c>
    </row>
    <row r="58" spans="1:72">
      <c r="A58" s="3047"/>
      <c r="B58" s="3048"/>
      <c r="C58" s="3048"/>
      <c r="D58" s="3053"/>
      <c r="E58" s="3049">
        <f t="shared" si="7"/>
        <v>0</v>
      </c>
      <c r="F58" s="3050"/>
      <c r="G58" s="3051">
        <f t="shared" si="8"/>
        <v>0</v>
      </c>
      <c r="H58" s="3052">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49">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900">
        <f t="shared" si="11"/>
        <v>0</v>
      </c>
      <c r="AW58" s="900">
        <f t="shared" si="12"/>
        <v>0</v>
      </c>
      <c r="AX58" s="900">
        <f t="shared" si="13"/>
        <v>0</v>
      </c>
      <c r="AY58" s="3096">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3">
        <f t="shared" si="35"/>
        <v>0</v>
      </c>
    </row>
    <row r="59" spans="1:72">
      <c r="A59" s="3047"/>
      <c r="B59" s="3048"/>
      <c r="C59" s="3048"/>
      <c r="D59" s="3053"/>
      <c r="E59" s="3049">
        <f t="shared" si="7"/>
        <v>0</v>
      </c>
      <c r="F59" s="3050"/>
      <c r="G59" s="3051">
        <f t="shared" si="8"/>
        <v>0</v>
      </c>
      <c r="H59" s="3052">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49">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900">
        <f t="shared" si="11"/>
        <v>0</v>
      </c>
      <c r="AW59" s="900">
        <f t="shared" si="12"/>
        <v>0</v>
      </c>
      <c r="AX59" s="900">
        <f t="shared" si="13"/>
        <v>0</v>
      </c>
      <c r="AY59" s="3096">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3">
        <f t="shared" si="35"/>
        <v>0</v>
      </c>
    </row>
    <row r="60" spans="1:72">
      <c r="A60" s="3047"/>
      <c r="B60" s="3048"/>
      <c r="C60" s="3048"/>
      <c r="D60" s="3053"/>
      <c r="E60" s="3049">
        <f t="shared" si="7"/>
        <v>0</v>
      </c>
      <c r="F60" s="3050"/>
      <c r="G60" s="3051">
        <f t="shared" si="8"/>
        <v>0</v>
      </c>
      <c r="H60" s="3052">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49">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900">
        <f t="shared" si="11"/>
        <v>0</v>
      </c>
      <c r="AW60" s="900">
        <f t="shared" si="12"/>
        <v>0</v>
      </c>
      <c r="AX60" s="900">
        <f t="shared" si="13"/>
        <v>0</v>
      </c>
      <c r="AY60" s="3096">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3">
        <f t="shared" si="35"/>
        <v>0</v>
      </c>
    </row>
    <row r="61" spans="1:72">
      <c r="A61" s="3047"/>
      <c r="B61" s="3048"/>
      <c r="C61" s="3048"/>
      <c r="D61" s="3053"/>
      <c r="E61" s="3049">
        <f t="shared" si="7"/>
        <v>0</v>
      </c>
      <c r="F61" s="3050"/>
      <c r="G61" s="3051">
        <f t="shared" si="8"/>
        <v>0</v>
      </c>
      <c r="H61" s="3052">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49">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900">
        <f t="shared" si="11"/>
        <v>0</v>
      </c>
      <c r="AW61" s="900">
        <f t="shared" si="12"/>
        <v>0</v>
      </c>
      <c r="AX61" s="900">
        <f t="shared" si="13"/>
        <v>0</v>
      </c>
      <c r="AY61" s="3096">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3">
        <f t="shared" si="35"/>
        <v>0</v>
      </c>
    </row>
    <row r="62" spans="1:72">
      <c r="A62" s="3047"/>
      <c r="B62" s="3048"/>
      <c r="C62" s="3048"/>
      <c r="D62" s="3053"/>
      <c r="E62" s="3049">
        <f t="shared" si="7"/>
        <v>0</v>
      </c>
      <c r="F62" s="3050"/>
      <c r="G62" s="3051">
        <f t="shared" si="8"/>
        <v>0</v>
      </c>
      <c r="H62" s="3052">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49">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900">
        <f t="shared" si="11"/>
        <v>0</v>
      </c>
      <c r="AW62" s="900">
        <f t="shared" si="12"/>
        <v>0</v>
      </c>
      <c r="AX62" s="900">
        <f t="shared" si="13"/>
        <v>0</v>
      </c>
      <c r="AY62" s="3096">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3">
        <f t="shared" si="35"/>
        <v>0</v>
      </c>
    </row>
    <row r="63" spans="1:72">
      <c r="A63" s="3047"/>
      <c r="B63" s="3048"/>
      <c r="C63" s="3048"/>
      <c r="D63" s="3053"/>
      <c r="E63" s="3049">
        <f t="shared" si="7"/>
        <v>0</v>
      </c>
      <c r="F63" s="3050"/>
      <c r="G63" s="3051">
        <f t="shared" si="8"/>
        <v>0</v>
      </c>
      <c r="H63" s="3052">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49">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900">
        <f t="shared" si="11"/>
        <v>0</v>
      </c>
      <c r="AW63" s="900">
        <f t="shared" si="12"/>
        <v>0</v>
      </c>
      <c r="AX63" s="900">
        <f t="shared" si="13"/>
        <v>0</v>
      </c>
      <c r="AY63" s="3096">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3">
        <f t="shared" si="35"/>
        <v>0</v>
      </c>
    </row>
    <row r="64" spans="1:72">
      <c r="A64" s="3047"/>
      <c r="B64" s="3048"/>
      <c r="C64" s="3048"/>
      <c r="D64" s="3053"/>
      <c r="E64" s="3049">
        <f t="shared" si="7"/>
        <v>0</v>
      </c>
      <c r="F64" s="3050"/>
      <c r="G64" s="3051">
        <f t="shared" si="8"/>
        <v>0</v>
      </c>
      <c r="H64" s="3052">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49">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900">
        <f t="shared" si="11"/>
        <v>0</v>
      </c>
      <c r="AW64" s="900">
        <f t="shared" si="12"/>
        <v>0</v>
      </c>
      <c r="AX64" s="900">
        <f t="shared" si="13"/>
        <v>0</v>
      </c>
      <c r="AY64" s="3096">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3">
        <f t="shared" si="35"/>
        <v>0</v>
      </c>
    </row>
    <row r="65" spans="1:72">
      <c r="A65" s="3047"/>
      <c r="B65" s="3048"/>
      <c r="C65" s="3048"/>
      <c r="D65" s="3053"/>
      <c r="E65" s="3049">
        <f t="shared" si="7"/>
        <v>0</v>
      </c>
      <c r="F65" s="3050"/>
      <c r="G65" s="3051">
        <f t="shared" si="8"/>
        <v>0</v>
      </c>
      <c r="H65" s="3052">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49">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900">
        <f t="shared" si="11"/>
        <v>0</v>
      </c>
      <c r="AW65" s="900">
        <f t="shared" si="12"/>
        <v>0</v>
      </c>
      <c r="AX65" s="900">
        <f t="shared" si="13"/>
        <v>0</v>
      </c>
      <c r="AY65" s="3096">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3">
        <f t="shared" si="35"/>
        <v>0</v>
      </c>
    </row>
    <row r="66" spans="1:72">
      <c r="A66" s="3047"/>
      <c r="B66" s="3048"/>
      <c r="C66" s="3048"/>
      <c r="D66" s="3053"/>
      <c r="E66" s="3049">
        <f t="shared" si="7"/>
        <v>0</v>
      </c>
      <c r="F66" s="3050"/>
      <c r="G66" s="3051">
        <f t="shared" si="8"/>
        <v>0</v>
      </c>
      <c r="H66" s="3052">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49">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900">
        <f t="shared" si="11"/>
        <v>0</v>
      </c>
      <c r="AW66" s="900">
        <f t="shared" si="12"/>
        <v>0</v>
      </c>
      <c r="AX66" s="900">
        <f t="shared" si="13"/>
        <v>0</v>
      </c>
      <c r="AY66" s="3096">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3">
        <f t="shared" si="35"/>
        <v>0</v>
      </c>
    </row>
    <row r="67" spans="1:72">
      <c r="A67" s="3047"/>
      <c r="B67" s="3048"/>
      <c r="C67" s="3048"/>
      <c r="D67" s="3053"/>
      <c r="E67" s="3049">
        <f t="shared" si="7"/>
        <v>0</v>
      </c>
      <c r="F67" s="3050"/>
      <c r="G67" s="3051">
        <f t="shared" si="8"/>
        <v>0</v>
      </c>
      <c r="H67" s="3052">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49">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900">
        <f t="shared" si="11"/>
        <v>0</v>
      </c>
      <c r="AW67" s="900">
        <f t="shared" si="12"/>
        <v>0</v>
      </c>
      <c r="AX67" s="900">
        <f t="shared" si="13"/>
        <v>0</v>
      </c>
      <c r="AY67" s="3096">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3">
        <f t="shared" si="35"/>
        <v>0</v>
      </c>
    </row>
    <row r="68" spans="1:72">
      <c r="A68" s="3047"/>
      <c r="B68" s="3048"/>
      <c r="C68" s="3048"/>
      <c r="D68" s="3053"/>
      <c r="E68" s="3049">
        <f t="shared" si="7"/>
        <v>0</v>
      </c>
      <c r="F68" s="3050"/>
      <c r="G68" s="3051">
        <f t="shared" si="8"/>
        <v>0</v>
      </c>
      <c r="H68" s="3052">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49">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900">
        <f t="shared" si="11"/>
        <v>0</v>
      </c>
      <c r="AW68" s="900">
        <f t="shared" si="12"/>
        <v>0</v>
      </c>
      <c r="AX68" s="900">
        <f t="shared" si="13"/>
        <v>0</v>
      </c>
      <c r="AY68" s="3096">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3">
        <f t="shared" si="35"/>
        <v>0</v>
      </c>
    </row>
    <row r="69" spans="1:72">
      <c r="A69" s="3047"/>
      <c r="B69" s="3048"/>
      <c r="C69" s="3048"/>
      <c r="D69" s="3053"/>
      <c r="E69" s="3049">
        <f t="shared" si="7"/>
        <v>0</v>
      </c>
      <c r="F69" s="3050"/>
      <c r="G69" s="3051">
        <f t="shared" si="8"/>
        <v>0</v>
      </c>
      <c r="H69" s="3052">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49">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900">
        <f t="shared" si="11"/>
        <v>0</v>
      </c>
      <c r="AW69" s="900">
        <f t="shared" si="12"/>
        <v>0</v>
      </c>
      <c r="AX69" s="900">
        <f t="shared" si="13"/>
        <v>0</v>
      </c>
      <c r="AY69" s="3096">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3">
        <f t="shared" si="35"/>
        <v>0</v>
      </c>
    </row>
    <row r="70" spans="1:72">
      <c r="A70" s="3047"/>
      <c r="B70" s="3048"/>
      <c r="C70" s="3048"/>
      <c r="D70" s="3053"/>
      <c r="E70" s="3049">
        <f t="shared" si="7"/>
        <v>0</v>
      </c>
      <c r="F70" s="3050"/>
      <c r="G70" s="3051">
        <f t="shared" si="8"/>
        <v>0</v>
      </c>
      <c r="H70" s="3052">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49">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900">
        <f t="shared" si="11"/>
        <v>0</v>
      </c>
      <c r="AW70" s="900">
        <f t="shared" si="12"/>
        <v>0</v>
      </c>
      <c r="AX70" s="900">
        <f t="shared" si="13"/>
        <v>0</v>
      </c>
      <c r="AY70" s="3096">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3">
        <f t="shared" si="35"/>
        <v>0</v>
      </c>
    </row>
    <row r="71" spans="1:72">
      <c r="A71" s="3047"/>
      <c r="B71" s="3048"/>
      <c r="C71" s="3048"/>
      <c r="D71" s="3053"/>
      <c r="E71" s="3049">
        <f t="shared" si="7"/>
        <v>0</v>
      </c>
      <c r="F71" s="3050"/>
      <c r="G71" s="3051">
        <f t="shared" si="8"/>
        <v>0</v>
      </c>
      <c r="H71" s="3052">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49">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900">
        <f t="shared" si="11"/>
        <v>0</v>
      </c>
      <c r="AW71" s="900">
        <f t="shared" si="12"/>
        <v>0</v>
      </c>
      <c r="AX71" s="900">
        <f t="shared" si="13"/>
        <v>0</v>
      </c>
      <c r="AY71" s="3096">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3">
        <f t="shared" si="35"/>
        <v>0</v>
      </c>
    </row>
    <row r="72" spans="1:72">
      <c r="A72" s="3047"/>
      <c r="B72" s="3048"/>
      <c r="C72" s="3048"/>
      <c r="D72" s="3053"/>
      <c r="E72" s="3049">
        <f t="shared" si="7"/>
        <v>0</v>
      </c>
      <c r="F72" s="3050"/>
      <c r="G72" s="3051">
        <f t="shared" si="8"/>
        <v>0</v>
      </c>
      <c r="H72" s="3052">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49">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900">
        <f t="shared" si="11"/>
        <v>0</v>
      </c>
      <c r="AW72" s="900">
        <f t="shared" si="12"/>
        <v>0</v>
      </c>
      <c r="AX72" s="900">
        <f t="shared" si="13"/>
        <v>0</v>
      </c>
      <c r="AY72" s="3096">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3">
        <f t="shared" si="35"/>
        <v>0</v>
      </c>
    </row>
    <row r="73" spans="1:72">
      <c r="A73" s="3047"/>
      <c r="B73" s="3048"/>
      <c r="C73" s="3048"/>
      <c r="D73" s="3053"/>
      <c r="E73" s="3049">
        <f t="shared" si="7"/>
        <v>0</v>
      </c>
      <c r="F73" s="3050"/>
      <c r="G73" s="3051">
        <f t="shared" si="8"/>
        <v>0</v>
      </c>
      <c r="H73" s="3052">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49">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900">
        <f t="shared" si="11"/>
        <v>0</v>
      </c>
      <c r="AW73" s="900">
        <f t="shared" si="12"/>
        <v>0</v>
      </c>
      <c r="AX73" s="900">
        <f t="shared" si="13"/>
        <v>0</v>
      </c>
      <c r="AY73" s="3096">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3">
        <f t="shared" si="35"/>
        <v>0</v>
      </c>
    </row>
    <row r="74" spans="1:72">
      <c r="A74" s="3047"/>
      <c r="B74" s="3048"/>
      <c r="C74" s="3048"/>
      <c r="D74" s="3053"/>
      <c r="E74" s="3049">
        <f t="shared" si="7"/>
        <v>0</v>
      </c>
      <c r="F74" s="3050"/>
      <c r="G74" s="3051">
        <f t="shared" si="8"/>
        <v>0</v>
      </c>
      <c r="H74" s="3052">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49">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900">
        <f t="shared" si="11"/>
        <v>0</v>
      </c>
      <c r="AW74" s="900">
        <f t="shared" si="12"/>
        <v>0</v>
      </c>
      <c r="AX74" s="900">
        <f t="shared" si="13"/>
        <v>0</v>
      </c>
      <c r="AY74" s="3096">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3">
        <f t="shared" si="35"/>
        <v>0</v>
      </c>
    </row>
    <row r="75" spans="1:72">
      <c r="A75" s="3047"/>
      <c r="B75" s="3048"/>
      <c r="C75" s="3048"/>
      <c r="D75" s="3053"/>
      <c r="E75" s="3049">
        <f t="shared" si="7"/>
        <v>0</v>
      </c>
      <c r="F75" s="3050"/>
      <c r="G75" s="3051">
        <f t="shared" si="8"/>
        <v>0</v>
      </c>
      <c r="H75" s="3052">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49">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900">
        <f t="shared" si="11"/>
        <v>0</v>
      </c>
      <c r="AW75" s="900">
        <f t="shared" si="12"/>
        <v>0</v>
      </c>
      <c r="AX75" s="900">
        <f t="shared" si="13"/>
        <v>0</v>
      </c>
      <c r="AY75" s="3096">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3">
        <f t="shared" si="35"/>
        <v>0</v>
      </c>
    </row>
    <row r="76" spans="1:72">
      <c r="A76" s="3047"/>
      <c r="B76" s="3048"/>
      <c r="C76" s="3048"/>
      <c r="D76" s="3053"/>
      <c r="E76" s="3049">
        <f t="shared" si="7"/>
        <v>0</v>
      </c>
      <c r="F76" s="3050"/>
      <c r="G76" s="3051">
        <f t="shared" si="8"/>
        <v>0</v>
      </c>
      <c r="H76" s="3052">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49">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900">
        <f t="shared" si="11"/>
        <v>0</v>
      </c>
      <c r="AW76" s="900">
        <f t="shared" si="12"/>
        <v>0</v>
      </c>
      <c r="AX76" s="900">
        <f t="shared" si="13"/>
        <v>0</v>
      </c>
      <c r="AY76" s="3096">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3">
        <f t="shared" si="35"/>
        <v>0</v>
      </c>
    </row>
    <row r="77" spans="1:72">
      <c r="A77" s="3047"/>
      <c r="B77" s="3048"/>
      <c r="C77" s="3048"/>
      <c r="D77" s="3053"/>
      <c r="E77" s="3049">
        <f t="shared" si="7"/>
        <v>0</v>
      </c>
      <c r="F77" s="3050"/>
      <c r="G77" s="3051">
        <f t="shared" si="8"/>
        <v>0</v>
      </c>
      <c r="H77" s="3052">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49">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900">
        <f t="shared" si="11"/>
        <v>0</v>
      </c>
      <c r="AW77" s="900">
        <f t="shared" si="12"/>
        <v>0</v>
      </c>
      <c r="AX77" s="900">
        <f t="shared" si="13"/>
        <v>0</v>
      </c>
      <c r="AY77" s="3096">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3">
        <f t="shared" si="35"/>
        <v>0</v>
      </c>
    </row>
    <row r="78" spans="1:72">
      <c r="A78" s="3047"/>
      <c r="B78" s="3048"/>
      <c r="C78" s="3048"/>
      <c r="D78" s="3053"/>
      <c r="E78" s="3049">
        <f t="shared" si="7"/>
        <v>0</v>
      </c>
      <c r="F78" s="3050"/>
      <c r="G78" s="3051">
        <f t="shared" si="8"/>
        <v>0</v>
      </c>
      <c r="H78" s="3052">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49">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900">
        <f t="shared" si="11"/>
        <v>0</v>
      </c>
      <c r="AW78" s="900">
        <f t="shared" si="12"/>
        <v>0</v>
      </c>
      <c r="AX78" s="900">
        <f t="shared" si="13"/>
        <v>0</v>
      </c>
      <c r="AY78" s="3096">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3">
        <f t="shared" si="35"/>
        <v>0</v>
      </c>
    </row>
    <row r="79" spans="1:72">
      <c r="A79" s="3047"/>
      <c r="B79" s="3048"/>
      <c r="C79" s="3048"/>
      <c r="D79" s="3053"/>
      <c r="E79" s="3049">
        <f t="shared" si="7"/>
        <v>0</v>
      </c>
      <c r="F79" s="3050"/>
      <c r="G79" s="3051">
        <f t="shared" si="8"/>
        <v>0</v>
      </c>
      <c r="H79" s="3052">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49">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900">
        <f t="shared" si="11"/>
        <v>0</v>
      </c>
      <c r="AW79" s="900">
        <f t="shared" si="12"/>
        <v>0</v>
      </c>
      <c r="AX79" s="900">
        <f t="shared" si="13"/>
        <v>0</v>
      </c>
      <c r="AY79" s="3096">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3">
        <f t="shared" si="35"/>
        <v>0</v>
      </c>
    </row>
    <row r="80" spans="1:72">
      <c r="A80" s="3047"/>
      <c r="B80" s="3048"/>
      <c r="C80" s="3048"/>
      <c r="D80" s="3053"/>
      <c r="E80" s="3049">
        <f t="shared" si="7"/>
        <v>0</v>
      </c>
      <c r="F80" s="3050"/>
      <c r="G80" s="3051">
        <f t="shared" si="8"/>
        <v>0</v>
      </c>
      <c r="H80" s="3052">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49">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900">
        <f t="shared" si="11"/>
        <v>0</v>
      </c>
      <c r="AW80" s="900">
        <f t="shared" si="12"/>
        <v>0</v>
      </c>
      <c r="AX80" s="900">
        <f t="shared" si="13"/>
        <v>0</v>
      </c>
      <c r="AY80" s="3096">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3">
        <f t="shared" si="35"/>
        <v>0</v>
      </c>
    </row>
    <row r="81" spans="1:72">
      <c r="A81" s="3047"/>
      <c r="B81" s="3048"/>
      <c r="C81" s="3048"/>
      <c r="D81" s="3053"/>
      <c r="E81" s="3049">
        <f t="shared" si="7"/>
        <v>0</v>
      </c>
      <c r="F81" s="3050"/>
      <c r="G81" s="3051">
        <f t="shared" si="8"/>
        <v>0</v>
      </c>
      <c r="H81" s="3052">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49">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900">
        <f t="shared" si="11"/>
        <v>0</v>
      </c>
      <c r="AW81" s="900">
        <f t="shared" si="12"/>
        <v>0</v>
      </c>
      <c r="AX81" s="900">
        <f t="shared" si="13"/>
        <v>0</v>
      </c>
      <c r="AY81" s="3096">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3">
        <f t="shared" si="35"/>
        <v>0</v>
      </c>
    </row>
    <row r="82" spans="1:72">
      <c r="A82" s="3047"/>
      <c r="B82" s="3048"/>
      <c r="C82" s="3048"/>
      <c r="D82" s="3053"/>
      <c r="E82" s="3049">
        <f t="shared" si="7"/>
        <v>0</v>
      </c>
      <c r="F82" s="3050"/>
      <c r="G82" s="3051">
        <f t="shared" si="8"/>
        <v>0</v>
      </c>
      <c r="H82" s="3052">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49">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900">
        <f t="shared" si="11"/>
        <v>0</v>
      </c>
      <c r="AW82" s="900">
        <f t="shared" si="12"/>
        <v>0</v>
      </c>
      <c r="AX82" s="900">
        <f t="shared" si="13"/>
        <v>0</v>
      </c>
      <c r="AY82" s="3096">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3">
        <f t="shared" si="35"/>
        <v>0</v>
      </c>
    </row>
    <row r="83" spans="1:72">
      <c r="A83" s="3047"/>
      <c r="B83" s="3048"/>
      <c r="C83" s="3048"/>
      <c r="D83" s="3053"/>
      <c r="E83" s="3049">
        <f t="shared" si="7"/>
        <v>0</v>
      </c>
      <c r="F83" s="3050"/>
      <c r="G83" s="3051">
        <f t="shared" si="8"/>
        <v>0</v>
      </c>
      <c r="H83" s="3052">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49">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900">
        <f t="shared" si="11"/>
        <v>0</v>
      </c>
      <c r="AW83" s="900">
        <f t="shared" si="12"/>
        <v>0</v>
      </c>
      <c r="AX83" s="900">
        <f t="shared" si="13"/>
        <v>0</v>
      </c>
      <c r="AY83" s="3096">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3">
        <f t="shared" si="35"/>
        <v>0</v>
      </c>
    </row>
    <row r="84" spans="1:72">
      <c r="A84" s="3047"/>
      <c r="B84" s="3048"/>
      <c r="C84" s="3048"/>
      <c r="D84" s="3053"/>
      <c r="E84" s="3049">
        <f t="shared" si="7"/>
        <v>0</v>
      </c>
      <c r="F84" s="3050"/>
      <c r="G84" s="3051">
        <f t="shared" si="8"/>
        <v>0</v>
      </c>
      <c r="H84" s="3052">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49">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900">
        <f t="shared" si="11"/>
        <v>0</v>
      </c>
      <c r="AW84" s="900">
        <f t="shared" si="12"/>
        <v>0</v>
      </c>
      <c r="AX84" s="900">
        <f t="shared" si="13"/>
        <v>0</v>
      </c>
      <c r="AY84" s="3096">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3">
        <f t="shared" si="35"/>
        <v>0</v>
      </c>
    </row>
    <row r="85" spans="1:72">
      <c r="A85" s="3047"/>
      <c r="B85" s="3048"/>
      <c r="C85" s="3048"/>
      <c r="D85" s="3053"/>
      <c r="E85" s="3049">
        <f t="shared" si="7"/>
        <v>0</v>
      </c>
      <c r="F85" s="3050"/>
      <c r="G85" s="3051">
        <f t="shared" si="8"/>
        <v>0</v>
      </c>
      <c r="H85" s="3052">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49">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900">
        <f t="shared" si="11"/>
        <v>0</v>
      </c>
      <c r="AW85" s="900">
        <f t="shared" si="12"/>
        <v>0</v>
      </c>
      <c r="AX85" s="900">
        <f t="shared" si="13"/>
        <v>0</v>
      </c>
      <c r="AY85" s="3096">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3">
        <f t="shared" si="35"/>
        <v>0</v>
      </c>
    </row>
    <row r="86" spans="1:72">
      <c r="A86" s="3047"/>
      <c r="B86" s="3048"/>
      <c r="C86" s="3048"/>
      <c r="D86" s="3053"/>
      <c r="E86" s="3049">
        <f t="shared" si="7"/>
        <v>0</v>
      </c>
      <c r="F86" s="3050"/>
      <c r="G86" s="3051">
        <f t="shared" si="8"/>
        <v>0</v>
      </c>
      <c r="H86" s="3052">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49">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900">
        <f t="shared" si="11"/>
        <v>0</v>
      </c>
      <c r="AW86" s="900">
        <f t="shared" si="12"/>
        <v>0</v>
      </c>
      <c r="AX86" s="900">
        <f t="shared" si="13"/>
        <v>0</v>
      </c>
      <c r="AY86" s="3096">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3">
        <f t="shared" si="35"/>
        <v>0</v>
      </c>
    </row>
    <row r="87" spans="1:72">
      <c r="A87" s="3047"/>
      <c r="B87" s="3048"/>
      <c r="C87" s="3048"/>
      <c r="D87" s="3053"/>
      <c r="E87" s="3049">
        <f t="shared" si="7"/>
        <v>0</v>
      </c>
      <c r="F87" s="3050"/>
      <c r="G87" s="3051">
        <f t="shared" si="8"/>
        <v>0</v>
      </c>
      <c r="H87" s="3052">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49">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900">
        <f t="shared" si="11"/>
        <v>0</v>
      </c>
      <c r="AW87" s="900">
        <f t="shared" si="12"/>
        <v>0</v>
      </c>
      <c r="AX87" s="900">
        <f t="shared" si="13"/>
        <v>0</v>
      </c>
      <c r="AY87" s="3096">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3">
        <f t="shared" si="35"/>
        <v>0</v>
      </c>
    </row>
    <row r="88" spans="1:72">
      <c r="A88" s="3047"/>
      <c r="B88" s="3048"/>
      <c r="C88" s="3048"/>
      <c r="D88" s="3053"/>
      <c r="E88" s="3049">
        <f t="shared" si="7"/>
        <v>0</v>
      </c>
      <c r="F88" s="3050"/>
      <c r="G88" s="3051">
        <f t="shared" si="8"/>
        <v>0</v>
      </c>
      <c r="H88" s="3052">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49">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900">
        <f t="shared" si="11"/>
        <v>0</v>
      </c>
      <c r="AW88" s="900">
        <f t="shared" si="12"/>
        <v>0</v>
      </c>
      <c r="AX88" s="900">
        <f t="shared" si="13"/>
        <v>0</v>
      </c>
      <c r="AY88" s="3096">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3">
        <f t="shared" si="35"/>
        <v>0</v>
      </c>
    </row>
    <row r="89" spans="1:72">
      <c r="A89" s="3047"/>
      <c r="B89" s="3048"/>
      <c r="C89" s="3048"/>
      <c r="D89" s="3053"/>
      <c r="E89" s="3049">
        <f t="shared" si="7"/>
        <v>0</v>
      </c>
      <c r="F89" s="3050"/>
      <c r="G89" s="3051">
        <f t="shared" si="8"/>
        <v>0</v>
      </c>
      <c r="H89" s="3052">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49">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900">
        <f t="shared" si="11"/>
        <v>0</v>
      </c>
      <c r="AW89" s="900">
        <f t="shared" si="12"/>
        <v>0</v>
      </c>
      <c r="AX89" s="900">
        <f t="shared" si="13"/>
        <v>0</v>
      </c>
      <c r="AY89" s="3096">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3">
        <f t="shared" si="35"/>
        <v>0</v>
      </c>
    </row>
    <row r="90" spans="1:72">
      <c r="A90" s="3047"/>
      <c r="B90" s="3048"/>
      <c r="C90" s="3048"/>
      <c r="D90" s="3053"/>
      <c r="E90" s="3049">
        <f t="shared" si="7"/>
        <v>0</v>
      </c>
      <c r="F90" s="3050"/>
      <c r="G90" s="3051">
        <f t="shared" si="8"/>
        <v>0</v>
      </c>
      <c r="H90" s="3052">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49">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900">
        <f t="shared" si="11"/>
        <v>0</v>
      </c>
      <c r="AW90" s="900">
        <f t="shared" si="12"/>
        <v>0</v>
      </c>
      <c r="AX90" s="900">
        <f t="shared" si="13"/>
        <v>0</v>
      </c>
      <c r="AY90" s="3096">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3">
        <f t="shared" si="35"/>
        <v>0</v>
      </c>
    </row>
    <row r="91" spans="1:72">
      <c r="A91" s="3047"/>
      <c r="B91" s="3048"/>
      <c r="C91" s="3048"/>
      <c r="D91" s="3053"/>
      <c r="E91" s="3049">
        <f t="shared" si="7"/>
        <v>0</v>
      </c>
      <c r="F91" s="3050"/>
      <c r="G91" s="3051">
        <f t="shared" si="8"/>
        <v>0</v>
      </c>
      <c r="H91" s="3052">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49">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900">
        <f t="shared" si="11"/>
        <v>0</v>
      </c>
      <c r="AW91" s="900">
        <f t="shared" si="12"/>
        <v>0</v>
      </c>
      <c r="AX91" s="900">
        <f t="shared" si="13"/>
        <v>0</v>
      </c>
      <c r="AY91" s="3096">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3">
        <f t="shared" si="35"/>
        <v>0</v>
      </c>
    </row>
    <row r="92" spans="1:72">
      <c r="A92" s="3047"/>
      <c r="B92" s="3048"/>
      <c r="C92" s="3048"/>
      <c r="D92" s="3053"/>
      <c r="E92" s="3049">
        <f t="shared" si="7"/>
        <v>0</v>
      </c>
      <c r="F92" s="3050"/>
      <c r="G92" s="3051">
        <f t="shared" si="8"/>
        <v>0</v>
      </c>
      <c r="H92" s="3052">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49">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900">
        <f t="shared" si="11"/>
        <v>0</v>
      </c>
      <c r="AW92" s="900">
        <f t="shared" si="12"/>
        <v>0</v>
      </c>
      <c r="AX92" s="900">
        <f t="shared" si="13"/>
        <v>0</v>
      </c>
      <c r="AY92" s="3096">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3">
        <f t="shared" si="35"/>
        <v>0</v>
      </c>
    </row>
    <row r="93" spans="1:72">
      <c r="A93" s="3047"/>
      <c r="B93" s="3048"/>
      <c r="C93" s="3048"/>
      <c r="D93" s="3053"/>
      <c r="E93" s="3049">
        <f t="shared" si="7"/>
        <v>0</v>
      </c>
      <c r="F93" s="3050"/>
      <c r="G93" s="3051">
        <f t="shared" si="8"/>
        <v>0</v>
      </c>
      <c r="H93" s="3052">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49">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900">
        <f t="shared" si="11"/>
        <v>0</v>
      </c>
      <c r="AW93" s="900">
        <f t="shared" si="12"/>
        <v>0</v>
      </c>
      <c r="AX93" s="900">
        <f t="shared" si="13"/>
        <v>0</v>
      </c>
      <c r="AY93" s="3096">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3">
        <f t="shared" si="35"/>
        <v>0</v>
      </c>
    </row>
    <row r="94" spans="1:72">
      <c r="A94" s="3047"/>
      <c r="B94" s="3048"/>
      <c r="C94" s="3048"/>
      <c r="D94" s="3053"/>
      <c r="E94" s="3049">
        <f t="shared" si="7"/>
        <v>0</v>
      </c>
      <c r="F94" s="3050"/>
      <c r="G94" s="3051">
        <f t="shared" si="8"/>
        <v>0</v>
      </c>
      <c r="H94" s="3052">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49">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900">
        <f t="shared" si="11"/>
        <v>0</v>
      </c>
      <c r="AW94" s="900">
        <f t="shared" si="12"/>
        <v>0</v>
      </c>
      <c r="AX94" s="900">
        <f t="shared" si="13"/>
        <v>0</v>
      </c>
      <c r="AY94" s="3096">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3">
        <f t="shared" si="35"/>
        <v>0</v>
      </c>
    </row>
    <row r="95" spans="1:72">
      <c r="A95" s="3047"/>
      <c r="B95" s="3048"/>
      <c r="C95" s="3048"/>
      <c r="D95" s="3053"/>
      <c r="E95" s="3049">
        <f t="shared" si="7"/>
        <v>0</v>
      </c>
      <c r="F95" s="3050"/>
      <c r="G95" s="3051">
        <f t="shared" si="8"/>
        <v>0</v>
      </c>
      <c r="H95" s="3052">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49">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900">
        <f t="shared" si="11"/>
        <v>0</v>
      </c>
      <c r="AW95" s="900">
        <f t="shared" si="12"/>
        <v>0</v>
      </c>
      <c r="AX95" s="900">
        <f t="shared" si="13"/>
        <v>0</v>
      </c>
      <c r="AY95" s="3096">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3">
        <f t="shared" si="35"/>
        <v>0</v>
      </c>
    </row>
    <row r="96" spans="1:72">
      <c r="A96" s="3047"/>
      <c r="B96" s="3048"/>
      <c r="C96" s="3048"/>
      <c r="D96" s="3053"/>
      <c r="E96" s="3049">
        <f t="shared" si="7"/>
        <v>0</v>
      </c>
      <c r="F96" s="3050"/>
      <c r="G96" s="3051">
        <f t="shared" si="8"/>
        <v>0</v>
      </c>
      <c r="H96" s="3052">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49">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900">
        <f t="shared" si="11"/>
        <v>0</v>
      </c>
      <c r="AW96" s="900">
        <f t="shared" si="12"/>
        <v>0</v>
      </c>
      <c r="AX96" s="900">
        <f t="shared" si="13"/>
        <v>0</v>
      </c>
      <c r="AY96" s="3096">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3">
        <f t="shared" si="35"/>
        <v>0</v>
      </c>
    </row>
    <row r="97" spans="1:72">
      <c r="A97" s="3047"/>
      <c r="B97" s="3048"/>
      <c r="C97" s="3048"/>
      <c r="D97" s="3053"/>
      <c r="E97" s="3049">
        <f t="shared" si="7"/>
        <v>0</v>
      </c>
      <c r="F97" s="3050"/>
      <c r="G97" s="3051">
        <f t="shared" si="8"/>
        <v>0</v>
      </c>
      <c r="H97" s="3052">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49">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900">
        <f t="shared" si="11"/>
        <v>0</v>
      </c>
      <c r="AW97" s="900">
        <f t="shared" si="12"/>
        <v>0</v>
      </c>
      <c r="AX97" s="900">
        <f t="shared" si="13"/>
        <v>0</v>
      </c>
      <c r="AY97" s="3096">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3">
        <f t="shared" si="35"/>
        <v>0</v>
      </c>
    </row>
    <row r="98" spans="1:72">
      <c r="A98" s="3047"/>
      <c r="B98" s="3048"/>
      <c r="C98" s="3048"/>
      <c r="D98" s="3053"/>
      <c r="E98" s="3049">
        <f t="shared" si="7"/>
        <v>0</v>
      </c>
      <c r="F98" s="3050"/>
      <c r="G98" s="3051">
        <f t="shared" si="8"/>
        <v>0</v>
      </c>
      <c r="H98" s="3052">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49">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900">
        <f t="shared" si="11"/>
        <v>0</v>
      </c>
      <c r="AW98" s="900">
        <f t="shared" si="12"/>
        <v>0</v>
      </c>
      <c r="AX98" s="900">
        <f t="shared" si="13"/>
        <v>0</v>
      </c>
      <c r="AY98" s="3096">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3">
        <f t="shared" si="35"/>
        <v>0</v>
      </c>
    </row>
    <row r="99" spans="1:72">
      <c r="A99" s="3047"/>
      <c r="B99" s="3048"/>
      <c r="C99" s="3048"/>
      <c r="D99" s="3053"/>
      <c r="E99" s="3049">
        <f t="shared" si="7"/>
        <v>0</v>
      </c>
      <c r="F99" s="3050"/>
      <c r="G99" s="3051">
        <f t="shared" si="8"/>
        <v>0</v>
      </c>
      <c r="H99" s="3052">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49">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900">
        <f t="shared" si="11"/>
        <v>0</v>
      </c>
      <c r="AW99" s="900">
        <f t="shared" si="12"/>
        <v>0</v>
      </c>
      <c r="AX99" s="900">
        <f t="shared" si="13"/>
        <v>0</v>
      </c>
      <c r="AY99" s="3096">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3">
        <f t="shared" si="35"/>
        <v>0</v>
      </c>
    </row>
    <row r="100" spans="1:72">
      <c r="A100" s="3047"/>
      <c r="B100" s="3048"/>
      <c r="C100" s="3048"/>
      <c r="D100" s="3053"/>
      <c r="E100" s="3049">
        <f t="shared" si="7"/>
        <v>0</v>
      </c>
      <c r="F100" s="3050"/>
      <c r="G100" s="3051">
        <f t="shared" si="8"/>
        <v>0</v>
      </c>
      <c r="H100" s="3052">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49">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900">
        <f t="shared" si="11"/>
        <v>0</v>
      </c>
      <c r="AW100" s="900">
        <f t="shared" si="12"/>
        <v>0</v>
      </c>
      <c r="AX100" s="900">
        <f t="shared" si="13"/>
        <v>0</v>
      </c>
      <c r="AY100" s="3096">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3">
        <f t="shared" si="35"/>
        <v>0</v>
      </c>
    </row>
    <row r="101" spans="1:72">
      <c r="A101" s="3047"/>
      <c r="B101" s="3048"/>
      <c r="C101" s="3048"/>
      <c r="D101" s="3053"/>
      <c r="E101" s="3049">
        <f t="shared" si="7"/>
        <v>0</v>
      </c>
      <c r="F101" s="3050"/>
      <c r="G101" s="3051">
        <f t="shared" si="8"/>
        <v>0</v>
      </c>
      <c r="H101" s="3052">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49">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900">
        <f t="shared" si="11"/>
        <v>0</v>
      </c>
      <c r="AW101" s="900">
        <f t="shared" si="12"/>
        <v>0</v>
      </c>
      <c r="AX101" s="900">
        <f t="shared" si="13"/>
        <v>0</v>
      </c>
      <c r="AY101" s="3096">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3">
        <f t="shared" si="35"/>
        <v>0</v>
      </c>
    </row>
    <row r="102" spans="1:72">
      <c r="A102" s="3047"/>
      <c r="B102" s="3048"/>
      <c r="C102" s="3048"/>
      <c r="D102" s="3053"/>
      <c r="E102" s="3049">
        <f t="shared" si="7"/>
        <v>0</v>
      </c>
      <c r="F102" s="3050"/>
      <c r="G102" s="3051">
        <f t="shared" si="8"/>
        <v>0</v>
      </c>
      <c r="H102" s="3052">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49">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900">
        <f t="shared" si="11"/>
        <v>0</v>
      </c>
      <c r="AW102" s="900">
        <f t="shared" si="12"/>
        <v>0</v>
      </c>
      <c r="AX102" s="900">
        <f t="shared" si="13"/>
        <v>0</v>
      </c>
      <c r="AY102" s="3096">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3">
        <f t="shared" si="35"/>
        <v>0</v>
      </c>
    </row>
    <row r="103" spans="1:72">
      <c r="A103" s="3047"/>
      <c r="B103" s="3048"/>
      <c r="C103" s="3048"/>
      <c r="D103" s="3053"/>
      <c r="E103" s="3049">
        <f t="shared" si="7"/>
        <v>0</v>
      </c>
      <c r="F103" s="3050"/>
      <c r="G103" s="3051">
        <f t="shared" si="8"/>
        <v>0</v>
      </c>
      <c r="H103" s="3052">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49">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900">
        <f t="shared" si="11"/>
        <v>0</v>
      </c>
      <c r="AW103" s="900">
        <f t="shared" si="12"/>
        <v>0</v>
      </c>
      <c r="AX103" s="900">
        <f t="shared" si="13"/>
        <v>0</v>
      </c>
      <c r="AY103" s="3096">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3">
        <f t="shared" si="35"/>
        <v>0</v>
      </c>
    </row>
    <row r="104" spans="1:72">
      <c r="A104" s="3047"/>
      <c r="B104" s="3048"/>
      <c r="C104" s="3048"/>
      <c r="D104" s="3053"/>
      <c r="E104" s="3049">
        <f t="shared" si="7"/>
        <v>0</v>
      </c>
      <c r="F104" s="3050"/>
      <c r="G104" s="3051">
        <f t="shared" si="8"/>
        <v>0</v>
      </c>
      <c r="H104" s="3052">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49">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900">
        <f t="shared" si="11"/>
        <v>0</v>
      </c>
      <c r="AW104" s="900">
        <f t="shared" si="12"/>
        <v>0</v>
      </c>
      <c r="AX104" s="900">
        <f t="shared" si="13"/>
        <v>0</v>
      </c>
      <c r="AY104" s="3096">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3">
        <f t="shared" si="35"/>
        <v>0</v>
      </c>
    </row>
    <row r="105" spans="1:72">
      <c r="A105" s="3047"/>
      <c r="B105" s="3048"/>
      <c r="C105" s="3048"/>
      <c r="D105" s="3053"/>
      <c r="E105" s="3049">
        <f t="shared" si="7"/>
        <v>0</v>
      </c>
      <c r="F105" s="3050"/>
      <c r="G105" s="3051">
        <f t="shared" si="8"/>
        <v>0</v>
      </c>
      <c r="H105" s="3052">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49">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900">
        <f t="shared" si="11"/>
        <v>0</v>
      </c>
      <c r="AW105" s="900">
        <f t="shared" si="12"/>
        <v>0</v>
      </c>
      <c r="AX105" s="900">
        <f t="shared" si="13"/>
        <v>0</v>
      </c>
      <c r="AY105" s="3096">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3">
        <f t="shared" si="35"/>
        <v>0</v>
      </c>
    </row>
    <row r="106" spans="1:72">
      <c r="A106" s="3047"/>
      <c r="B106" s="3048"/>
      <c r="C106" s="3048"/>
      <c r="D106" s="3053"/>
      <c r="E106" s="3049">
        <f t="shared" si="7"/>
        <v>0</v>
      </c>
      <c r="F106" s="3050"/>
      <c r="G106" s="3051">
        <f t="shared" si="8"/>
        <v>0</v>
      </c>
      <c r="H106" s="3052">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49">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900">
        <f t="shared" si="11"/>
        <v>0</v>
      </c>
      <c r="AW106" s="900">
        <f t="shared" si="12"/>
        <v>0</v>
      </c>
      <c r="AX106" s="900">
        <f t="shared" si="13"/>
        <v>0</v>
      </c>
      <c r="AY106" s="3096">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3">
        <f t="shared" si="35"/>
        <v>0</v>
      </c>
    </row>
    <row r="107" spans="1:72">
      <c r="A107" s="3047"/>
      <c r="B107" s="3048"/>
      <c r="C107" s="3048"/>
      <c r="D107" s="3053"/>
      <c r="E107" s="3049">
        <f t="shared" si="7"/>
        <v>0</v>
      </c>
      <c r="F107" s="3050"/>
      <c r="G107" s="3051">
        <f t="shared" si="8"/>
        <v>0</v>
      </c>
      <c r="H107" s="3052">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49">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900">
        <f t="shared" si="11"/>
        <v>0</v>
      </c>
      <c r="AW107" s="900">
        <f t="shared" si="12"/>
        <v>0</v>
      </c>
      <c r="AX107" s="900">
        <f t="shared" si="13"/>
        <v>0</v>
      </c>
      <c r="AY107" s="3096">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3">
        <f t="shared" si="35"/>
        <v>0</v>
      </c>
    </row>
    <row r="108" spans="1:72">
      <c r="A108" s="3047"/>
      <c r="B108" s="3048"/>
      <c r="C108" s="3048"/>
      <c r="D108" s="3053"/>
      <c r="E108" s="3049">
        <f t="shared" si="7"/>
        <v>0</v>
      </c>
      <c r="F108" s="3050"/>
      <c r="G108" s="3051">
        <f t="shared" si="8"/>
        <v>0</v>
      </c>
      <c r="H108" s="3052">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49">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900">
        <f t="shared" si="11"/>
        <v>0</v>
      </c>
      <c r="AW108" s="900">
        <f t="shared" si="12"/>
        <v>0</v>
      </c>
      <c r="AX108" s="900">
        <f t="shared" si="13"/>
        <v>0</v>
      </c>
      <c r="AY108" s="3096">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3">
        <f t="shared" si="35"/>
        <v>0</v>
      </c>
    </row>
    <row r="109" spans="1:72">
      <c r="A109" s="3047"/>
      <c r="B109" s="3048"/>
      <c r="C109" s="3048"/>
      <c r="D109" s="3053"/>
      <c r="E109" s="3049">
        <f t="shared" si="7"/>
        <v>0</v>
      </c>
      <c r="F109" s="3050"/>
      <c r="G109" s="3051">
        <f t="shared" si="8"/>
        <v>0</v>
      </c>
      <c r="H109" s="3052">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49">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900">
        <f t="shared" si="11"/>
        <v>0</v>
      </c>
      <c r="AW109" s="900">
        <f t="shared" si="12"/>
        <v>0</v>
      </c>
      <c r="AX109" s="900">
        <f t="shared" si="13"/>
        <v>0</v>
      </c>
      <c r="AY109" s="3096">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3">
        <f t="shared" si="35"/>
        <v>0</v>
      </c>
    </row>
    <row r="110" spans="1:72">
      <c r="A110" s="3047"/>
      <c r="B110" s="3047"/>
      <c r="C110" s="3047"/>
      <c r="D110" s="3053"/>
      <c r="E110" s="3049">
        <f t="shared" si="7"/>
        <v>0</v>
      </c>
      <c r="F110" s="3104"/>
      <c r="G110" s="3051">
        <f t="shared" ref="G110:G141" si="36">H110+AC110+AT110</f>
        <v>0</v>
      </c>
      <c r="H110" s="3052">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49">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900">
        <f t="shared" si="11"/>
        <v>0</v>
      </c>
      <c r="AW110" s="900">
        <f t="shared" si="12"/>
        <v>0</v>
      </c>
      <c r="AX110" s="900">
        <f t="shared" si="13"/>
        <v>0</v>
      </c>
      <c r="AY110" s="3096">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3">
        <f t="shared" ref="BT110:BT141" si="60">IF($D110="是",AR110-AS110,0)</f>
        <v>0</v>
      </c>
    </row>
    <row r="111" spans="1:72">
      <c r="A111" s="3047"/>
      <c r="B111" s="3047"/>
      <c r="C111" s="3047"/>
      <c r="D111" s="3053"/>
      <c r="E111" s="3049">
        <f t="shared" si="7"/>
        <v>0</v>
      </c>
      <c r="F111" s="3104"/>
      <c r="G111" s="3051">
        <f t="shared" si="36"/>
        <v>0</v>
      </c>
      <c r="H111" s="3052">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49">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900">
        <f t="shared" si="11"/>
        <v>0</v>
      </c>
      <c r="AW111" s="900">
        <f t="shared" si="12"/>
        <v>0</v>
      </c>
      <c r="AX111" s="900">
        <f t="shared" si="13"/>
        <v>0</v>
      </c>
      <c r="AY111" s="3096">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3">
        <f t="shared" si="60"/>
        <v>0</v>
      </c>
    </row>
    <row r="112" spans="1:72">
      <c r="A112" s="3047"/>
      <c r="B112" s="3047"/>
      <c r="C112" s="3047"/>
      <c r="D112" s="3053"/>
      <c r="E112" s="3049">
        <f t="shared" si="7"/>
        <v>0</v>
      </c>
      <c r="F112" s="3104"/>
      <c r="G112" s="3051">
        <f t="shared" si="36"/>
        <v>0</v>
      </c>
      <c r="H112" s="3052">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49">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900">
        <f t="shared" si="11"/>
        <v>0</v>
      </c>
      <c r="AW112" s="900">
        <f t="shared" si="12"/>
        <v>0</v>
      </c>
      <c r="AX112" s="900">
        <f t="shared" si="13"/>
        <v>0</v>
      </c>
      <c r="AY112" s="3096">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3">
        <f t="shared" si="60"/>
        <v>0</v>
      </c>
    </row>
    <row r="113" spans="1:72">
      <c r="A113" s="3047"/>
      <c r="B113" s="3048"/>
      <c r="C113" s="3048"/>
      <c r="D113" s="3053"/>
      <c r="E113" s="3049">
        <f t="shared" ref="E113:E144" si="61">IF($C$3="是",ROUND($A$3*G113/$B$3,2),ROUND($A$3*(G113-AT113)/$B$3,2))</f>
        <v>0</v>
      </c>
      <c r="F113" s="3050"/>
      <c r="G113" s="3051">
        <f t="shared" si="36"/>
        <v>0</v>
      </c>
      <c r="H113" s="3052">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49">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900">
        <f t="shared" ref="AV113:AV144" si="62">A113</f>
        <v>0</v>
      </c>
      <c r="AW113" s="900">
        <f t="shared" ref="AW113:AW144" si="63">B113</f>
        <v>0</v>
      </c>
      <c r="AX113" s="900">
        <f t="shared" ref="AX113:AX144" si="64">C113</f>
        <v>0</v>
      </c>
      <c r="AY113" s="3096">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3">
        <f t="shared" si="60"/>
        <v>0</v>
      </c>
    </row>
    <row r="114" spans="1:72">
      <c r="A114" s="3047"/>
      <c r="B114" s="3048"/>
      <c r="C114" s="3048"/>
      <c r="D114" s="3053"/>
      <c r="E114" s="3049">
        <f t="shared" si="61"/>
        <v>0</v>
      </c>
      <c r="F114" s="3050"/>
      <c r="G114" s="3051">
        <f t="shared" si="36"/>
        <v>0</v>
      </c>
      <c r="H114" s="3052">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49">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900">
        <f t="shared" si="62"/>
        <v>0</v>
      </c>
      <c r="AW114" s="900">
        <f t="shared" si="63"/>
        <v>0</v>
      </c>
      <c r="AX114" s="900">
        <f t="shared" si="64"/>
        <v>0</v>
      </c>
      <c r="AY114" s="3096">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3">
        <f t="shared" si="60"/>
        <v>0</v>
      </c>
    </row>
    <row r="115" spans="1:72">
      <c r="A115" s="3047"/>
      <c r="B115" s="3048"/>
      <c r="C115" s="3048"/>
      <c r="D115" s="3053"/>
      <c r="E115" s="3049">
        <f t="shared" si="61"/>
        <v>0</v>
      </c>
      <c r="F115" s="3050"/>
      <c r="G115" s="3051">
        <f t="shared" si="36"/>
        <v>0</v>
      </c>
      <c r="H115" s="3052">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49">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900">
        <f t="shared" si="62"/>
        <v>0</v>
      </c>
      <c r="AW115" s="900">
        <f t="shared" si="63"/>
        <v>0</v>
      </c>
      <c r="AX115" s="900">
        <f t="shared" si="64"/>
        <v>0</v>
      </c>
      <c r="AY115" s="3096">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3">
        <f t="shared" si="60"/>
        <v>0</v>
      </c>
    </row>
    <row r="116" spans="1:72">
      <c r="A116" s="3047"/>
      <c r="B116" s="3048"/>
      <c r="C116" s="3048"/>
      <c r="D116" s="3053"/>
      <c r="E116" s="3049">
        <f t="shared" si="61"/>
        <v>0</v>
      </c>
      <c r="F116" s="3050"/>
      <c r="G116" s="3051">
        <f t="shared" si="36"/>
        <v>0</v>
      </c>
      <c r="H116" s="3052">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49">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900">
        <f t="shared" si="62"/>
        <v>0</v>
      </c>
      <c r="AW116" s="900">
        <f t="shared" si="63"/>
        <v>0</v>
      </c>
      <c r="AX116" s="900">
        <f t="shared" si="64"/>
        <v>0</v>
      </c>
      <c r="AY116" s="3096">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3">
        <f t="shared" si="60"/>
        <v>0</v>
      </c>
    </row>
    <row r="117" spans="1:72">
      <c r="A117" s="3047"/>
      <c r="B117" s="3048"/>
      <c r="C117" s="3048"/>
      <c r="D117" s="3053"/>
      <c r="E117" s="3049">
        <f t="shared" si="61"/>
        <v>0</v>
      </c>
      <c r="F117" s="3050"/>
      <c r="G117" s="3051">
        <f t="shared" si="36"/>
        <v>0</v>
      </c>
      <c r="H117" s="3052">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49">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900">
        <f t="shared" si="62"/>
        <v>0</v>
      </c>
      <c r="AW117" s="900">
        <f t="shared" si="63"/>
        <v>0</v>
      </c>
      <c r="AX117" s="900">
        <f t="shared" si="64"/>
        <v>0</v>
      </c>
      <c r="AY117" s="3096">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3">
        <f t="shared" si="60"/>
        <v>0</v>
      </c>
    </row>
    <row r="118" spans="1:72">
      <c r="A118" s="3047"/>
      <c r="B118" s="3048"/>
      <c r="C118" s="3048"/>
      <c r="D118" s="3053"/>
      <c r="E118" s="3049">
        <f t="shared" si="61"/>
        <v>0</v>
      </c>
      <c r="F118" s="3050"/>
      <c r="G118" s="3051">
        <f t="shared" si="36"/>
        <v>0</v>
      </c>
      <c r="H118" s="3052">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49">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900">
        <f t="shared" si="62"/>
        <v>0</v>
      </c>
      <c r="AW118" s="900">
        <f t="shared" si="63"/>
        <v>0</v>
      </c>
      <c r="AX118" s="900">
        <f t="shared" si="64"/>
        <v>0</v>
      </c>
      <c r="AY118" s="3096">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3">
        <f t="shared" si="60"/>
        <v>0</v>
      </c>
    </row>
    <row r="119" spans="1:72">
      <c r="A119" s="3047"/>
      <c r="B119" s="3048"/>
      <c r="C119" s="3048"/>
      <c r="D119" s="3053"/>
      <c r="E119" s="3049">
        <f t="shared" si="61"/>
        <v>0</v>
      </c>
      <c r="F119" s="3050"/>
      <c r="G119" s="3051">
        <f t="shared" si="36"/>
        <v>0</v>
      </c>
      <c r="H119" s="3052">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49">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900">
        <f t="shared" si="62"/>
        <v>0</v>
      </c>
      <c r="AW119" s="900">
        <f t="shared" si="63"/>
        <v>0</v>
      </c>
      <c r="AX119" s="900">
        <f t="shared" si="64"/>
        <v>0</v>
      </c>
      <c r="AY119" s="3096">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3">
        <f t="shared" si="60"/>
        <v>0</v>
      </c>
    </row>
    <row r="120" spans="1:72">
      <c r="A120" s="3047"/>
      <c r="B120" s="3048"/>
      <c r="C120" s="3048"/>
      <c r="D120" s="3053"/>
      <c r="E120" s="3049">
        <f t="shared" si="61"/>
        <v>0</v>
      </c>
      <c r="F120" s="3050"/>
      <c r="G120" s="3051">
        <f t="shared" si="36"/>
        <v>0</v>
      </c>
      <c r="H120" s="3052">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49">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900">
        <f t="shared" si="62"/>
        <v>0</v>
      </c>
      <c r="AW120" s="900">
        <f t="shared" si="63"/>
        <v>0</v>
      </c>
      <c r="AX120" s="900">
        <f t="shared" si="64"/>
        <v>0</v>
      </c>
      <c r="AY120" s="3096">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3">
        <f t="shared" si="60"/>
        <v>0</v>
      </c>
    </row>
    <row r="121" spans="1:72">
      <c r="A121" s="3047"/>
      <c r="B121" s="3048"/>
      <c r="C121" s="3048"/>
      <c r="D121" s="3053"/>
      <c r="E121" s="3049">
        <f t="shared" si="61"/>
        <v>0</v>
      </c>
      <c r="F121" s="3050"/>
      <c r="G121" s="3051">
        <f t="shared" si="36"/>
        <v>0</v>
      </c>
      <c r="H121" s="3052">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49">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900">
        <f t="shared" si="62"/>
        <v>0</v>
      </c>
      <c r="AW121" s="900">
        <f t="shared" si="63"/>
        <v>0</v>
      </c>
      <c r="AX121" s="900">
        <f t="shared" si="64"/>
        <v>0</v>
      </c>
      <c r="AY121" s="3096">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3">
        <f t="shared" si="60"/>
        <v>0</v>
      </c>
    </row>
    <row r="122" spans="1:72">
      <c r="A122" s="3047"/>
      <c r="B122" s="3048"/>
      <c r="C122" s="3048"/>
      <c r="D122" s="3053"/>
      <c r="E122" s="3049">
        <f t="shared" si="61"/>
        <v>0</v>
      </c>
      <c r="F122" s="3050"/>
      <c r="G122" s="3051">
        <f t="shared" si="36"/>
        <v>0</v>
      </c>
      <c r="H122" s="3052">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49">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900">
        <f t="shared" si="62"/>
        <v>0</v>
      </c>
      <c r="AW122" s="900">
        <f t="shared" si="63"/>
        <v>0</v>
      </c>
      <c r="AX122" s="900">
        <f t="shared" si="64"/>
        <v>0</v>
      </c>
      <c r="AY122" s="3096">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3">
        <f t="shared" si="60"/>
        <v>0</v>
      </c>
    </row>
    <row r="123" spans="1:72">
      <c r="A123" s="3047"/>
      <c r="B123" s="3048"/>
      <c r="C123" s="3048"/>
      <c r="D123" s="3053"/>
      <c r="E123" s="3049">
        <f t="shared" si="61"/>
        <v>0</v>
      </c>
      <c r="F123" s="3050"/>
      <c r="G123" s="3051">
        <f t="shared" si="36"/>
        <v>0</v>
      </c>
      <c r="H123" s="3052">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49">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900">
        <f t="shared" si="62"/>
        <v>0</v>
      </c>
      <c r="AW123" s="900">
        <f t="shared" si="63"/>
        <v>0</v>
      </c>
      <c r="AX123" s="900">
        <f t="shared" si="64"/>
        <v>0</v>
      </c>
      <c r="AY123" s="3096">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3">
        <f t="shared" si="60"/>
        <v>0</v>
      </c>
    </row>
    <row r="124" spans="1:72">
      <c r="A124" s="3047"/>
      <c r="B124" s="3048"/>
      <c r="C124" s="3048"/>
      <c r="D124" s="3053"/>
      <c r="E124" s="3049">
        <f t="shared" si="61"/>
        <v>0</v>
      </c>
      <c r="F124" s="3050"/>
      <c r="G124" s="3051">
        <f t="shared" si="36"/>
        <v>0</v>
      </c>
      <c r="H124" s="3052">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49">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900">
        <f t="shared" si="62"/>
        <v>0</v>
      </c>
      <c r="AW124" s="900">
        <f t="shared" si="63"/>
        <v>0</v>
      </c>
      <c r="AX124" s="900">
        <f t="shared" si="64"/>
        <v>0</v>
      </c>
      <c r="AY124" s="3096">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3">
        <f t="shared" si="60"/>
        <v>0</v>
      </c>
    </row>
    <row r="125" spans="1:72">
      <c r="A125" s="3047"/>
      <c r="B125" s="3048"/>
      <c r="C125" s="3048"/>
      <c r="D125" s="3053"/>
      <c r="E125" s="3049">
        <f t="shared" si="61"/>
        <v>0</v>
      </c>
      <c r="F125" s="3050"/>
      <c r="G125" s="3051">
        <f t="shared" si="36"/>
        <v>0</v>
      </c>
      <c r="H125" s="3052">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49">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900">
        <f t="shared" si="62"/>
        <v>0</v>
      </c>
      <c r="AW125" s="900">
        <f t="shared" si="63"/>
        <v>0</v>
      </c>
      <c r="AX125" s="900">
        <f t="shared" si="64"/>
        <v>0</v>
      </c>
      <c r="AY125" s="3096">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3">
        <f t="shared" si="60"/>
        <v>0</v>
      </c>
    </row>
    <row r="126" spans="1:72">
      <c r="A126" s="3047"/>
      <c r="B126" s="3048"/>
      <c r="C126" s="3048"/>
      <c r="D126" s="3053"/>
      <c r="E126" s="3049">
        <f t="shared" si="61"/>
        <v>0</v>
      </c>
      <c r="F126" s="3050"/>
      <c r="G126" s="3051">
        <f t="shared" si="36"/>
        <v>0</v>
      </c>
      <c r="H126" s="3052">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49">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900">
        <f t="shared" si="62"/>
        <v>0</v>
      </c>
      <c r="AW126" s="900">
        <f t="shared" si="63"/>
        <v>0</v>
      </c>
      <c r="AX126" s="900">
        <f t="shared" si="64"/>
        <v>0</v>
      </c>
      <c r="AY126" s="3096">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3">
        <f t="shared" si="60"/>
        <v>0</v>
      </c>
    </row>
    <row r="127" spans="1:72">
      <c r="A127" s="3047"/>
      <c r="B127" s="3048"/>
      <c r="C127" s="3048"/>
      <c r="D127" s="3053"/>
      <c r="E127" s="3049">
        <f t="shared" si="61"/>
        <v>0</v>
      </c>
      <c r="F127" s="3050"/>
      <c r="G127" s="3051">
        <f t="shared" si="36"/>
        <v>0</v>
      </c>
      <c r="H127" s="3052">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49">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900">
        <f t="shared" si="62"/>
        <v>0</v>
      </c>
      <c r="AW127" s="900">
        <f t="shared" si="63"/>
        <v>0</v>
      </c>
      <c r="AX127" s="900">
        <f t="shared" si="64"/>
        <v>0</v>
      </c>
      <c r="AY127" s="3096">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3">
        <f t="shared" si="60"/>
        <v>0</v>
      </c>
    </row>
    <row r="128" spans="1:72">
      <c r="A128" s="3047"/>
      <c r="B128" s="3048"/>
      <c r="C128" s="3048"/>
      <c r="D128" s="3053"/>
      <c r="E128" s="3049">
        <f t="shared" si="61"/>
        <v>0</v>
      </c>
      <c r="F128" s="3050"/>
      <c r="G128" s="3051">
        <f t="shared" si="36"/>
        <v>0</v>
      </c>
      <c r="H128" s="3052">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49">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900">
        <f t="shared" si="62"/>
        <v>0</v>
      </c>
      <c r="AW128" s="900">
        <f t="shared" si="63"/>
        <v>0</v>
      </c>
      <c r="AX128" s="900">
        <f t="shared" si="64"/>
        <v>0</v>
      </c>
      <c r="AY128" s="3096">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3">
        <f t="shared" si="60"/>
        <v>0</v>
      </c>
    </row>
    <row r="129" spans="1:72">
      <c r="A129" s="3047"/>
      <c r="B129" s="3048"/>
      <c r="C129" s="3048"/>
      <c r="D129" s="3053"/>
      <c r="E129" s="3049">
        <f t="shared" si="61"/>
        <v>0</v>
      </c>
      <c r="F129" s="3050"/>
      <c r="G129" s="3051">
        <f t="shared" si="36"/>
        <v>0</v>
      </c>
      <c r="H129" s="3052">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49">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900">
        <f t="shared" si="62"/>
        <v>0</v>
      </c>
      <c r="AW129" s="900">
        <f t="shared" si="63"/>
        <v>0</v>
      </c>
      <c r="AX129" s="900">
        <f t="shared" si="64"/>
        <v>0</v>
      </c>
      <c r="AY129" s="3096">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3">
        <f t="shared" si="60"/>
        <v>0</v>
      </c>
    </row>
    <row r="130" spans="1:72">
      <c r="A130" s="3047"/>
      <c r="B130" s="3048"/>
      <c r="C130" s="3048"/>
      <c r="D130" s="3053"/>
      <c r="E130" s="3049">
        <f t="shared" si="61"/>
        <v>0</v>
      </c>
      <c r="F130" s="3050"/>
      <c r="G130" s="3051">
        <f t="shared" si="36"/>
        <v>0</v>
      </c>
      <c r="H130" s="3052">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49">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900">
        <f t="shared" si="62"/>
        <v>0</v>
      </c>
      <c r="AW130" s="900">
        <f t="shared" si="63"/>
        <v>0</v>
      </c>
      <c r="AX130" s="900">
        <f t="shared" si="64"/>
        <v>0</v>
      </c>
      <c r="AY130" s="3096">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3">
        <f t="shared" si="60"/>
        <v>0</v>
      </c>
    </row>
    <row r="131" spans="1:72">
      <c r="A131" s="3047"/>
      <c r="B131" s="3048"/>
      <c r="C131" s="3048"/>
      <c r="D131" s="3053"/>
      <c r="E131" s="3049">
        <f t="shared" si="61"/>
        <v>0</v>
      </c>
      <c r="F131" s="3050"/>
      <c r="G131" s="3051">
        <f t="shared" si="36"/>
        <v>0</v>
      </c>
      <c r="H131" s="3052">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49">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900">
        <f t="shared" si="62"/>
        <v>0</v>
      </c>
      <c r="AW131" s="900">
        <f t="shared" si="63"/>
        <v>0</v>
      </c>
      <c r="AX131" s="900">
        <f t="shared" si="64"/>
        <v>0</v>
      </c>
      <c r="AY131" s="3096">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3">
        <f t="shared" si="60"/>
        <v>0</v>
      </c>
    </row>
    <row r="132" spans="1:72">
      <c r="A132" s="3047"/>
      <c r="B132" s="3048"/>
      <c r="C132" s="3048"/>
      <c r="D132" s="3053"/>
      <c r="E132" s="3049">
        <f t="shared" si="61"/>
        <v>0</v>
      </c>
      <c r="F132" s="3050"/>
      <c r="G132" s="3051">
        <f t="shared" si="36"/>
        <v>0</v>
      </c>
      <c r="H132" s="3052">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49">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900">
        <f t="shared" si="62"/>
        <v>0</v>
      </c>
      <c r="AW132" s="900">
        <f t="shared" si="63"/>
        <v>0</v>
      </c>
      <c r="AX132" s="900">
        <f t="shared" si="64"/>
        <v>0</v>
      </c>
      <c r="AY132" s="3096">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3">
        <f t="shared" si="60"/>
        <v>0</v>
      </c>
    </row>
    <row r="133" spans="1:72">
      <c r="A133" s="3047"/>
      <c r="B133" s="3048"/>
      <c r="C133" s="3048"/>
      <c r="D133" s="3053"/>
      <c r="E133" s="3049">
        <f t="shared" si="61"/>
        <v>0</v>
      </c>
      <c r="F133" s="3050"/>
      <c r="G133" s="3051">
        <f t="shared" si="36"/>
        <v>0</v>
      </c>
      <c r="H133" s="3052">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49">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900">
        <f t="shared" si="62"/>
        <v>0</v>
      </c>
      <c r="AW133" s="900">
        <f t="shared" si="63"/>
        <v>0</v>
      </c>
      <c r="AX133" s="900">
        <f t="shared" si="64"/>
        <v>0</v>
      </c>
      <c r="AY133" s="3096">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3">
        <f t="shared" si="60"/>
        <v>0</v>
      </c>
    </row>
    <row r="134" spans="1:72">
      <c r="A134" s="3047"/>
      <c r="B134" s="3048"/>
      <c r="C134" s="3048"/>
      <c r="D134" s="3053"/>
      <c r="E134" s="3049">
        <f t="shared" si="61"/>
        <v>0</v>
      </c>
      <c r="F134" s="3050"/>
      <c r="G134" s="3051">
        <f t="shared" si="36"/>
        <v>0</v>
      </c>
      <c r="H134" s="3052">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49">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900">
        <f t="shared" si="62"/>
        <v>0</v>
      </c>
      <c r="AW134" s="900">
        <f t="shared" si="63"/>
        <v>0</v>
      </c>
      <c r="AX134" s="900">
        <f t="shared" si="64"/>
        <v>0</v>
      </c>
      <c r="AY134" s="3096">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3">
        <f t="shared" si="60"/>
        <v>0</v>
      </c>
    </row>
    <row r="135" spans="1:72">
      <c r="A135" s="3047"/>
      <c r="B135" s="3048"/>
      <c r="C135" s="3048"/>
      <c r="D135" s="3053"/>
      <c r="E135" s="3049">
        <f t="shared" si="61"/>
        <v>0</v>
      </c>
      <c r="F135" s="3050"/>
      <c r="G135" s="3051">
        <f t="shared" si="36"/>
        <v>0</v>
      </c>
      <c r="H135" s="3052">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49">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900">
        <f t="shared" si="62"/>
        <v>0</v>
      </c>
      <c r="AW135" s="900">
        <f t="shared" si="63"/>
        <v>0</v>
      </c>
      <c r="AX135" s="900">
        <f t="shared" si="64"/>
        <v>0</v>
      </c>
      <c r="AY135" s="3096">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3">
        <f t="shared" si="60"/>
        <v>0</v>
      </c>
    </row>
    <row r="136" spans="1:72">
      <c r="A136" s="3047"/>
      <c r="B136" s="3048"/>
      <c r="C136" s="3048"/>
      <c r="D136" s="3053"/>
      <c r="E136" s="3049">
        <f t="shared" si="61"/>
        <v>0</v>
      </c>
      <c r="F136" s="3050"/>
      <c r="G136" s="3051">
        <f t="shared" si="36"/>
        <v>0</v>
      </c>
      <c r="H136" s="3052">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49">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900">
        <f t="shared" si="62"/>
        <v>0</v>
      </c>
      <c r="AW136" s="900">
        <f t="shared" si="63"/>
        <v>0</v>
      </c>
      <c r="AX136" s="900">
        <f t="shared" si="64"/>
        <v>0</v>
      </c>
      <c r="AY136" s="3096">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3">
        <f t="shared" si="60"/>
        <v>0</v>
      </c>
    </row>
    <row r="137" spans="1:72">
      <c r="A137" s="3047"/>
      <c r="B137" s="3048"/>
      <c r="C137" s="3048"/>
      <c r="D137" s="3053"/>
      <c r="E137" s="3049">
        <f t="shared" si="61"/>
        <v>0</v>
      </c>
      <c r="F137" s="3050"/>
      <c r="G137" s="3051">
        <f t="shared" si="36"/>
        <v>0</v>
      </c>
      <c r="H137" s="3052">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49">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900">
        <f t="shared" si="62"/>
        <v>0</v>
      </c>
      <c r="AW137" s="900">
        <f t="shared" si="63"/>
        <v>0</v>
      </c>
      <c r="AX137" s="900">
        <f t="shared" si="64"/>
        <v>0</v>
      </c>
      <c r="AY137" s="3096">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3">
        <f t="shared" si="60"/>
        <v>0</v>
      </c>
    </row>
    <row r="138" spans="1:72">
      <c r="A138" s="3047"/>
      <c r="B138" s="3048"/>
      <c r="C138" s="3048"/>
      <c r="D138" s="3053"/>
      <c r="E138" s="3049">
        <f t="shared" si="61"/>
        <v>0</v>
      </c>
      <c r="F138" s="3050"/>
      <c r="G138" s="3051">
        <f t="shared" si="36"/>
        <v>0</v>
      </c>
      <c r="H138" s="3052">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49">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900">
        <f t="shared" si="62"/>
        <v>0</v>
      </c>
      <c r="AW138" s="900">
        <f t="shared" si="63"/>
        <v>0</v>
      </c>
      <c r="AX138" s="900">
        <f t="shared" si="64"/>
        <v>0</v>
      </c>
      <c r="AY138" s="3096">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3">
        <f t="shared" si="60"/>
        <v>0</v>
      </c>
    </row>
    <row r="139" spans="1:72">
      <c r="A139" s="3047"/>
      <c r="B139" s="3048"/>
      <c r="C139" s="3048"/>
      <c r="D139" s="3053"/>
      <c r="E139" s="3049">
        <f t="shared" si="61"/>
        <v>0</v>
      </c>
      <c r="F139" s="3050"/>
      <c r="G139" s="3051">
        <f t="shared" si="36"/>
        <v>0</v>
      </c>
      <c r="H139" s="3052">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49">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900">
        <f t="shared" si="62"/>
        <v>0</v>
      </c>
      <c r="AW139" s="900">
        <f t="shared" si="63"/>
        <v>0</v>
      </c>
      <c r="AX139" s="900">
        <f t="shared" si="64"/>
        <v>0</v>
      </c>
      <c r="AY139" s="3096">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3">
        <f t="shared" si="60"/>
        <v>0</v>
      </c>
    </row>
    <row r="140" spans="1:72">
      <c r="A140" s="3047"/>
      <c r="B140" s="3048"/>
      <c r="C140" s="3048"/>
      <c r="D140" s="3053"/>
      <c r="E140" s="3049">
        <f t="shared" si="61"/>
        <v>0</v>
      </c>
      <c r="F140" s="3050"/>
      <c r="G140" s="3051">
        <f t="shared" si="36"/>
        <v>0</v>
      </c>
      <c r="H140" s="3052">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49">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900">
        <f t="shared" si="62"/>
        <v>0</v>
      </c>
      <c r="AW140" s="900">
        <f t="shared" si="63"/>
        <v>0</v>
      </c>
      <c r="AX140" s="900">
        <f t="shared" si="64"/>
        <v>0</v>
      </c>
      <c r="AY140" s="3096">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3">
        <f t="shared" si="60"/>
        <v>0</v>
      </c>
    </row>
    <row r="141" spans="1:72">
      <c r="A141" s="3047"/>
      <c r="B141" s="3048"/>
      <c r="C141" s="3048"/>
      <c r="D141" s="3053"/>
      <c r="E141" s="3049">
        <f t="shared" si="61"/>
        <v>0</v>
      </c>
      <c r="F141" s="3050"/>
      <c r="G141" s="3051">
        <f t="shared" si="36"/>
        <v>0</v>
      </c>
      <c r="H141" s="3052">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49">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900">
        <f t="shared" si="62"/>
        <v>0</v>
      </c>
      <c r="AW141" s="900">
        <f t="shared" si="63"/>
        <v>0</v>
      </c>
      <c r="AX141" s="900">
        <f t="shared" si="64"/>
        <v>0</v>
      </c>
      <c r="AY141" s="3096">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3">
        <f t="shared" si="60"/>
        <v>0</v>
      </c>
    </row>
    <row r="142" spans="1:72">
      <c r="A142" s="3047"/>
      <c r="B142" s="3048"/>
      <c r="C142" s="3048"/>
      <c r="D142" s="3053"/>
      <c r="E142" s="3049">
        <f t="shared" si="61"/>
        <v>0</v>
      </c>
      <c r="F142" s="3050"/>
      <c r="G142" s="3051">
        <f t="shared" ref="G142:G173" si="65">H142+AC142+AT142</f>
        <v>0</v>
      </c>
      <c r="H142" s="3052">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49">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900">
        <f t="shared" si="62"/>
        <v>0</v>
      </c>
      <c r="AW142" s="900">
        <f t="shared" si="63"/>
        <v>0</v>
      </c>
      <c r="AX142" s="900">
        <f t="shared" si="64"/>
        <v>0</v>
      </c>
      <c r="AY142" s="3096">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3">
        <f t="shared" ref="BT142:BT173" si="89">IF($D142="是",AR142-AS142,0)</f>
        <v>0</v>
      </c>
    </row>
    <row r="143" spans="1:72">
      <c r="A143" s="3047"/>
      <c r="B143" s="3048"/>
      <c r="C143" s="3048"/>
      <c r="D143" s="3053"/>
      <c r="E143" s="3049">
        <f t="shared" si="61"/>
        <v>0</v>
      </c>
      <c r="F143" s="3050"/>
      <c r="G143" s="3051">
        <f t="shared" si="65"/>
        <v>0</v>
      </c>
      <c r="H143" s="3052">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49">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900">
        <f t="shared" si="62"/>
        <v>0</v>
      </c>
      <c r="AW143" s="900">
        <f t="shared" si="63"/>
        <v>0</v>
      </c>
      <c r="AX143" s="900">
        <f t="shared" si="64"/>
        <v>0</v>
      </c>
      <c r="AY143" s="3096">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3">
        <f t="shared" si="89"/>
        <v>0</v>
      </c>
    </row>
    <row r="144" spans="1:72">
      <c r="A144" s="3047"/>
      <c r="B144" s="3048"/>
      <c r="C144" s="3048"/>
      <c r="D144" s="3053"/>
      <c r="E144" s="3049">
        <f t="shared" si="61"/>
        <v>0</v>
      </c>
      <c r="F144" s="3050"/>
      <c r="G144" s="3051">
        <f t="shared" si="65"/>
        <v>0</v>
      </c>
      <c r="H144" s="3052">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49">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900">
        <f t="shared" si="62"/>
        <v>0</v>
      </c>
      <c r="AW144" s="900">
        <f t="shared" si="63"/>
        <v>0</v>
      </c>
      <c r="AX144" s="900">
        <f t="shared" si="64"/>
        <v>0</v>
      </c>
      <c r="AY144" s="3096">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3">
        <f t="shared" si="89"/>
        <v>0</v>
      </c>
    </row>
    <row r="145" spans="1:72">
      <c r="A145" s="3047"/>
      <c r="B145" s="3048"/>
      <c r="C145" s="3048"/>
      <c r="D145" s="3053"/>
      <c r="E145" s="3049">
        <f t="shared" ref="E145:E176" si="90">IF($C$3="是",ROUND($A$3*G145/$B$3,2),ROUND($A$3*(G145-AT145)/$B$3,2))</f>
        <v>0</v>
      </c>
      <c r="F145" s="3050"/>
      <c r="G145" s="3051">
        <f t="shared" si="65"/>
        <v>0</v>
      </c>
      <c r="H145" s="3052">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49">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900">
        <f t="shared" ref="AV145:AV176" si="91">A145</f>
        <v>0</v>
      </c>
      <c r="AW145" s="900">
        <f t="shared" ref="AW145:AW176" si="92">B145</f>
        <v>0</v>
      </c>
      <c r="AX145" s="900">
        <f t="shared" ref="AX145:AX176" si="93">C145</f>
        <v>0</v>
      </c>
      <c r="AY145" s="3096">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3">
        <f t="shared" si="89"/>
        <v>0</v>
      </c>
    </row>
    <row r="146" spans="1:72">
      <c r="A146" s="3047"/>
      <c r="B146" s="3048"/>
      <c r="C146" s="3048"/>
      <c r="D146" s="3053"/>
      <c r="E146" s="3049">
        <f t="shared" si="90"/>
        <v>0</v>
      </c>
      <c r="F146" s="3050"/>
      <c r="G146" s="3051">
        <f t="shared" si="65"/>
        <v>0</v>
      </c>
      <c r="H146" s="3052">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49">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900">
        <f t="shared" si="91"/>
        <v>0</v>
      </c>
      <c r="AW146" s="900">
        <f t="shared" si="92"/>
        <v>0</v>
      </c>
      <c r="AX146" s="900">
        <f t="shared" si="93"/>
        <v>0</v>
      </c>
      <c r="AY146" s="3096">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3">
        <f t="shared" si="89"/>
        <v>0</v>
      </c>
    </row>
    <row r="147" spans="1:72">
      <c r="A147" s="3047"/>
      <c r="B147" s="3048"/>
      <c r="C147" s="3048"/>
      <c r="D147" s="3053"/>
      <c r="E147" s="3049">
        <f t="shared" si="90"/>
        <v>0</v>
      </c>
      <c r="F147" s="3050"/>
      <c r="G147" s="3051">
        <f t="shared" si="65"/>
        <v>0</v>
      </c>
      <c r="H147" s="3052">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49">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900">
        <f t="shared" si="91"/>
        <v>0</v>
      </c>
      <c r="AW147" s="900">
        <f t="shared" si="92"/>
        <v>0</v>
      </c>
      <c r="AX147" s="900">
        <f t="shared" si="93"/>
        <v>0</v>
      </c>
      <c r="AY147" s="3096">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3">
        <f t="shared" si="89"/>
        <v>0</v>
      </c>
    </row>
    <row r="148" spans="1:72">
      <c r="A148" s="3047"/>
      <c r="B148" s="3048"/>
      <c r="C148" s="3048"/>
      <c r="D148" s="3053"/>
      <c r="E148" s="3049">
        <f t="shared" si="90"/>
        <v>0</v>
      </c>
      <c r="F148" s="3050"/>
      <c r="G148" s="3051">
        <f t="shared" si="65"/>
        <v>0</v>
      </c>
      <c r="H148" s="3052">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49">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900">
        <f t="shared" si="91"/>
        <v>0</v>
      </c>
      <c r="AW148" s="900">
        <f t="shared" si="92"/>
        <v>0</v>
      </c>
      <c r="AX148" s="900">
        <f t="shared" si="93"/>
        <v>0</v>
      </c>
      <c r="AY148" s="3096">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3">
        <f t="shared" si="89"/>
        <v>0</v>
      </c>
    </row>
    <row r="149" spans="1:72">
      <c r="A149" s="3047"/>
      <c r="B149" s="3048"/>
      <c r="C149" s="3048"/>
      <c r="D149" s="3053"/>
      <c r="E149" s="3049">
        <f t="shared" si="90"/>
        <v>0</v>
      </c>
      <c r="F149" s="3050"/>
      <c r="G149" s="3051">
        <f t="shared" si="65"/>
        <v>0</v>
      </c>
      <c r="H149" s="3052">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49">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900">
        <f t="shared" si="91"/>
        <v>0</v>
      </c>
      <c r="AW149" s="900">
        <f t="shared" si="92"/>
        <v>0</v>
      </c>
      <c r="AX149" s="900">
        <f t="shared" si="93"/>
        <v>0</v>
      </c>
      <c r="AY149" s="3096">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3">
        <f t="shared" si="89"/>
        <v>0</v>
      </c>
    </row>
    <row r="150" spans="1:72">
      <c r="A150" s="3047"/>
      <c r="B150" s="3048"/>
      <c r="C150" s="3048"/>
      <c r="D150" s="3053"/>
      <c r="E150" s="3049">
        <f t="shared" si="90"/>
        <v>0</v>
      </c>
      <c r="F150" s="3050"/>
      <c r="G150" s="3051">
        <f t="shared" si="65"/>
        <v>0</v>
      </c>
      <c r="H150" s="3052">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49">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900">
        <f t="shared" si="91"/>
        <v>0</v>
      </c>
      <c r="AW150" s="900">
        <f t="shared" si="92"/>
        <v>0</v>
      </c>
      <c r="AX150" s="900">
        <f t="shared" si="93"/>
        <v>0</v>
      </c>
      <c r="AY150" s="3096">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3">
        <f t="shared" si="89"/>
        <v>0</v>
      </c>
    </row>
    <row r="151" spans="1:72">
      <c r="A151" s="3047"/>
      <c r="B151" s="3048"/>
      <c r="C151" s="3048"/>
      <c r="D151" s="3053"/>
      <c r="E151" s="3049">
        <f t="shared" si="90"/>
        <v>0</v>
      </c>
      <c r="F151" s="3050"/>
      <c r="G151" s="3051">
        <f t="shared" si="65"/>
        <v>0</v>
      </c>
      <c r="H151" s="3052">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49">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900">
        <f t="shared" si="91"/>
        <v>0</v>
      </c>
      <c r="AW151" s="900">
        <f t="shared" si="92"/>
        <v>0</v>
      </c>
      <c r="AX151" s="900">
        <f t="shared" si="93"/>
        <v>0</v>
      </c>
      <c r="AY151" s="3096">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3">
        <f t="shared" si="89"/>
        <v>0</v>
      </c>
    </row>
    <row r="152" spans="1:72">
      <c r="A152" s="3047"/>
      <c r="B152" s="3048"/>
      <c r="C152" s="3048"/>
      <c r="D152" s="3053"/>
      <c r="E152" s="3049">
        <f t="shared" si="90"/>
        <v>0</v>
      </c>
      <c r="F152" s="3050"/>
      <c r="G152" s="3051">
        <f t="shared" si="65"/>
        <v>0</v>
      </c>
      <c r="H152" s="3052">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49">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900">
        <f t="shared" si="91"/>
        <v>0</v>
      </c>
      <c r="AW152" s="900">
        <f t="shared" si="92"/>
        <v>0</v>
      </c>
      <c r="AX152" s="900">
        <f t="shared" si="93"/>
        <v>0</v>
      </c>
      <c r="AY152" s="3096">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3">
        <f t="shared" si="89"/>
        <v>0</v>
      </c>
    </row>
    <row r="153" spans="1:72">
      <c r="A153" s="3047"/>
      <c r="B153" s="3048"/>
      <c r="C153" s="3048"/>
      <c r="D153" s="3053"/>
      <c r="E153" s="3049">
        <f t="shared" si="90"/>
        <v>0</v>
      </c>
      <c r="F153" s="3050"/>
      <c r="G153" s="3051">
        <f t="shared" si="65"/>
        <v>0</v>
      </c>
      <c r="H153" s="3052">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49">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900">
        <f t="shared" si="91"/>
        <v>0</v>
      </c>
      <c r="AW153" s="900">
        <f t="shared" si="92"/>
        <v>0</v>
      </c>
      <c r="AX153" s="900">
        <f t="shared" si="93"/>
        <v>0</v>
      </c>
      <c r="AY153" s="3096">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3">
        <f t="shared" si="89"/>
        <v>0</v>
      </c>
    </row>
    <row r="154" spans="1:72">
      <c r="A154" s="3047"/>
      <c r="B154" s="3048"/>
      <c r="C154" s="3048"/>
      <c r="D154" s="3053"/>
      <c r="E154" s="3049">
        <f t="shared" si="90"/>
        <v>0</v>
      </c>
      <c r="F154" s="3050"/>
      <c r="G154" s="3051">
        <f t="shared" si="65"/>
        <v>0</v>
      </c>
      <c r="H154" s="3052">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49">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900">
        <f t="shared" si="91"/>
        <v>0</v>
      </c>
      <c r="AW154" s="900">
        <f t="shared" si="92"/>
        <v>0</v>
      </c>
      <c r="AX154" s="900">
        <f t="shared" si="93"/>
        <v>0</v>
      </c>
      <c r="AY154" s="3096">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3">
        <f t="shared" si="89"/>
        <v>0</v>
      </c>
    </row>
    <row r="155" spans="1:72">
      <c r="A155" s="3047"/>
      <c r="B155" s="3048"/>
      <c r="C155" s="3048"/>
      <c r="D155" s="3053"/>
      <c r="E155" s="3049">
        <f t="shared" si="90"/>
        <v>0</v>
      </c>
      <c r="F155" s="3050"/>
      <c r="G155" s="3051">
        <f t="shared" si="65"/>
        <v>0</v>
      </c>
      <c r="H155" s="3052">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49">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900">
        <f t="shared" si="91"/>
        <v>0</v>
      </c>
      <c r="AW155" s="900">
        <f t="shared" si="92"/>
        <v>0</v>
      </c>
      <c r="AX155" s="900">
        <f t="shared" si="93"/>
        <v>0</v>
      </c>
      <c r="AY155" s="3096">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3">
        <f t="shared" si="89"/>
        <v>0</v>
      </c>
    </row>
    <row r="156" spans="1:72">
      <c r="A156" s="3047"/>
      <c r="B156" s="3048"/>
      <c r="C156" s="3048"/>
      <c r="D156" s="3053"/>
      <c r="E156" s="3049">
        <f t="shared" si="90"/>
        <v>0</v>
      </c>
      <c r="F156" s="3050"/>
      <c r="G156" s="3051">
        <f t="shared" si="65"/>
        <v>0</v>
      </c>
      <c r="H156" s="3052">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49">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900">
        <f t="shared" si="91"/>
        <v>0</v>
      </c>
      <c r="AW156" s="900">
        <f t="shared" si="92"/>
        <v>0</v>
      </c>
      <c r="AX156" s="900">
        <f t="shared" si="93"/>
        <v>0</v>
      </c>
      <c r="AY156" s="3096">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3">
        <f t="shared" si="89"/>
        <v>0</v>
      </c>
    </row>
    <row r="157" spans="1:72">
      <c r="A157" s="3047"/>
      <c r="B157" s="3048"/>
      <c r="C157" s="3048"/>
      <c r="D157" s="3053"/>
      <c r="E157" s="3049">
        <f t="shared" si="90"/>
        <v>0</v>
      </c>
      <c r="F157" s="3050"/>
      <c r="G157" s="3051">
        <f t="shared" si="65"/>
        <v>0</v>
      </c>
      <c r="H157" s="3052">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49">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900">
        <f t="shared" si="91"/>
        <v>0</v>
      </c>
      <c r="AW157" s="900">
        <f t="shared" si="92"/>
        <v>0</v>
      </c>
      <c r="AX157" s="900">
        <f t="shared" si="93"/>
        <v>0</v>
      </c>
      <c r="AY157" s="3096">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3">
        <f t="shared" si="89"/>
        <v>0</v>
      </c>
    </row>
    <row r="158" spans="1:72">
      <c r="A158" s="3047"/>
      <c r="B158" s="3048"/>
      <c r="C158" s="3048"/>
      <c r="D158" s="3053"/>
      <c r="E158" s="3049">
        <f t="shared" si="90"/>
        <v>0</v>
      </c>
      <c r="F158" s="3050"/>
      <c r="G158" s="3051">
        <f t="shared" si="65"/>
        <v>0</v>
      </c>
      <c r="H158" s="3052">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49">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900">
        <f t="shared" si="91"/>
        <v>0</v>
      </c>
      <c r="AW158" s="900">
        <f t="shared" si="92"/>
        <v>0</v>
      </c>
      <c r="AX158" s="900">
        <f t="shared" si="93"/>
        <v>0</v>
      </c>
      <c r="AY158" s="3096">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3">
        <f t="shared" si="89"/>
        <v>0</v>
      </c>
    </row>
    <row r="159" spans="1:72">
      <c r="A159" s="3047"/>
      <c r="B159" s="3048"/>
      <c r="C159" s="3048"/>
      <c r="D159" s="3053"/>
      <c r="E159" s="3049">
        <f t="shared" si="90"/>
        <v>0</v>
      </c>
      <c r="F159" s="3050"/>
      <c r="G159" s="3051">
        <f t="shared" si="65"/>
        <v>0</v>
      </c>
      <c r="H159" s="3052">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49">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900">
        <f t="shared" si="91"/>
        <v>0</v>
      </c>
      <c r="AW159" s="900">
        <f t="shared" si="92"/>
        <v>0</v>
      </c>
      <c r="AX159" s="900">
        <f t="shared" si="93"/>
        <v>0</v>
      </c>
      <c r="AY159" s="3096">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3">
        <f t="shared" si="89"/>
        <v>0</v>
      </c>
    </row>
    <row r="160" spans="1:72">
      <c r="A160" s="3047"/>
      <c r="B160" s="3048"/>
      <c r="C160" s="3048"/>
      <c r="D160" s="3053"/>
      <c r="E160" s="3049">
        <f t="shared" si="90"/>
        <v>0</v>
      </c>
      <c r="F160" s="3050"/>
      <c r="G160" s="3051">
        <f t="shared" si="65"/>
        <v>0</v>
      </c>
      <c r="H160" s="3052">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49">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900">
        <f t="shared" si="91"/>
        <v>0</v>
      </c>
      <c r="AW160" s="900">
        <f t="shared" si="92"/>
        <v>0</v>
      </c>
      <c r="AX160" s="900">
        <f t="shared" si="93"/>
        <v>0</v>
      </c>
      <c r="AY160" s="3096">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3">
        <f t="shared" si="89"/>
        <v>0</v>
      </c>
    </row>
    <row r="161" spans="1:72">
      <c r="A161" s="3047"/>
      <c r="B161" s="3048"/>
      <c r="C161" s="3048"/>
      <c r="D161" s="3053"/>
      <c r="E161" s="3049">
        <f t="shared" si="90"/>
        <v>0</v>
      </c>
      <c r="F161" s="3050"/>
      <c r="G161" s="3051">
        <f t="shared" si="65"/>
        <v>0</v>
      </c>
      <c r="H161" s="3052">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49">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900">
        <f t="shared" si="91"/>
        <v>0</v>
      </c>
      <c r="AW161" s="900">
        <f t="shared" si="92"/>
        <v>0</v>
      </c>
      <c r="AX161" s="900">
        <f t="shared" si="93"/>
        <v>0</v>
      </c>
      <c r="AY161" s="3096">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3">
        <f t="shared" si="89"/>
        <v>0</v>
      </c>
    </row>
    <row r="162" spans="1:72">
      <c r="A162" s="3047"/>
      <c r="B162" s="3048"/>
      <c r="C162" s="3048"/>
      <c r="D162" s="3053"/>
      <c r="E162" s="3049">
        <f t="shared" si="90"/>
        <v>0</v>
      </c>
      <c r="F162" s="3050"/>
      <c r="G162" s="3051">
        <f t="shared" si="65"/>
        <v>0</v>
      </c>
      <c r="H162" s="3052">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49">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900">
        <f t="shared" si="91"/>
        <v>0</v>
      </c>
      <c r="AW162" s="900">
        <f t="shared" si="92"/>
        <v>0</v>
      </c>
      <c r="AX162" s="900">
        <f t="shared" si="93"/>
        <v>0</v>
      </c>
      <c r="AY162" s="3096">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3">
        <f t="shared" si="89"/>
        <v>0</v>
      </c>
    </row>
    <row r="163" spans="1:72">
      <c r="A163" s="3047"/>
      <c r="B163" s="3048"/>
      <c r="C163" s="3048"/>
      <c r="D163" s="3053"/>
      <c r="E163" s="3049">
        <f t="shared" si="90"/>
        <v>0</v>
      </c>
      <c r="F163" s="3050"/>
      <c r="G163" s="3051">
        <f t="shared" si="65"/>
        <v>0</v>
      </c>
      <c r="H163" s="3052">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49">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900">
        <f t="shared" si="91"/>
        <v>0</v>
      </c>
      <c r="AW163" s="900">
        <f t="shared" si="92"/>
        <v>0</v>
      </c>
      <c r="AX163" s="900">
        <f t="shared" si="93"/>
        <v>0</v>
      </c>
      <c r="AY163" s="3096">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3">
        <f t="shared" si="89"/>
        <v>0</v>
      </c>
    </row>
    <row r="164" spans="1:72">
      <c r="A164" s="3047"/>
      <c r="B164" s="3048"/>
      <c r="C164" s="3048"/>
      <c r="D164" s="3053"/>
      <c r="E164" s="3049">
        <f t="shared" si="90"/>
        <v>0</v>
      </c>
      <c r="F164" s="3050"/>
      <c r="G164" s="3051">
        <f t="shared" si="65"/>
        <v>0</v>
      </c>
      <c r="H164" s="3052">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49">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900">
        <f t="shared" si="91"/>
        <v>0</v>
      </c>
      <c r="AW164" s="900">
        <f t="shared" si="92"/>
        <v>0</v>
      </c>
      <c r="AX164" s="900">
        <f t="shared" si="93"/>
        <v>0</v>
      </c>
      <c r="AY164" s="3096">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3">
        <f t="shared" si="89"/>
        <v>0</v>
      </c>
    </row>
    <row r="165" spans="1:72">
      <c r="A165" s="3047"/>
      <c r="B165" s="3048"/>
      <c r="C165" s="3048"/>
      <c r="D165" s="3053"/>
      <c r="E165" s="3049">
        <f t="shared" si="90"/>
        <v>0</v>
      </c>
      <c r="F165" s="3050"/>
      <c r="G165" s="3051">
        <f t="shared" si="65"/>
        <v>0</v>
      </c>
      <c r="H165" s="3052">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49">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900">
        <f t="shared" si="91"/>
        <v>0</v>
      </c>
      <c r="AW165" s="900">
        <f t="shared" si="92"/>
        <v>0</v>
      </c>
      <c r="AX165" s="900">
        <f t="shared" si="93"/>
        <v>0</v>
      </c>
      <c r="AY165" s="3096">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3">
        <f t="shared" si="89"/>
        <v>0</v>
      </c>
    </row>
    <row r="166" spans="1:72">
      <c r="A166" s="3047"/>
      <c r="B166" s="3048"/>
      <c r="C166" s="3048"/>
      <c r="D166" s="3053"/>
      <c r="E166" s="3049">
        <f t="shared" si="90"/>
        <v>0</v>
      </c>
      <c r="F166" s="3050"/>
      <c r="G166" s="3051">
        <f t="shared" si="65"/>
        <v>0</v>
      </c>
      <c r="H166" s="3052">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49">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900">
        <f t="shared" si="91"/>
        <v>0</v>
      </c>
      <c r="AW166" s="900">
        <f t="shared" si="92"/>
        <v>0</v>
      </c>
      <c r="AX166" s="900">
        <f t="shared" si="93"/>
        <v>0</v>
      </c>
      <c r="AY166" s="3096">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3">
        <f t="shared" si="89"/>
        <v>0</v>
      </c>
    </row>
    <row r="167" spans="1:72">
      <c r="A167" s="3047"/>
      <c r="B167" s="3048"/>
      <c r="C167" s="3048"/>
      <c r="D167" s="3053"/>
      <c r="E167" s="3049">
        <f t="shared" si="90"/>
        <v>0</v>
      </c>
      <c r="F167" s="3050"/>
      <c r="G167" s="3051">
        <f t="shared" si="65"/>
        <v>0</v>
      </c>
      <c r="H167" s="3052">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49">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900">
        <f t="shared" si="91"/>
        <v>0</v>
      </c>
      <c r="AW167" s="900">
        <f t="shared" si="92"/>
        <v>0</v>
      </c>
      <c r="AX167" s="900">
        <f t="shared" si="93"/>
        <v>0</v>
      </c>
      <c r="AY167" s="3096">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3">
        <f t="shared" si="89"/>
        <v>0</v>
      </c>
    </row>
    <row r="168" spans="1:72">
      <c r="A168" s="3047"/>
      <c r="B168" s="3048"/>
      <c r="C168" s="3048"/>
      <c r="D168" s="3053"/>
      <c r="E168" s="3049">
        <f t="shared" si="90"/>
        <v>0</v>
      </c>
      <c r="F168" s="3050"/>
      <c r="G168" s="3051">
        <f t="shared" si="65"/>
        <v>0</v>
      </c>
      <c r="H168" s="3052">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49">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900">
        <f t="shared" si="91"/>
        <v>0</v>
      </c>
      <c r="AW168" s="900">
        <f t="shared" si="92"/>
        <v>0</v>
      </c>
      <c r="AX168" s="900">
        <f t="shared" si="93"/>
        <v>0</v>
      </c>
      <c r="AY168" s="3096">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3">
        <f t="shared" si="89"/>
        <v>0</v>
      </c>
    </row>
    <row r="169" spans="1:72">
      <c r="A169" s="3047"/>
      <c r="B169" s="3048"/>
      <c r="C169" s="3048"/>
      <c r="D169" s="3053"/>
      <c r="E169" s="3049">
        <f t="shared" si="90"/>
        <v>0</v>
      </c>
      <c r="F169" s="3050"/>
      <c r="G169" s="3051">
        <f t="shared" si="65"/>
        <v>0</v>
      </c>
      <c r="H169" s="3052">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49">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900">
        <f t="shared" si="91"/>
        <v>0</v>
      </c>
      <c r="AW169" s="900">
        <f t="shared" si="92"/>
        <v>0</v>
      </c>
      <c r="AX169" s="900">
        <f t="shared" si="93"/>
        <v>0</v>
      </c>
      <c r="AY169" s="3096">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3">
        <f t="shared" si="89"/>
        <v>0</v>
      </c>
    </row>
    <row r="170" spans="1:72">
      <c r="A170" s="3047"/>
      <c r="B170" s="3048"/>
      <c r="C170" s="3048"/>
      <c r="D170" s="3053"/>
      <c r="E170" s="3049">
        <f t="shared" si="90"/>
        <v>0</v>
      </c>
      <c r="F170" s="3050"/>
      <c r="G170" s="3051">
        <f t="shared" si="65"/>
        <v>0</v>
      </c>
      <c r="H170" s="3052">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49">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900">
        <f t="shared" si="91"/>
        <v>0</v>
      </c>
      <c r="AW170" s="900">
        <f t="shared" si="92"/>
        <v>0</v>
      </c>
      <c r="AX170" s="900">
        <f t="shared" si="93"/>
        <v>0</v>
      </c>
      <c r="AY170" s="3096">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3">
        <f t="shared" si="89"/>
        <v>0</v>
      </c>
    </row>
    <row r="171" spans="1:72">
      <c r="A171" s="3047"/>
      <c r="B171" s="3048"/>
      <c r="C171" s="3048"/>
      <c r="D171" s="3053"/>
      <c r="E171" s="3049">
        <f t="shared" si="90"/>
        <v>0</v>
      </c>
      <c r="F171" s="3050"/>
      <c r="G171" s="3051">
        <f t="shared" si="65"/>
        <v>0</v>
      </c>
      <c r="H171" s="3052">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49">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900">
        <f t="shared" si="91"/>
        <v>0</v>
      </c>
      <c r="AW171" s="900">
        <f t="shared" si="92"/>
        <v>0</v>
      </c>
      <c r="AX171" s="900">
        <f t="shared" si="93"/>
        <v>0</v>
      </c>
      <c r="AY171" s="3096">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3">
        <f t="shared" si="89"/>
        <v>0</v>
      </c>
    </row>
    <row r="172" spans="1:72">
      <c r="A172" s="3047"/>
      <c r="B172" s="3048"/>
      <c r="C172" s="3048"/>
      <c r="D172" s="3053"/>
      <c r="E172" s="3049">
        <f t="shared" si="90"/>
        <v>0</v>
      </c>
      <c r="F172" s="3050"/>
      <c r="G172" s="3051">
        <f t="shared" si="65"/>
        <v>0</v>
      </c>
      <c r="H172" s="3052">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49">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900">
        <f t="shared" si="91"/>
        <v>0</v>
      </c>
      <c r="AW172" s="900">
        <f t="shared" si="92"/>
        <v>0</v>
      </c>
      <c r="AX172" s="900">
        <f t="shared" si="93"/>
        <v>0</v>
      </c>
      <c r="AY172" s="3096">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3">
        <f t="shared" si="89"/>
        <v>0</v>
      </c>
    </row>
    <row r="173" spans="1:72">
      <c r="A173" s="3047"/>
      <c r="B173" s="3048"/>
      <c r="C173" s="3048"/>
      <c r="D173" s="3053"/>
      <c r="E173" s="3049">
        <f t="shared" si="90"/>
        <v>0</v>
      </c>
      <c r="F173" s="3050"/>
      <c r="G173" s="3051">
        <f t="shared" si="65"/>
        <v>0</v>
      </c>
      <c r="H173" s="3052">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49">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900">
        <f t="shared" si="91"/>
        <v>0</v>
      </c>
      <c r="AW173" s="900">
        <f t="shared" si="92"/>
        <v>0</v>
      </c>
      <c r="AX173" s="900">
        <f t="shared" si="93"/>
        <v>0</v>
      </c>
      <c r="AY173" s="3096">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3">
        <f t="shared" si="89"/>
        <v>0</v>
      </c>
    </row>
    <row r="174" spans="1:72">
      <c r="A174" s="3047"/>
      <c r="B174" s="3048"/>
      <c r="C174" s="3048"/>
      <c r="D174" s="3053"/>
      <c r="E174" s="3049">
        <f t="shared" si="90"/>
        <v>0</v>
      </c>
      <c r="F174" s="3050"/>
      <c r="G174" s="3051">
        <f t="shared" ref="G174:G207" si="94">H174+AC174+AT174</f>
        <v>0</v>
      </c>
      <c r="H174" s="3052">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49">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900">
        <f t="shared" si="91"/>
        <v>0</v>
      </c>
      <c r="AW174" s="900">
        <f t="shared" si="92"/>
        <v>0</v>
      </c>
      <c r="AX174" s="900">
        <f t="shared" si="93"/>
        <v>0</v>
      </c>
      <c r="AY174" s="3096">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3">
        <f t="shared" ref="BT174:BT207" si="118">IF($D174="是",AR174-AS174,0)</f>
        <v>0</v>
      </c>
    </row>
    <row r="175" spans="1:72">
      <c r="A175" s="3047"/>
      <c r="B175" s="3048"/>
      <c r="C175" s="3048"/>
      <c r="D175" s="3053"/>
      <c r="E175" s="3049">
        <f t="shared" si="90"/>
        <v>0</v>
      </c>
      <c r="F175" s="3050"/>
      <c r="G175" s="3051">
        <f t="shared" si="94"/>
        <v>0</v>
      </c>
      <c r="H175" s="3052">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49">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900">
        <f t="shared" si="91"/>
        <v>0</v>
      </c>
      <c r="AW175" s="900">
        <f t="shared" si="92"/>
        <v>0</v>
      </c>
      <c r="AX175" s="900">
        <f t="shared" si="93"/>
        <v>0</v>
      </c>
      <c r="AY175" s="3096">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3">
        <f t="shared" si="118"/>
        <v>0</v>
      </c>
    </row>
    <row r="176" spans="1:72">
      <c r="A176" s="3047"/>
      <c r="B176" s="3048"/>
      <c r="C176" s="3048"/>
      <c r="D176" s="3053"/>
      <c r="E176" s="3049">
        <f t="shared" si="90"/>
        <v>0</v>
      </c>
      <c r="F176" s="3050"/>
      <c r="G176" s="3051">
        <f t="shared" si="94"/>
        <v>0</v>
      </c>
      <c r="H176" s="3052">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49">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900">
        <f t="shared" si="91"/>
        <v>0</v>
      </c>
      <c r="AW176" s="900">
        <f t="shared" si="92"/>
        <v>0</v>
      </c>
      <c r="AX176" s="900">
        <f t="shared" si="93"/>
        <v>0</v>
      </c>
      <c r="AY176" s="3096">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3">
        <f t="shared" si="118"/>
        <v>0</v>
      </c>
    </row>
    <row r="177" spans="1:72">
      <c r="A177" s="3047"/>
      <c r="B177" s="3048"/>
      <c r="C177" s="3048"/>
      <c r="D177" s="3053"/>
      <c r="E177" s="3049">
        <f t="shared" ref="E177:E207" si="119">IF($C$3="是",ROUND($A$3*G177/$B$3,2),ROUND($A$3*(G177-AT177)/$B$3,2))</f>
        <v>0</v>
      </c>
      <c r="F177" s="3050"/>
      <c r="G177" s="3051">
        <f t="shared" si="94"/>
        <v>0</v>
      </c>
      <c r="H177" s="3052">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49">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900">
        <f t="shared" ref="AV177:AV207" si="120">A177</f>
        <v>0</v>
      </c>
      <c r="AW177" s="900">
        <f t="shared" ref="AW177:AW207" si="121">B177</f>
        <v>0</v>
      </c>
      <c r="AX177" s="900">
        <f t="shared" ref="AX177:AX207" si="122">C177</f>
        <v>0</v>
      </c>
      <c r="AY177" s="3096">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3">
        <f t="shared" si="118"/>
        <v>0</v>
      </c>
    </row>
    <row r="178" spans="1:72">
      <c r="A178" s="3047"/>
      <c r="B178" s="3048"/>
      <c r="C178" s="3048"/>
      <c r="D178" s="3053"/>
      <c r="E178" s="3049">
        <f t="shared" si="119"/>
        <v>0</v>
      </c>
      <c r="F178" s="3050"/>
      <c r="G178" s="3051">
        <f t="shared" si="94"/>
        <v>0</v>
      </c>
      <c r="H178" s="3052">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49">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900">
        <f t="shared" si="120"/>
        <v>0</v>
      </c>
      <c r="AW178" s="900">
        <f t="shared" si="121"/>
        <v>0</v>
      </c>
      <c r="AX178" s="900">
        <f t="shared" si="122"/>
        <v>0</v>
      </c>
      <c r="AY178" s="3096">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3">
        <f t="shared" si="118"/>
        <v>0</v>
      </c>
    </row>
    <row r="179" spans="1:72">
      <c r="A179" s="3047"/>
      <c r="B179" s="3048"/>
      <c r="C179" s="3048"/>
      <c r="D179" s="3053"/>
      <c r="E179" s="3049">
        <f t="shared" si="119"/>
        <v>0</v>
      </c>
      <c r="F179" s="3050"/>
      <c r="G179" s="3051">
        <f t="shared" si="94"/>
        <v>0</v>
      </c>
      <c r="H179" s="3052">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49">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900">
        <f t="shared" si="120"/>
        <v>0</v>
      </c>
      <c r="AW179" s="900">
        <f t="shared" si="121"/>
        <v>0</v>
      </c>
      <c r="AX179" s="900">
        <f t="shared" si="122"/>
        <v>0</v>
      </c>
      <c r="AY179" s="3096">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3">
        <f t="shared" si="118"/>
        <v>0</v>
      </c>
    </row>
    <row r="180" spans="1:72">
      <c r="A180" s="3047"/>
      <c r="B180" s="3048"/>
      <c r="C180" s="3048"/>
      <c r="D180" s="3053"/>
      <c r="E180" s="3049">
        <f t="shared" si="119"/>
        <v>0</v>
      </c>
      <c r="F180" s="3050"/>
      <c r="G180" s="3051">
        <f t="shared" si="94"/>
        <v>0</v>
      </c>
      <c r="H180" s="3052">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49">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900">
        <f t="shared" si="120"/>
        <v>0</v>
      </c>
      <c r="AW180" s="900">
        <f t="shared" si="121"/>
        <v>0</v>
      </c>
      <c r="AX180" s="900">
        <f t="shared" si="122"/>
        <v>0</v>
      </c>
      <c r="AY180" s="3096">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3">
        <f t="shared" si="118"/>
        <v>0</v>
      </c>
    </row>
    <row r="181" spans="1:72">
      <c r="A181" s="3047"/>
      <c r="B181" s="3048"/>
      <c r="C181" s="3048"/>
      <c r="D181" s="3053"/>
      <c r="E181" s="3049">
        <f t="shared" si="119"/>
        <v>0</v>
      </c>
      <c r="F181" s="3050"/>
      <c r="G181" s="3051">
        <f t="shared" si="94"/>
        <v>0</v>
      </c>
      <c r="H181" s="3052">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49">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900">
        <f t="shared" si="120"/>
        <v>0</v>
      </c>
      <c r="AW181" s="900">
        <f t="shared" si="121"/>
        <v>0</v>
      </c>
      <c r="AX181" s="900">
        <f t="shared" si="122"/>
        <v>0</v>
      </c>
      <c r="AY181" s="3096">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3">
        <f t="shared" si="118"/>
        <v>0</v>
      </c>
    </row>
    <row r="182" spans="1:72">
      <c r="A182" s="3047"/>
      <c r="B182" s="3048"/>
      <c r="C182" s="3048"/>
      <c r="D182" s="3053"/>
      <c r="E182" s="3049">
        <f t="shared" si="119"/>
        <v>0</v>
      </c>
      <c r="F182" s="3050"/>
      <c r="G182" s="3051">
        <f t="shared" si="94"/>
        <v>0</v>
      </c>
      <c r="H182" s="3052">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49">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900">
        <f t="shared" si="120"/>
        <v>0</v>
      </c>
      <c r="AW182" s="900">
        <f t="shared" si="121"/>
        <v>0</v>
      </c>
      <c r="AX182" s="900">
        <f t="shared" si="122"/>
        <v>0</v>
      </c>
      <c r="AY182" s="3096">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3">
        <f t="shared" si="118"/>
        <v>0</v>
      </c>
    </row>
    <row r="183" spans="1:72">
      <c r="A183" s="3047"/>
      <c r="B183" s="3048"/>
      <c r="C183" s="3048"/>
      <c r="D183" s="3053"/>
      <c r="E183" s="3049">
        <f t="shared" si="119"/>
        <v>0</v>
      </c>
      <c r="F183" s="3050"/>
      <c r="G183" s="3051">
        <f t="shared" si="94"/>
        <v>0</v>
      </c>
      <c r="H183" s="3052">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49">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900">
        <f t="shared" si="120"/>
        <v>0</v>
      </c>
      <c r="AW183" s="900">
        <f t="shared" si="121"/>
        <v>0</v>
      </c>
      <c r="AX183" s="900">
        <f t="shared" si="122"/>
        <v>0</v>
      </c>
      <c r="AY183" s="3096">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3">
        <f t="shared" si="118"/>
        <v>0</v>
      </c>
    </row>
    <row r="184" spans="1:72">
      <c r="A184" s="3047"/>
      <c r="B184" s="3048"/>
      <c r="C184" s="3048"/>
      <c r="D184" s="3053"/>
      <c r="E184" s="3049">
        <f t="shared" si="119"/>
        <v>0</v>
      </c>
      <c r="F184" s="3050"/>
      <c r="G184" s="3051">
        <f t="shared" si="94"/>
        <v>0</v>
      </c>
      <c r="H184" s="3052">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49">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900">
        <f t="shared" si="120"/>
        <v>0</v>
      </c>
      <c r="AW184" s="900">
        <f t="shared" si="121"/>
        <v>0</v>
      </c>
      <c r="AX184" s="900">
        <f t="shared" si="122"/>
        <v>0</v>
      </c>
      <c r="AY184" s="3096">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3">
        <f t="shared" si="118"/>
        <v>0</v>
      </c>
    </row>
    <row r="185" spans="1:72">
      <c r="A185" s="3047"/>
      <c r="B185" s="3048"/>
      <c r="C185" s="3048"/>
      <c r="D185" s="3053"/>
      <c r="E185" s="3049">
        <f t="shared" si="119"/>
        <v>0</v>
      </c>
      <c r="F185" s="3050"/>
      <c r="G185" s="3051">
        <f t="shared" si="94"/>
        <v>0</v>
      </c>
      <c r="H185" s="3052">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49">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900">
        <f t="shared" si="120"/>
        <v>0</v>
      </c>
      <c r="AW185" s="900">
        <f t="shared" si="121"/>
        <v>0</v>
      </c>
      <c r="AX185" s="900">
        <f t="shared" si="122"/>
        <v>0</v>
      </c>
      <c r="AY185" s="3096">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3">
        <f t="shared" si="118"/>
        <v>0</v>
      </c>
    </row>
    <row r="186" spans="1:72">
      <c r="A186" s="3047"/>
      <c r="B186" s="3048"/>
      <c r="C186" s="3048"/>
      <c r="D186" s="3053"/>
      <c r="E186" s="3049">
        <f t="shared" si="119"/>
        <v>0</v>
      </c>
      <c r="F186" s="3050"/>
      <c r="G186" s="3051">
        <f t="shared" si="94"/>
        <v>0</v>
      </c>
      <c r="H186" s="3052">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49">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900">
        <f t="shared" si="120"/>
        <v>0</v>
      </c>
      <c r="AW186" s="900">
        <f t="shared" si="121"/>
        <v>0</v>
      </c>
      <c r="AX186" s="900">
        <f t="shared" si="122"/>
        <v>0</v>
      </c>
      <c r="AY186" s="3096">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3">
        <f t="shared" si="118"/>
        <v>0</v>
      </c>
    </row>
    <row r="187" spans="1:72">
      <c r="A187" s="3047"/>
      <c r="B187" s="3048"/>
      <c r="C187" s="3048"/>
      <c r="D187" s="3053"/>
      <c r="E187" s="3049">
        <f t="shared" si="119"/>
        <v>0</v>
      </c>
      <c r="F187" s="3050"/>
      <c r="G187" s="3051">
        <f t="shared" si="94"/>
        <v>0</v>
      </c>
      <c r="H187" s="3052">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49">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900">
        <f t="shared" si="120"/>
        <v>0</v>
      </c>
      <c r="AW187" s="900">
        <f t="shared" si="121"/>
        <v>0</v>
      </c>
      <c r="AX187" s="900">
        <f t="shared" si="122"/>
        <v>0</v>
      </c>
      <c r="AY187" s="3096">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3">
        <f t="shared" si="118"/>
        <v>0</v>
      </c>
    </row>
    <row r="188" spans="1:72">
      <c r="A188" s="3047"/>
      <c r="B188" s="3048"/>
      <c r="C188" s="3048"/>
      <c r="D188" s="3053"/>
      <c r="E188" s="3049">
        <f t="shared" si="119"/>
        <v>0</v>
      </c>
      <c r="F188" s="3050"/>
      <c r="G188" s="3051">
        <f t="shared" si="94"/>
        <v>0</v>
      </c>
      <c r="H188" s="3052">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49">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900">
        <f t="shared" si="120"/>
        <v>0</v>
      </c>
      <c r="AW188" s="900">
        <f t="shared" si="121"/>
        <v>0</v>
      </c>
      <c r="AX188" s="900">
        <f t="shared" si="122"/>
        <v>0</v>
      </c>
      <c r="AY188" s="3096">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3">
        <f t="shared" si="118"/>
        <v>0</v>
      </c>
    </row>
    <row r="189" spans="1:72">
      <c r="A189" s="3047"/>
      <c r="B189" s="3048"/>
      <c r="C189" s="3048"/>
      <c r="D189" s="3053"/>
      <c r="E189" s="3049">
        <f t="shared" si="119"/>
        <v>0</v>
      </c>
      <c r="F189" s="3050"/>
      <c r="G189" s="3051">
        <f t="shared" si="94"/>
        <v>0</v>
      </c>
      <c r="H189" s="3052">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49">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900">
        <f t="shared" si="120"/>
        <v>0</v>
      </c>
      <c r="AW189" s="900">
        <f t="shared" si="121"/>
        <v>0</v>
      </c>
      <c r="AX189" s="900">
        <f t="shared" si="122"/>
        <v>0</v>
      </c>
      <c r="AY189" s="3096">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3">
        <f t="shared" si="118"/>
        <v>0</v>
      </c>
    </row>
    <row r="190" spans="1:72">
      <c r="A190" s="3047"/>
      <c r="B190" s="3048"/>
      <c r="C190" s="3048"/>
      <c r="D190" s="3053"/>
      <c r="E190" s="3049">
        <f t="shared" si="119"/>
        <v>0</v>
      </c>
      <c r="F190" s="3050"/>
      <c r="G190" s="3051">
        <f t="shared" si="94"/>
        <v>0</v>
      </c>
      <c r="H190" s="3052">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49">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900">
        <f t="shared" si="120"/>
        <v>0</v>
      </c>
      <c r="AW190" s="900">
        <f t="shared" si="121"/>
        <v>0</v>
      </c>
      <c r="AX190" s="900">
        <f t="shared" si="122"/>
        <v>0</v>
      </c>
      <c r="AY190" s="3096">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3">
        <f t="shared" si="118"/>
        <v>0</v>
      </c>
    </row>
    <row r="191" spans="1:72">
      <c r="A191" s="3047"/>
      <c r="B191" s="3048"/>
      <c r="C191" s="3048"/>
      <c r="D191" s="3053"/>
      <c r="E191" s="3049">
        <f t="shared" si="119"/>
        <v>0</v>
      </c>
      <c r="F191" s="3050"/>
      <c r="G191" s="3051">
        <f t="shared" si="94"/>
        <v>0</v>
      </c>
      <c r="H191" s="3052">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49">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900">
        <f t="shared" si="120"/>
        <v>0</v>
      </c>
      <c r="AW191" s="900">
        <f t="shared" si="121"/>
        <v>0</v>
      </c>
      <c r="AX191" s="900">
        <f t="shared" si="122"/>
        <v>0</v>
      </c>
      <c r="AY191" s="3096">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3">
        <f t="shared" si="118"/>
        <v>0</v>
      </c>
    </row>
    <row r="192" spans="1:72">
      <c r="A192" s="3047"/>
      <c r="B192" s="3048"/>
      <c r="C192" s="3048"/>
      <c r="D192" s="3053"/>
      <c r="E192" s="3049">
        <f t="shared" si="119"/>
        <v>0</v>
      </c>
      <c r="F192" s="3050"/>
      <c r="G192" s="3051">
        <f t="shared" si="94"/>
        <v>0</v>
      </c>
      <c r="H192" s="3052">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49">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900">
        <f t="shared" si="120"/>
        <v>0</v>
      </c>
      <c r="AW192" s="900">
        <f t="shared" si="121"/>
        <v>0</v>
      </c>
      <c r="AX192" s="900">
        <f t="shared" si="122"/>
        <v>0</v>
      </c>
      <c r="AY192" s="3096">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3">
        <f t="shared" si="118"/>
        <v>0</v>
      </c>
    </row>
    <row r="193" spans="1:72">
      <c r="A193" s="3047"/>
      <c r="B193" s="3048"/>
      <c r="C193" s="3048"/>
      <c r="D193" s="3053"/>
      <c r="E193" s="3049">
        <f t="shared" si="119"/>
        <v>0</v>
      </c>
      <c r="F193" s="3050"/>
      <c r="G193" s="3051">
        <f t="shared" si="94"/>
        <v>0</v>
      </c>
      <c r="H193" s="3052">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49">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900">
        <f t="shared" si="120"/>
        <v>0</v>
      </c>
      <c r="AW193" s="900">
        <f t="shared" si="121"/>
        <v>0</v>
      </c>
      <c r="AX193" s="900">
        <f t="shared" si="122"/>
        <v>0</v>
      </c>
      <c r="AY193" s="3096">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3">
        <f t="shared" si="118"/>
        <v>0</v>
      </c>
    </row>
    <row r="194" spans="1:72">
      <c r="A194" s="3047"/>
      <c r="B194" s="3048"/>
      <c r="C194" s="3048"/>
      <c r="D194" s="3053"/>
      <c r="E194" s="3049">
        <f t="shared" si="119"/>
        <v>0</v>
      </c>
      <c r="F194" s="3050"/>
      <c r="G194" s="3051">
        <f t="shared" si="94"/>
        <v>0</v>
      </c>
      <c r="H194" s="3052">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49">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900">
        <f t="shared" si="120"/>
        <v>0</v>
      </c>
      <c r="AW194" s="900">
        <f t="shared" si="121"/>
        <v>0</v>
      </c>
      <c r="AX194" s="900">
        <f t="shared" si="122"/>
        <v>0</v>
      </c>
      <c r="AY194" s="3096">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3">
        <f t="shared" si="118"/>
        <v>0</v>
      </c>
    </row>
    <row r="195" spans="1:72">
      <c r="A195" s="3047"/>
      <c r="B195" s="3048"/>
      <c r="C195" s="3048"/>
      <c r="D195" s="3053"/>
      <c r="E195" s="3049">
        <f t="shared" si="119"/>
        <v>0</v>
      </c>
      <c r="F195" s="3050"/>
      <c r="G195" s="3051">
        <f t="shared" si="94"/>
        <v>0</v>
      </c>
      <c r="H195" s="3052">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49">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900">
        <f t="shared" si="120"/>
        <v>0</v>
      </c>
      <c r="AW195" s="900">
        <f t="shared" si="121"/>
        <v>0</v>
      </c>
      <c r="AX195" s="900">
        <f t="shared" si="122"/>
        <v>0</v>
      </c>
      <c r="AY195" s="3096">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3">
        <f t="shared" si="118"/>
        <v>0</v>
      </c>
    </row>
    <row r="196" spans="1:72">
      <c r="A196" s="3047"/>
      <c r="B196" s="3048"/>
      <c r="C196" s="3048"/>
      <c r="D196" s="3053"/>
      <c r="E196" s="3049">
        <f t="shared" si="119"/>
        <v>0</v>
      </c>
      <c r="F196" s="3050"/>
      <c r="G196" s="3051">
        <f t="shared" si="94"/>
        <v>0</v>
      </c>
      <c r="H196" s="3052">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49">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900">
        <f t="shared" si="120"/>
        <v>0</v>
      </c>
      <c r="AW196" s="900">
        <f t="shared" si="121"/>
        <v>0</v>
      </c>
      <c r="AX196" s="900">
        <f t="shared" si="122"/>
        <v>0</v>
      </c>
      <c r="AY196" s="3096">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3">
        <f t="shared" si="118"/>
        <v>0</v>
      </c>
    </row>
    <row r="197" spans="1:72">
      <c r="A197" s="3047"/>
      <c r="B197" s="3048"/>
      <c r="C197" s="3048"/>
      <c r="D197" s="3053"/>
      <c r="E197" s="3049">
        <f t="shared" si="119"/>
        <v>0</v>
      </c>
      <c r="F197" s="3050"/>
      <c r="G197" s="3051">
        <f t="shared" si="94"/>
        <v>0</v>
      </c>
      <c r="H197" s="3052">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49">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900">
        <f t="shared" si="120"/>
        <v>0</v>
      </c>
      <c r="AW197" s="900">
        <f t="shared" si="121"/>
        <v>0</v>
      </c>
      <c r="AX197" s="900">
        <f t="shared" si="122"/>
        <v>0</v>
      </c>
      <c r="AY197" s="3096">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3">
        <f t="shared" si="118"/>
        <v>0</v>
      </c>
    </row>
    <row r="198" spans="1:72">
      <c r="A198" s="3047"/>
      <c r="B198" s="3048"/>
      <c r="C198" s="3048"/>
      <c r="D198" s="3053"/>
      <c r="E198" s="3049">
        <f t="shared" si="119"/>
        <v>0</v>
      </c>
      <c r="F198" s="3050"/>
      <c r="G198" s="3051">
        <f t="shared" si="94"/>
        <v>0</v>
      </c>
      <c r="H198" s="3052">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49">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900">
        <f t="shared" si="120"/>
        <v>0</v>
      </c>
      <c r="AW198" s="900">
        <f t="shared" si="121"/>
        <v>0</v>
      </c>
      <c r="AX198" s="900">
        <f t="shared" si="122"/>
        <v>0</v>
      </c>
      <c r="AY198" s="3096">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3">
        <f t="shared" si="118"/>
        <v>0</v>
      </c>
    </row>
    <row r="199" spans="1:72">
      <c r="A199" s="3047"/>
      <c r="B199" s="3048"/>
      <c r="C199" s="3048"/>
      <c r="D199" s="3053"/>
      <c r="E199" s="3049">
        <f t="shared" si="119"/>
        <v>0</v>
      </c>
      <c r="F199" s="3050"/>
      <c r="G199" s="3051">
        <f t="shared" si="94"/>
        <v>0</v>
      </c>
      <c r="H199" s="3052">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49">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900">
        <f t="shared" si="120"/>
        <v>0</v>
      </c>
      <c r="AW199" s="900">
        <f t="shared" si="121"/>
        <v>0</v>
      </c>
      <c r="AX199" s="900">
        <f t="shared" si="122"/>
        <v>0</v>
      </c>
      <c r="AY199" s="3096">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3">
        <f t="shared" si="118"/>
        <v>0</v>
      </c>
    </row>
    <row r="200" spans="1:72">
      <c r="A200" s="3047"/>
      <c r="B200" s="3048"/>
      <c r="C200" s="3048"/>
      <c r="D200" s="3053"/>
      <c r="E200" s="3049">
        <f t="shared" si="119"/>
        <v>0</v>
      </c>
      <c r="F200" s="3050"/>
      <c r="G200" s="3051">
        <f t="shared" si="94"/>
        <v>0</v>
      </c>
      <c r="H200" s="3052">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49">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900">
        <f t="shared" si="120"/>
        <v>0</v>
      </c>
      <c r="AW200" s="900">
        <f t="shared" si="121"/>
        <v>0</v>
      </c>
      <c r="AX200" s="900">
        <f t="shared" si="122"/>
        <v>0</v>
      </c>
      <c r="AY200" s="3096">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3">
        <f t="shared" si="118"/>
        <v>0</v>
      </c>
    </row>
    <row r="201" spans="1:72">
      <c r="A201" s="3047"/>
      <c r="B201" s="3048"/>
      <c r="C201" s="3048"/>
      <c r="D201" s="3053"/>
      <c r="E201" s="3049">
        <f t="shared" si="119"/>
        <v>0</v>
      </c>
      <c r="F201" s="3050"/>
      <c r="G201" s="3051">
        <f t="shared" si="94"/>
        <v>0</v>
      </c>
      <c r="H201" s="3052">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49">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900">
        <f t="shared" si="120"/>
        <v>0</v>
      </c>
      <c r="AW201" s="900">
        <f t="shared" si="121"/>
        <v>0</v>
      </c>
      <c r="AX201" s="900">
        <f t="shared" si="122"/>
        <v>0</v>
      </c>
      <c r="AY201" s="3096">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3">
        <f t="shared" si="118"/>
        <v>0</v>
      </c>
    </row>
    <row r="202" spans="1:72">
      <c r="A202" s="3047"/>
      <c r="B202" s="3048"/>
      <c r="C202" s="3048"/>
      <c r="D202" s="3053"/>
      <c r="E202" s="3049">
        <f t="shared" si="119"/>
        <v>0</v>
      </c>
      <c r="F202" s="3050"/>
      <c r="G202" s="3051">
        <f t="shared" si="94"/>
        <v>0</v>
      </c>
      <c r="H202" s="3052">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49">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900">
        <f t="shared" si="120"/>
        <v>0</v>
      </c>
      <c r="AW202" s="900">
        <f t="shared" si="121"/>
        <v>0</v>
      </c>
      <c r="AX202" s="900">
        <f t="shared" si="122"/>
        <v>0</v>
      </c>
      <c r="AY202" s="3096">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3">
        <f t="shared" si="118"/>
        <v>0</v>
      </c>
    </row>
    <row r="203" spans="1:72">
      <c r="A203" s="3047"/>
      <c r="B203" s="3048"/>
      <c r="C203" s="3048"/>
      <c r="D203" s="3053"/>
      <c r="E203" s="3049">
        <f t="shared" si="119"/>
        <v>0</v>
      </c>
      <c r="F203" s="3050"/>
      <c r="G203" s="3051">
        <f t="shared" si="94"/>
        <v>0</v>
      </c>
      <c r="H203" s="3052">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49">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900">
        <f t="shared" si="120"/>
        <v>0</v>
      </c>
      <c r="AW203" s="900">
        <f t="shared" si="121"/>
        <v>0</v>
      </c>
      <c r="AX203" s="900">
        <f t="shared" si="122"/>
        <v>0</v>
      </c>
      <c r="AY203" s="3096">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3">
        <f t="shared" si="118"/>
        <v>0</v>
      </c>
    </row>
    <row r="204" spans="1:72">
      <c r="A204" s="3047"/>
      <c r="B204" s="3048"/>
      <c r="C204" s="3048"/>
      <c r="D204" s="3053"/>
      <c r="E204" s="3049">
        <f t="shared" si="119"/>
        <v>0</v>
      </c>
      <c r="F204" s="3050"/>
      <c r="G204" s="3051">
        <f t="shared" si="94"/>
        <v>0</v>
      </c>
      <c r="H204" s="3052">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49">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900">
        <f t="shared" si="120"/>
        <v>0</v>
      </c>
      <c r="AW204" s="900">
        <f t="shared" si="121"/>
        <v>0</v>
      </c>
      <c r="AX204" s="900">
        <f t="shared" si="122"/>
        <v>0</v>
      </c>
      <c r="AY204" s="3096">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3">
        <f t="shared" si="118"/>
        <v>0</v>
      </c>
    </row>
    <row r="205" spans="1:72">
      <c r="A205" s="3047"/>
      <c r="B205" s="3047"/>
      <c r="C205" s="3047"/>
      <c r="D205" s="3053"/>
      <c r="E205" s="3049">
        <f t="shared" si="119"/>
        <v>0</v>
      </c>
      <c r="F205" s="3104"/>
      <c r="G205" s="3051">
        <f t="shared" si="94"/>
        <v>0</v>
      </c>
      <c r="H205" s="3052">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49">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900">
        <f t="shared" si="120"/>
        <v>0</v>
      </c>
      <c r="AW205" s="900">
        <f t="shared" si="121"/>
        <v>0</v>
      </c>
      <c r="AX205" s="900">
        <f t="shared" si="122"/>
        <v>0</v>
      </c>
      <c r="AY205" s="3096">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3">
        <f t="shared" si="118"/>
        <v>0</v>
      </c>
    </row>
    <row r="206" spans="1:72">
      <c r="A206" s="3047"/>
      <c r="B206" s="3047"/>
      <c r="C206" s="3047"/>
      <c r="D206" s="3053"/>
      <c r="E206" s="3049">
        <f t="shared" si="119"/>
        <v>0</v>
      </c>
      <c r="F206" s="3104"/>
      <c r="G206" s="3051">
        <f t="shared" si="94"/>
        <v>0</v>
      </c>
      <c r="H206" s="3052">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49">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900">
        <f t="shared" si="120"/>
        <v>0</v>
      </c>
      <c r="AW206" s="900">
        <f t="shared" si="121"/>
        <v>0</v>
      </c>
      <c r="AX206" s="900">
        <f t="shared" si="122"/>
        <v>0</v>
      </c>
      <c r="AY206" s="3096">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3">
        <f t="shared" si="118"/>
        <v>0</v>
      </c>
    </row>
    <row r="207" spans="1:72">
      <c r="A207" s="3047"/>
      <c r="B207" s="3047"/>
      <c r="C207" s="3047"/>
      <c r="D207" s="3053"/>
      <c r="E207" s="3049">
        <f t="shared" si="119"/>
        <v>0</v>
      </c>
      <c r="F207" s="3104"/>
      <c r="G207" s="3051">
        <f t="shared" si="94"/>
        <v>0</v>
      </c>
      <c r="H207" s="3052">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49">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900">
        <f t="shared" si="120"/>
        <v>0</v>
      </c>
      <c r="AW207" s="900">
        <f t="shared" si="121"/>
        <v>0</v>
      </c>
      <c r="AX207" s="900">
        <f t="shared" si="122"/>
        <v>0</v>
      </c>
      <c r="AY207" s="3096">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3">
        <f t="shared" si="118"/>
        <v>0</v>
      </c>
    </row>
    <row r="208" spans="1:72">
      <c r="A208" s="3047"/>
      <c r="B208" s="3048"/>
      <c r="C208" s="3048"/>
      <c r="D208" s="3053"/>
      <c r="E208" s="3049">
        <f t="shared" ref="E208:E302" si="123">IF($C$3="是",ROUND($A$3*G208/$B$3,2),ROUND($A$3*(G208-AT208)/$B$3,2))</f>
        <v>0</v>
      </c>
      <c r="F208" s="3050"/>
      <c r="G208" s="3051">
        <f t="shared" ref="G208:G299" si="124">H208+AC208+AT208</f>
        <v>0</v>
      </c>
      <c r="H208" s="3052">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49">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900">
        <f t="shared" ref="AV208:AV302" si="127">A208</f>
        <v>0</v>
      </c>
      <c r="AW208" s="900">
        <f t="shared" ref="AW208:AW302" si="128">B208</f>
        <v>0</v>
      </c>
      <c r="AX208" s="900">
        <f t="shared" ref="AX208:AX302" si="129">C208</f>
        <v>0</v>
      </c>
      <c r="AY208" s="3096">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3">
        <f t="shared" ref="BT208:BT299" si="151">IF($D208="是",AR208-AS208,0)</f>
        <v>0</v>
      </c>
    </row>
    <row r="209" spans="1:72">
      <c r="A209" s="3047"/>
      <c r="B209" s="3048"/>
      <c r="C209" s="3048"/>
      <c r="D209" s="3053"/>
      <c r="E209" s="3049">
        <f t="shared" si="123"/>
        <v>0</v>
      </c>
      <c r="F209" s="3050"/>
      <c r="G209" s="3051">
        <f t="shared" si="124"/>
        <v>0</v>
      </c>
      <c r="H209" s="3052">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49">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900">
        <f t="shared" si="127"/>
        <v>0</v>
      </c>
      <c r="AW209" s="900">
        <f t="shared" si="128"/>
        <v>0</v>
      </c>
      <c r="AX209" s="900">
        <f t="shared" si="129"/>
        <v>0</v>
      </c>
      <c r="AY209" s="3096">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3">
        <f t="shared" si="151"/>
        <v>0</v>
      </c>
    </row>
    <row r="210" spans="1:72">
      <c r="A210" s="3047"/>
      <c r="B210" s="3048"/>
      <c r="C210" s="3048"/>
      <c r="D210" s="3053"/>
      <c r="E210" s="3049">
        <f t="shared" si="123"/>
        <v>0</v>
      </c>
      <c r="F210" s="3050"/>
      <c r="G210" s="3051">
        <f t="shared" si="124"/>
        <v>0</v>
      </c>
      <c r="H210" s="3052">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49">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900">
        <f t="shared" si="127"/>
        <v>0</v>
      </c>
      <c r="AW210" s="900">
        <f t="shared" si="128"/>
        <v>0</v>
      </c>
      <c r="AX210" s="900">
        <f t="shared" si="129"/>
        <v>0</v>
      </c>
      <c r="AY210" s="3096">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3">
        <f t="shared" si="151"/>
        <v>0</v>
      </c>
    </row>
    <row r="211" spans="1:72">
      <c r="A211" s="3047"/>
      <c r="B211" s="3048"/>
      <c r="C211" s="3048"/>
      <c r="D211" s="3053"/>
      <c r="E211" s="3049">
        <f t="shared" si="123"/>
        <v>0</v>
      </c>
      <c r="F211" s="3050"/>
      <c r="G211" s="3051">
        <f t="shared" si="124"/>
        <v>0</v>
      </c>
      <c r="H211" s="3052">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49">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900">
        <f t="shared" si="127"/>
        <v>0</v>
      </c>
      <c r="AW211" s="900">
        <f t="shared" si="128"/>
        <v>0</v>
      </c>
      <c r="AX211" s="900">
        <f t="shared" si="129"/>
        <v>0</v>
      </c>
      <c r="AY211" s="3096">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3">
        <f t="shared" si="151"/>
        <v>0</v>
      </c>
    </row>
    <row r="212" spans="1:72">
      <c r="A212" s="3047"/>
      <c r="B212" s="3048"/>
      <c r="C212" s="3048"/>
      <c r="D212" s="3053"/>
      <c r="E212" s="3049">
        <f t="shared" si="123"/>
        <v>0</v>
      </c>
      <c r="F212" s="3050"/>
      <c r="G212" s="3051">
        <f t="shared" si="124"/>
        <v>0</v>
      </c>
      <c r="H212" s="3052">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49">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900">
        <f t="shared" si="127"/>
        <v>0</v>
      </c>
      <c r="AW212" s="900">
        <f t="shared" si="128"/>
        <v>0</v>
      </c>
      <c r="AX212" s="900">
        <f t="shared" si="129"/>
        <v>0</v>
      </c>
      <c r="AY212" s="3096">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3">
        <f t="shared" si="151"/>
        <v>0</v>
      </c>
    </row>
    <row r="213" spans="1:72">
      <c r="A213" s="3047"/>
      <c r="B213" s="3048"/>
      <c r="C213" s="3048"/>
      <c r="D213" s="3053"/>
      <c r="E213" s="3049">
        <f t="shared" si="123"/>
        <v>0</v>
      </c>
      <c r="F213" s="3050"/>
      <c r="G213" s="3051">
        <f t="shared" si="124"/>
        <v>0</v>
      </c>
      <c r="H213" s="3052">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49">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900">
        <f t="shared" si="127"/>
        <v>0</v>
      </c>
      <c r="AW213" s="900">
        <f t="shared" si="128"/>
        <v>0</v>
      </c>
      <c r="AX213" s="900">
        <f t="shared" si="129"/>
        <v>0</v>
      </c>
      <c r="AY213" s="3096">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3">
        <f t="shared" si="151"/>
        <v>0</v>
      </c>
    </row>
    <row r="214" spans="1:72">
      <c r="A214" s="3047"/>
      <c r="B214" s="3048"/>
      <c r="C214" s="3048"/>
      <c r="D214" s="3053"/>
      <c r="E214" s="3049">
        <f t="shared" si="123"/>
        <v>0</v>
      </c>
      <c r="F214" s="3050"/>
      <c r="G214" s="3051">
        <f t="shared" si="124"/>
        <v>0</v>
      </c>
      <c r="H214" s="3052">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49">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900">
        <f t="shared" si="127"/>
        <v>0</v>
      </c>
      <c r="AW214" s="900">
        <f t="shared" si="128"/>
        <v>0</v>
      </c>
      <c r="AX214" s="900">
        <f t="shared" si="129"/>
        <v>0</v>
      </c>
      <c r="AY214" s="3096">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3">
        <f t="shared" si="151"/>
        <v>0</v>
      </c>
    </row>
    <row r="215" spans="1:72">
      <c r="A215" s="3047"/>
      <c r="B215" s="3048"/>
      <c r="C215" s="3048"/>
      <c r="D215" s="3053"/>
      <c r="E215" s="3049">
        <f t="shared" si="123"/>
        <v>0</v>
      </c>
      <c r="F215" s="3050"/>
      <c r="G215" s="3051">
        <f t="shared" si="124"/>
        <v>0</v>
      </c>
      <c r="H215" s="3052">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49">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900">
        <f t="shared" si="127"/>
        <v>0</v>
      </c>
      <c r="AW215" s="900">
        <f t="shared" si="128"/>
        <v>0</v>
      </c>
      <c r="AX215" s="900">
        <f t="shared" si="129"/>
        <v>0</v>
      </c>
      <c r="AY215" s="3096">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3">
        <f t="shared" si="151"/>
        <v>0</v>
      </c>
    </row>
    <row r="216" spans="1:72">
      <c r="A216" s="3047"/>
      <c r="B216" s="3048"/>
      <c r="C216" s="3048"/>
      <c r="D216" s="3053"/>
      <c r="E216" s="3049">
        <f t="shared" si="123"/>
        <v>0</v>
      </c>
      <c r="F216" s="3050"/>
      <c r="G216" s="3051">
        <f t="shared" si="124"/>
        <v>0</v>
      </c>
      <c r="H216" s="3052">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49">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900">
        <f t="shared" si="127"/>
        <v>0</v>
      </c>
      <c r="AW216" s="900">
        <f t="shared" si="128"/>
        <v>0</v>
      </c>
      <c r="AX216" s="900">
        <f t="shared" si="129"/>
        <v>0</v>
      </c>
      <c r="AY216" s="3096">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3">
        <f t="shared" si="151"/>
        <v>0</v>
      </c>
    </row>
    <row r="217" spans="1:72">
      <c r="A217" s="3047"/>
      <c r="B217" s="3048"/>
      <c r="C217" s="3048"/>
      <c r="D217" s="3053"/>
      <c r="E217" s="3049">
        <f t="shared" si="123"/>
        <v>0</v>
      </c>
      <c r="F217" s="3050"/>
      <c r="G217" s="3051">
        <f t="shared" si="124"/>
        <v>0</v>
      </c>
      <c r="H217" s="3052">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49">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900">
        <f t="shared" si="127"/>
        <v>0</v>
      </c>
      <c r="AW217" s="900">
        <f t="shared" si="128"/>
        <v>0</v>
      </c>
      <c r="AX217" s="900">
        <f t="shared" si="129"/>
        <v>0</v>
      </c>
      <c r="AY217" s="3096">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3">
        <f t="shared" si="151"/>
        <v>0</v>
      </c>
    </row>
    <row r="218" spans="1:72">
      <c r="A218" s="3047"/>
      <c r="B218" s="3048"/>
      <c r="C218" s="3048"/>
      <c r="D218" s="3053"/>
      <c r="E218" s="3049">
        <f t="shared" si="123"/>
        <v>0</v>
      </c>
      <c r="F218" s="3050"/>
      <c r="G218" s="3051">
        <f t="shared" si="124"/>
        <v>0</v>
      </c>
      <c r="H218" s="3052">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49">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900">
        <f t="shared" si="127"/>
        <v>0</v>
      </c>
      <c r="AW218" s="900">
        <f t="shared" si="128"/>
        <v>0</v>
      </c>
      <c r="AX218" s="900">
        <f t="shared" si="129"/>
        <v>0</v>
      </c>
      <c r="AY218" s="3096">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3">
        <f t="shared" si="151"/>
        <v>0</v>
      </c>
    </row>
    <row r="219" spans="1:72">
      <c r="A219" s="3047"/>
      <c r="B219" s="3048"/>
      <c r="C219" s="3048"/>
      <c r="D219" s="3053"/>
      <c r="E219" s="3049">
        <f t="shared" si="123"/>
        <v>0</v>
      </c>
      <c r="F219" s="3050"/>
      <c r="G219" s="3051">
        <f t="shared" si="124"/>
        <v>0</v>
      </c>
      <c r="H219" s="3052">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49">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900">
        <f t="shared" si="127"/>
        <v>0</v>
      </c>
      <c r="AW219" s="900">
        <f t="shared" si="128"/>
        <v>0</v>
      </c>
      <c r="AX219" s="900">
        <f t="shared" si="129"/>
        <v>0</v>
      </c>
      <c r="AY219" s="3096">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3">
        <f t="shared" si="151"/>
        <v>0</v>
      </c>
    </row>
    <row r="220" spans="1:72">
      <c r="A220" s="3047"/>
      <c r="B220" s="3048"/>
      <c r="C220" s="3048"/>
      <c r="D220" s="3053"/>
      <c r="E220" s="3049">
        <f t="shared" si="123"/>
        <v>0</v>
      </c>
      <c r="F220" s="3050"/>
      <c r="G220" s="3051">
        <f t="shared" si="124"/>
        <v>0</v>
      </c>
      <c r="H220" s="3052">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49">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900">
        <f t="shared" si="127"/>
        <v>0</v>
      </c>
      <c r="AW220" s="900">
        <f t="shared" si="128"/>
        <v>0</v>
      </c>
      <c r="AX220" s="900">
        <f t="shared" si="129"/>
        <v>0</v>
      </c>
      <c r="AY220" s="3096">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3">
        <f t="shared" si="151"/>
        <v>0</v>
      </c>
    </row>
    <row r="221" spans="1:72">
      <c r="A221" s="3047"/>
      <c r="B221" s="3048"/>
      <c r="C221" s="3048"/>
      <c r="D221" s="3053"/>
      <c r="E221" s="3049">
        <f t="shared" si="123"/>
        <v>0</v>
      </c>
      <c r="F221" s="3050"/>
      <c r="G221" s="3051">
        <f t="shared" si="124"/>
        <v>0</v>
      </c>
      <c r="H221" s="3052">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49">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900">
        <f t="shared" si="127"/>
        <v>0</v>
      </c>
      <c r="AW221" s="900">
        <f t="shared" si="128"/>
        <v>0</v>
      </c>
      <c r="AX221" s="900">
        <f t="shared" si="129"/>
        <v>0</v>
      </c>
      <c r="AY221" s="3096">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3">
        <f t="shared" si="151"/>
        <v>0</v>
      </c>
    </row>
    <row r="222" spans="1:72">
      <c r="A222" s="3047"/>
      <c r="B222" s="3048"/>
      <c r="C222" s="3048"/>
      <c r="D222" s="3053"/>
      <c r="E222" s="3049">
        <f t="shared" si="123"/>
        <v>0</v>
      </c>
      <c r="F222" s="3050"/>
      <c r="G222" s="3051">
        <f t="shared" si="124"/>
        <v>0</v>
      </c>
      <c r="H222" s="3052">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49">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900">
        <f t="shared" si="127"/>
        <v>0</v>
      </c>
      <c r="AW222" s="900">
        <f t="shared" si="128"/>
        <v>0</v>
      </c>
      <c r="AX222" s="900">
        <f t="shared" si="129"/>
        <v>0</v>
      </c>
      <c r="AY222" s="3096">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3">
        <f t="shared" si="151"/>
        <v>0</v>
      </c>
    </row>
    <row r="223" spans="1:72">
      <c r="A223" s="3047"/>
      <c r="B223" s="3048"/>
      <c r="C223" s="3048"/>
      <c r="D223" s="3053"/>
      <c r="E223" s="3049">
        <f t="shared" si="123"/>
        <v>0</v>
      </c>
      <c r="F223" s="3050"/>
      <c r="G223" s="3051">
        <f t="shared" si="124"/>
        <v>0</v>
      </c>
      <c r="H223" s="3052">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49">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900">
        <f t="shared" si="127"/>
        <v>0</v>
      </c>
      <c r="AW223" s="900">
        <f t="shared" si="128"/>
        <v>0</v>
      </c>
      <c r="AX223" s="900">
        <f t="shared" si="129"/>
        <v>0</v>
      </c>
      <c r="AY223" s="3096">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3">
        <f t="shared" si="151"/>
        <v>0</v>
      </c>
    </row>
    <row r="224" spans="1:72">
      <c r="A224" s="3047"/>
      <c r="B224" s="3048"/>
      <c r="C224" s="3048"/>
      <c r="D224" s="3053"/>
      <c r="E224" s="3049">
        <f t="shared" si="123"/>
        <v>0</v>
      </c>
      <c r="F224" s="3050"/>
      <c r="G224" s="3051">
        <f t="shared" si="124"/>
        <v>0</v>
      </c>
      <c r="H224" s="3052">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49">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900">
        <f t="shared" si="127"/>
        <v>0</v>
      </c>
      <c r="AW224" s="900">
        <f t="shared" si="128"/>
        <v>0</v>
      </c>
      <c r="AX224" s="900">
        <f t="shared" si="129"/>
        <v>0</v>
      </c>
      <c r="AY224" s="3096">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3">
        <f t="shared" si="151"/>
        <v>0</v>
      </c>
    </row>
    <row r="225" spans="1:72">
      <c r="A225" s="3047"/>
      <c r="B225" s="3048"/>
      <c r="C225" s="3048"/>
      <c r="D225" s="3053"/>
      <c r="E225" s="3049">
        <f t="shared" si="123"/>
        <v>0</v>
      </c>
      <c r="F225" s="3050"/>
      <c r="G225" s="3051">
        <f t="shared" si="124"/>
        <v>0</v>
      </c>
      <c r="H225" s="3052">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49">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900">
        <f t="shared" si="127"/>
        <v>0</v>
      </c>
      <c r="AW225" s="900">
        <f t="shared" si="128"/>
        <v>0</v>
      </c>
      <c r="AX225" s="900">
        <f t="shared" si="129"/>
        <v>0</v>
      </c>
      <c r="AY225" s="3096">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3">
        <f t="shared" si="151"/>
        <v>0</v>
      </c>
    </row>
    <row r="226" spans="1:72">
      <c r="A226" s="3047"/>
      <c r="B226" s="3048"/>
      <c r="C226" s="3048"/>
      <c r="D226" s="3053"/>
      <c r="E226" s="3049">
        <f t="shared" si="123"/>
        <v>0</v>
      </c>
      <c r="F226" s="3050"/>
      <c r="G226" s="3051">
        <f t="shared" si="124"/>
        <v>0</v>
      </c>
      <c r="H226" s="3052">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49">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900">
        <f t="shared" si="127"/>
        <v>0</v>
      </c>
      <c r="AW226" s="900">
        <f t="shared" si="128"/>
        <v>0</v>
      </c>
      <c r="AX226" s="900">
        <f t="shared" si="129"/>
        <v>0</v>
      </c>
      <c r="AY226" s="3096">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3">
        <f t="shared" si="151"/>
        <v>0</v>
      </c>
    </row>
    <row r="227" spans="1:72">
      <c r="A227" s="3047"/>
      <c r="B227" s="3048"/>
      <c r="C227" s="3048"/>
      <c r="D227" s="3053"/>
      <c r="E227" s="3049">
        <f t="shared" si="123"/>
        <v>0</v>
      </c>
      <c r="F227" s="3050"/>
      <c r="G227" s="3051">
        <f t="shared" si="124"/>
        <v>0</v>
      </c>
      <c r="H227" s="3052">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49">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900">
        <f t="shared" si="127"/>
        <v>0</v>
      </c>
      <c r="AW227" s="900">
        <f t="shared" si="128"/>
        <v>0</v>
      </c>
      <c r="AX227" s="900">
        <f t="shared" si="129"/>
        <v>0</v>
      </c>
      <c r="AY227" s="3096">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3">
        <f t="shared" si="151"/>
        <v>0</v>
      </c>
    </row>
    <row r="228" spans="1:72">
      <c r="A228" s="3047"/>
      <c r="B228" s="3048"/>
      <c r="C228" s="3048"/>
      <c r="D228" s="3053"/>
      <c r="E228" s="3049">
        <f t="shared" si="123"/>
        <v>0</v>
      </c>
      <c r="F228" s="3050"/>
      <c r="G228" s="3051">
        <f t="shared" si="124"/>
        <v>0</v>
      </c>
      <c r="H228" s="3052">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49">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900">
        <f t="shared" si="127"/>
        <v>0</v>
      </c>
      <c r="AW228" s="900">
        <f t="shared" si="128"/>
        <v>0</v>
      </c>
      <c r="AX228" s="900">
        <f t="shared" si="129"/>
        <v>0</v>
      </c>
      <c r="AY228" s="3096">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3">
        <f t="shared" si="151"/>
        <v>0</v>
      </c>
    </row>
    <row r="229" spans="1:72">
      <c r="A229" s="3047"/>
      <c r="B229" s="3048"/>
      <c r="C229" s="3048"/>
      <c r="D229" s="3053"/>
      <c r="E229" s="3049">
        <f t="shared" si="123"/>
        <v>0</v>
      </c>
      <c r="F229" s="3050"/>
      <c r="G229" s="3051">
        <f t="shared" si="124"/>
        <v>0</v>
      </c>
      <c r="H229" s="3052">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49">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900">
        <f t="shared" si="127"/>
        <v>0</v>
      </c>
      <c r="AW229" s="900">
        <f t="shared" si="128"/>
        <v>0</v>
      </c>
      <c r="AX229" s="900">
        <f t="shared" si="129"/>
        <v>0</v>
      </c>
      <c r="AY229" s="3096">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3">
        <f t="shared" si="151"/>
        <v>0</v>
      </c>
    </row>
    <row r="230" spans="1:72">
      <c r="A230" s="3047"/>
      <c r="B230" s="3048"/>
      <c r="C230" s="3048"/>
      <c r="D230" s="3053"/>
      <c r="E230" s="3049">
        <f t="shared" si="123"/>
        <v>0</v>
      </c>
      <c r="F230" s="3050"/>
      <c r="G230" s="3051">
        <f t="shared" si="124"/>
        <v>0</v>
      </c>
      <c r="H230" s="3052">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49">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900">
        <f t="shared" si="127"/>
        <v>0</v>
      </c>
      <c r="AW230" s="900">
        <f t="shared" si="128"/>
        <v>0</v>
      </c>
      <c r="AX230" s="900">
        <f t="shared" si="129"/>
        <v>0</v>
      </c>
      <c r="AY230" s="3096">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3">
        <f t="shared" si="151"/>
        <v>0</v>
      </c>
    </row>
    <row r="231" spans="1:72">
      <c r="A231" s="3047"/>
      <c r="B231" s="3048"/>
      <c r="C231" s="3048"/>
      <c r="D231" s="3053"/>
      <c r="E231" s="3049">
        <f t="shared" si="123"/>
        <v>0</v>
      </c>
      <c r="F231" s="3050"/>
      <c r="G231" s="3051">
        <f t="shared" si="124"/>
        <v>0</v>
      </c>
      <c r="H231" s="3052">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49">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900">
        <f t="shared" si="127"/>
        <v>0</v>
      </c>
      <c r="AW231" s="900">
        <f t="shared" si="128"/>
        <v>0</v>
      </c>
      <c r="AX231" s="900">
        <f t="shared" si="129"/>
        <v>0</v>
      </c>
      <c r="AY231" s="3096">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3">
        <f t="shared" si="151"/>
        <v>0</v>
      </c>
    </row>
    <row r="232" spans="1:72">
      <c r="A232" s="3047"/>
      <c r="B232" s="3048"/>
      <c r="C232" s="3048"/>
      <c r="D232" s="3053"/>
      <c r="E232" s="3049">
        <f t="shared" si="123"/>
        <v>0</v>
      </c>
      <c r="F232" s="3050"/>
      <c r="G232" s="3051">
        <f t="shared" si="124"/>
        <v>0</v>
      </c>
      <c r="H232" s="3052">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49">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900">
        <f t="shared" si="127"/>
        <v>0</v>
      </c>
      <c r="AW232" s="900">
        <f t="shared" si="128"/>
        <v>0</v>
      </c>
      <c r="AX232" s="900">
        <f t="shared" si="129"/>
        <v>0</v>
      </c>
      <c r="AY232" s="3096">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3">
        <f t="shared" si="151"/>
        <v>0</v>
      </c>
    </row>
    <row r="233" spans="1:72">
      <c r="A233" s="3047"/>
      <c r="B233" s="3048"/>
      <c r="C233" s="3048"/>
      <c r="D233" s="3053"/>
      <c r="E233" s="3049">
        <f t="shared" si="123"/>
        <v>0</v>
      </c>
      <c r="F233" s="3050"/>
      <c r="G233" s="3051">
        <f t="shared" si="124"/>
        <v>0</v>
      </c>
      <c r="H233" s="3052">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49">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900">
        <f t="shared" si="127"/>
        <v>0</v>
      </c>
      <c r="AW233" s="900">
        <f t="shared" si="128"/>
        <v>0</v>
      </c>
      <c r="AX233" s="900">
        <f t="shared" si="129"/>
        <v>0</v>
      </c>
      <c r="AY233" s="3096">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3">
        <f t="shared" si="151"/>
        <v>0</v>
      </c>
    </row>
    <row r="234" spans="1:72">
      <c r="A234" s="3047"/>
      <c r="B234" s="3048"/>
      <c r="C234" s="3048"/>
      <c r="D234" s="3053"/>
      <c r="E234" s="3049">
        <f t="shared" si="123"/>
        <v>0</v>
      </c>
      <c r="F234" s="3050"/>
      <c r="G234" s="3051">
        <f t="shared" si="124"/>
        <v>0</v>
      </c>
      <c r="H234" s="3052">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49">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900">
        <f t="shared" si="127"/>
        <v>0</v>
      </c>
      <c r="AW234" s="900">
        <f t="shared" si="128"/>
        <v>0</v>
      </c>
      <c r="AX234" s="900">
        <f t="shared" si="129"/>
        <v>0</v>
      </c>
      <c r="AY234" s="3096">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3">
        <f t="shared" si="151"/>
        <v>0</v>
      </c>
    </row>
    <row r="235" spans="1:72">
      <c r="A235" s="3047"/>
      <c r="B235" s="3048"/>
      <c r="C235" s="3048"/>
      <c r="D235" s="3053"/>
      <c r="E235" s="3049">
        <f t="shared" si="123"/>
        <v>0</v>
      </c>
      <c r="F235" s="3050"/>
      <c r="G235" s="3051">
        <f t="shared" si="124"/>
        <v>0</v>
      </c>
      <c r="H235" s="3052">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49">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900">
        <f t="shared" si="127"/>
        <v>0</v>
      </c>
      <c r="AW235" s="900">
        <f t="shared" si="128"/>
        <v>0</v>
      </c>
      <c r="AX235" s="900">
        <f t="shared" si="129"/>
        <v>0</v>
      </c>
      <c r="AY235" s="3096">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3">
        <f t="shared" si="151"/>
        <v>0</v>
      </c>
    </row>
    <row r="236" spans="1:72">
      <c r="A236" s="3047"/>
      <c r="B236" s="3048"/>
      <c r="C236" s="3048"/>
      <c r="D236" s="3053"/>
      <c r="E236" s="3049">
        <f t="shared" si="123"/>
        <v>0</v>
      </c>
      <c r="F236" s="3050"/>
      <c r="G236" s="3051">
        <f t="shared" si="124"/>
        <v>0</v>
      </c>
      <c r="H236" s="3052">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49">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900">
        <f t="shared" si="127"/>
        <v>0</v>
      </c>
      <c r="AW236" s="900">
        <f t="shared" si="128"/>
        <v>0</v>
      </c>
      <c r="AX236" s="900">
        <f t="shared" si="129"/>
        <v>0</v>
      </c>
      <c r="AY236" s="3096">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3">
        <f t="shared" si="151"/>
        <v>0</v>
      </c>
    </row>
    <row r="237" spans="1:72">
      <c r="A237" s="3047"/>
      <c r="B237" s="3048"/>
      <c r="C237" s="3048"/>
      <c r="D237" s="3053"/>
      <c r="E237" s="3049">
        <f t="shared" si="123"/>
        <v>0</v>
      </c>
      <c r="F237" s="3050"/>
      <c r="G237" s="3051">
        <f t="shared" si="124"/>
        <v>0</v>
      </c>
      <c r="H237" s="3052">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49">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900">
        <f t="shared" si="127"/>
        <v>0</v>
      </c>
      <c r="AW237" s="900">
        <f t="shared" si="128"/>
        <v>0</v>
      </c>
      <c r="AX237" s="900">
        <f t="shared" si="129"/>
        <v>0</v>
      </c>
      <c r="AY237" s="3096">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3">
        <f t="shared" si="151"/>
        <v>0</v>
      </c>
    </row>
    <row r="238" spans="1:72">
      <c r="A238" s="3047"/>
      <c r="B238" s="3048"/>
      <c r="C238" s="3048"/>
      <c r="D238" s="3053"/>
      <c r="E238" s="3049">
        <f t="shared" si="123"/>
        <v>0</v>
      </c>
      <c r="F238" s="3050"/>
      <c r="G238" s="3051">
        <f t="shared" si="124"/>
        <v>0</v>
      </c>
      <c r="H238" s="3052">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49">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900">
        <f t="shared" si="127"/>
        <v>0</v>
      </c>
      <c r="AW238" s="900">
        <f t="shared" si="128"/>
        <v>0</v>
      </c>
      <c r="AX238" s="900">
        <f t="shared" si="129"/>
        <v>0</v>
      </c>
      <c r="AY238" s="3096">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3">
        <f t="shared" si="151"/>
        <v>0</v>
      </c>
    </row>
    <row r="239" spans="1:72">
      <c r="A239" s="3047"/>
      <c r="B239" s="3048"/>
      <c r="C239" s="3048"/>
      <c r="D239" s="3053"/>
      <c r="E239" s="3049">
        <f t="shared" si="123"/>
        <v>0</v>
      </c>
      <c r="F239" s="3050"/>
      <c r="G239" s="3051">
        <f t="shared" si="124"/>
        <v>0</v>
      </c>
      <c r="H239" s="3052">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49">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900">
        <f t="shared" si="127"/>
        <v>0</v>
      </c>
      <c r="AW239" s="900">
        <f t="shared" si="128"/>
        <v>0</v>
      </c>
      <c r="AX239" s="900">
        <f t="shared" si="129"/>
        <v>0</v>
      </c>
      <c r="AY239" s="3096">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3">
        <f t="shared" si="151"/>
        <v>0</v>
      </c>
    </row>
    <row r="240" spans="1:72">
      <c r="A240" s="3047"/>
      <c r="B240" s="3048"/>
      <c r="C240" s="3048"/>
      <c r="D240" s="3053"/>
      <c r="E240" s="3049">
        <f t="shared" si="123"/>
        <v>0</v>
      </c>
      <c r="F240" s="3050"/>
      <c r="G240" s="3051">
        <f t="shared" si="124"/>
        <v>0</v>
      </c>
      <c r="H240" s="3052">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49">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900">
        <f t="shared" si="127"/>
        <v>0</v>
      </c>
      <c r="AW240" s="900">
        <f t="shared" si="128"/>
        <v>0</v>
      </c>
      <c r="AX240" s="900">
        <f t="shared" si="129"/>
        <v>0</v>
      </c>
      <c r="AY240" s="3096">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3">
        <f t="shared" si="151"/>
        <v>0</v>
      </c>
    </row>
    <row r="241" spans="1:72">
      <c r="A241" s="3047"/>
      <c r="B241" s="3048"/>
      <c r="C241" s="3048"/>
      <c r="D241" s="3053"/>
      <c r="E241" s="3049">
        <f t="shared" si="123"/>
        <v>0</v>
      </c>
      <c r="F241" s="3050"/>
      <c r="G241" s="3051">
        <f t="shared" si="124"/>
        <v>0</v>
      </c>
      <c r="H241" s="3052">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49">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900">
        <f t="shared" si="127"/>
        <v>0</v>
      </c>
      <c r="AW241" s="900">
        <f t="shared" si="128"/>
        <v>0</v>
      </c>
      <c r="AX241" s="900">
        <f t="shared" si="129"/>
        <v>0</v>
      </c>
      <c r="AY241" s="3096">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3">
        <f t="shared" si="151"/>
        <v>0</v>
      </c>
    </row>
    <row r="242" spans="1:72">
      <c r="A242" s="3047"/>
      <c r="B242" s="3048"/>
      <c r="C242" s="3048"/>
      <c r="D242" s="3053"/>
      <c r="E242" s="3049">
        <f t="shared" si="123"/>
        <v>0</v>
      </c>
      <c r="F242" s="3050"/>
      <c r="G242" s="3051">
        <f t="shared" si="124"/>
        <v>0</v>
      </c>
      <c r="H242" s="3052">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49">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900">
        <f t="shared" si="127"/>
        <v>0</v>
      </c>
      <c r="AW242" s="900">
        <f t="shared" si="128"/>
        <v>0</v>
      </c>
      <c r="AX242" s="900">
        <f t="shared" si="129"/>
        <v>0</v>
      </c>
      <c r="AY242" s="3096">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3">
        <f t="shared" si="151"/>
        <v>0</v>
      </c>
    </row>
    <row r="243" spans="1:72">
      <c r="A243" s="3047"/>
      <c r="B243" s="3048"/>
      <c r="C243" s="3048"/>
      <c r="D243" s="3053"/>
      <c r="E243" s="3049">
        <f t="shared" si="123"/>
        <v>0</v>
      </c>
      <c r="F243" s="3050"/>
      <c r="G243" s="3051">
        <f t="shared" si="124"/>
        <v>0</v>
      </c>
      <c r="H243" s="3052">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49">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900">
        <f t="shared" si="127"/>
        <v>0</v>
      </c>
      <c r="AW243" s="900">
        <f t="shared" si="128"/>
        <v>0</v>
      </c>
      <c r="AX243" s="900">
        <f t="shared" si="129"/>
        <v>0</v>
      </c>
      <c r="AY243" s="3096">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3">
        <f t="shared" si="151"/>
        <v>0</v>
      </c>
    </row>
    <row r="244" spans="1:72">
      <c r="A244" s="3047"/>
      <c r="B244" s="3048"/>
      <c r="C244" s="3048"/>
      <c r="D244" s="3053"/>
      <c r="E244" s="3049">
        <f t="shared" si="123"/>
        <v>0</v>
      </c>
      <c r="F244" s="3050"/>
      <c r="G244" s="3051">
        <f t="shared" si="124"/>
        <v>0</v>
      </c>
      <c r="H244" s="3052">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49">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900">
        <f t="shared" si="127"/>
        <v>0</v>
      </c>
      <c r="AW244" s="900">
        <f t="shared" si="128"/>
        <v>0</v>
      </c>
      <c r="AX244" s="900">
        <f t="shared" si="129"/>
        <v>0</v>
      </c>
      <c r="AY244" s="3096">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3">
        <f t="shared" si="151"/>
        <v>0</v>
      </c>
    </row>
    <row r="245" spans="1:72">
      <c r="A245" s="3047"/>
      <c r="B245" s="3048"/>
      <c r="C245" s="3048"/>
      <c r="D245" s="3053"/>
      <c r="E245" s="3049">
        <f t="shared" si="123"/>
        <v>0</v>
      </c>
      <c r="F245" s="3050"/>
      <c r="G245" s="3051">
        <f t="shared" si="124"/>
        <v>0</v>
      </c>
      <c r="H245" s="3052">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49">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900">
        <f t="shared" si="127"/>
        <v>0</v>
      </c>
      <c r="AW245" s="900">
        <f t="shared" si="128"/>
        <v>0</v>
      </c>
      <c r="AX245" s="900">
        <f t="shared" si="129"/>
        <v>0</v>
      </c>
      <c r="AY245" s="3096">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3">
        <f t="shared" si="151"/>
        <v>0</v>
      </c>
    </row>
    <row r="246" spans="1:72">
      <c r="A246" s="3047"/>
      <c r="B246" s="3048"/>
      <c r="C246" s="3048"/>
      <c r="D246" s="3053"/>
      <c r="E246" s="3049">
        <f t="shared" si="123"/>
        <v>0</v>
      </c>
      <c r="F246" s="3050"/>
      <c r="G246" s="3051">
        <f t="shared" si="124"/>
        <v>0</v>
      </c>
      <c r="H246" s="3052">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49">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900">
        <f t="shared" si="127"/>
        <v>0</v>
      </c>
      <c r="AW246" s="900">
        <f t="shared" si="128"/>
        <v>0</v>
      </c>
      <c r="AX246" s="900">
        <f t="shared" si="129"/>
        <v>0</v>
      </c>
      <c r="AY246" s="3096">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3">
        <f t="shared" si="151"/>
        <v>0</v>
      </c>
    </row>
    <row r="247" spans="1:72">
      <c r="A247" s="3047"/>
      <c r="B247" s="3048"/>
      <c r="C247" s="3048"/>
      <c r="D247" s="3053"/>
      <c r="E247" s="3049">
        <f t="shared" si="123"/>
        <v>0</v>
      </c>
      <c r="F247" s="3050"/>
      <c r="G247" s="3051">
        <f t="shared" si="124"/>
        <v>0</v>
      </c>
      <c r="H247" s="3052">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49">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900">
        <f t="shared" si="127"/>
        <v>0</v>
      </c>
      <c r="AW247" s="900">
        <f t="shared" si="128"/>
        <v>0</v>
      </c>
      <c r="AX247" s="900">
        <f t="shared" si="129"/>
        <v>0</v>
      </c>
      <c r="AY247" s="3096">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3">
        <f t="shared" si="151"/>
        <v>0</v>
      </c>
    </row>
    <row r="248" spans="1:72">
      <c r="A248" s="3047"/>
      <c r="B248" s="3048"/>
      <c r="C248" s="3048"/>
      <c r="D248" s="3053"/>
      <c r="E248" s="3049">
        <f t="shared" si="123"/>
        <v>0</v>
      </c>
      <c r="F248" s="3050"/>
      <c r="G248" s="3051">
        <f t="shared" si="124"/>
        <v>0</v>
      </c>
      <c r="H248" s="3052">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49">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900">
        <f t="shared" si="127"/>
        <v>0</v>
      </c>
      <c r="AW248" s="900">
        <f t="shared" si="128"/>
        <v>0</v>
      </c>
      <c r="AX248" s="900">
        <f t="shared" si="129"/>
        <v>0</v>
      </c>
      <c r="AY248" s="3096">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3">
        <f t="shared" si="151"/>
        <v>0</v>
      </c>
    </row>
    <row r="249" spans="1:72">
      <c r="A249" s="3047"/>
      <c r="B249" s="3048"/>
      <c r="C249" s="3048"/>
      <c r="D249" s="3053"/>
      <c r="E249" s="3049">
        <f t="shared" si="123"/>
        <v>0</v>
      </c>
      <c r="F249" s="3050"/>
      <c r="G249" s="3051">
        <f t="shared" si="124"/>
        <v>0</v>
      </c>
      <c r="H249" s="3052">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49">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900">
        <f t="shared" si="127"/>
        <v>0</v>
      </c>
      <c r="AW249" s="900">
        <f t="shared" si="128"/>
        <v>0</v>
      </c>
      <c r="AX249" s="900">
        <f t="shared" si="129"/>
        <v>0</v>
      </c>
      <c r="AY249" s="3096">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3">
        <f t="shared" si="151"/>
        <v>0</v>
      </c>
    </row>
    <row r="250" spans="1:72">
      <c r="A250" s="3047"/>
      <c r="B250" s="3048"/>
      <c r="C250" s="3048"/>
      <c r="D250" s="3053"/>
      <c r="E250" s="3049">
        <f t="shared" si="123"/>
        <v>0</v>
      </c>
      <c r="F250" s="3050"/>
      <c r="G250" s="3051">
        <f t="shared" si="124"/>
        <v>0</v>
      </c>
      <c r="H250" s="3052">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49">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900">
        <f t="shared" si="127"/>
        <v>0</v>
      </c>
      <c r="AW250" s="900">
        <f t="shared" si="128"/>
        <v>0</v>
      </c>
      <c r="AX250" s="900">
        <f t="shared" si="129"/>
        <v>0</v>
      </c>
      <c r="AY250" s="3096">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3">
        <f t="shared" si="151"/>
        <v>0</v>
      </c>
    </row>
    <row r="251" spans="1:72">
      <c r="A251" s="3047"/>
      <c r="B251" s="3048"/>
      <c r="C251" s="3048"/>
      <c r="D251" s="3053"/>
      <c r="E251" s="3049">
        <f t="shared" si="123"/>
        <v>0</v>
      </c>
      <c r="F251" s="3050"/>
      <c r="G251" s="3051">
        <f t="shared" si="124"/>
        <v>0</v>
      </c>
      <c r="H251" s="3052">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49">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900">
        <f t="shared" si="127"/>
        <v>0</v>
      </c>
      <c r="AW251" s="900">
        <f t="shared" si="128"/>
        <v>0</v>
      </c>
      <c r="AX251" s="900">
        <f t="shared" si="129"/>
        <v>0</v>
      </c>
      <c r="AY251" s="3096">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3">
        <f t="shared" si="151"/>
        <v>0</v>
      </c>
    </row>
    <row r="252" spans="1:72">
      <c r="A252" s="3047"/>
      <c r="B252" s="3048"/>
      <c r="C252" s="3048"/>
      <c r="D252" s="3053"/>
      <c r="E252" s="3049">
        <f t="shared" si="123"/>
        <v>0</v>
      </c>
      <c r="F252" s="3050"/>
      <c r="G252" s="3051">
        <f t="shared" si="124"/>
        <v>0</v>
      </c>
      <c r="H252" s="3052">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49">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900">
        <f t="shared" si="127"/>
        <v>0</v>
      </c>
      <c r="AW252" s="900">
        <f t="shared" si="128"/>
        <v>0</v>
      </c>
      <c r="AX252" s="900">
        <f t="shared" si="129"/>
        <v>0</v>
      </c>
      <c r="AY252" s="3096">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3">
        <f t="shared" si="151"/>
        <v>0</v>
      </c>
    </row>
    <row r="253" spans="1:72">
      <c r="A253" s="3047"/>
      <c r="B253" s="3048"/>
      <c r="C253" s="3048"/>
      <c r="D253" s="3053"/>
      <c r="E253" s="3049">
        <f t="shared" si="123"/>
        <v>0</v>
      </c>
      <c r="F253" s="3050"/>
      <c r="G253" s="3051">
        <f t="shared" si="124"/>
        <v>0</v>
      </c>
      <c r="H253" s="3052">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49">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900">
        <f t="shared" si="127"/>
        <v>0</v>
      </c>
      <c r="AW253" s="900">
        <f t="shared" si="128"/>
        <v>0</v>
      </c>
      <c r="AX253" s="900">
        <f t="shared" si="129"/>
        <v>0</v>
      </c>
      <c r="AY253" s="3096">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3">
        <f t="shared" si="151"/>
        <v>0</v>
      </c>
    </row>
    <row r="254" spans="1:72">
      <c r="A254" s="3047"/>
      <c r="B254" s="3048"/>
      <c r="C254" s="3048"/>
      <c r="D254" s="3053"/>
      <c r="E254" s="3049">
        <f t="shared" si="123"/>
        <v>0</v>
      </c>
      <c r="F254" s="3050"/>
      <c r="G254" s="3051">
        <f t="shared" si="124"/>
        <v>0</v>
      </c>
      <c r="H254" s="3052">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49">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900">
        <f t="shared" si="127"/>
        <v>0</v>
      </c>
      <c r="AW254" s="900">
        <f t="shared" si="128"/>
        <v>0</v>
      </c>
      <c r="AX254" s="900">
        <f t="shared" si="129"/>
        <v>0</v>
      </c>
      <c r="AY254" s="3096">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3">
        <f t="shared" si="151"/>
        <v>0</v>
      </c>
    </row>
    <row r="255" spans="1:72">
      <c r="A255" s="3047"/>
      <c r="B255" s="3048"/>
      <c r="C255" s="3048"/>
      <c r="D255" s="3053"/>
      <c r="E255" s="3049">
        <f t="shared" si="123"/>
        <v>0</v>
      </c>
      <c r="F255" s="3050"/>
      <c r="G255" s="3051">
        <f t="shared" si="124"/>
        <v>0</v>
      </c>
      <c r="H255" s="3052">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49">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900">
        <f t="shared" si="127"/>
        <v>0</v>
      </c>
      <c r="AW255" s="900">
        <f t="shared" si="128"/>
        <v>0</v>
      </c>
      <c r="AX255" s="900">
        <f t="shared" si="129"/>
        <v>0</v>
      </c>
      <c r="AY255" s="3096">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3">
        <f t="shared" si="151"/>
        <v>0</v>
      </c>
    </row>
    <row r="256" spans="1:72">
      <c r="A256" s="3047"/>
      <c r="B256" s="3048"/>
      <c r="C256" s="3048"/>
      <c r="D256" s="3053"/>
      <c r="E256" s="3049">
        <f t="shared" si="123"/>
        <v>0</v>
      </c>
      <c r="F256" s="3050"/>
      <c r="G256" s="3051">
        <f t="shared" si="124"/>
        <v>0</v>
      </c>
      <c r="H256" s="3052">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49">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900">
        <f t="shared" si="127"/>
        <v>0</v>
      </c>
      <c r="AW256" s="900">
        <f t="shared" si="128"/>
        <v>0</v>
      </c>
      <c r="AX256" s="900">
        <f t="shared" si="129"/>
        <v>0</v>
      </c>
      <c r="AY256" s="3096">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3">
        <f t="shared" si="151"/>
        <v>0</v>
      </c>
    </row>
    <row r="257" spans="1:72">
      <c r="A257" s="3047"/>
      <c r="B257" s="3048"/>
      <c r="C257" s="3048"/>
      <c r="D257" s="3053"/>
      <c r="E257" s="3049">
        <f t="shared" si="123"/>
        <v>0</v>
      </c>
      <c r="F257" s="3050"/>
      <c r="G257" s="3051">
        <f t="shared" si="124"/>
        <v>0</v>
      </c>
      <c r="H257" s="3052">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49">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900">
        <f t="shared" si="127"/>
        <v>0</v>
      </c>
      <c r="AW257" s="900">
        <f t="shared" si="128"/>
        <v>0</v>
      </c>
      <c r="AX257" s="900">
        <f t="shared" si="129"/>
        <v>0</v>
      </c>
      <c r="AY257" s="3096">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3">
        <f t="shared" si="151"/>
        <v>0</v>
      </c>
    </row>
    <row r="258" spans="1:72">
      <c r="A258" s="3047"/>
      <c r="B258" s="3048"/>
      <c r="C258" s="3048"/>
      <c r="D258" s="3053"/>
      <c r="E258" s="3049">
        <f t="shared" si="123"/>
        <v>0</v>
      </c>
      <c r="F258" s="3050"/>
      <c r="G258" s="3051">
        <f t="shared" si="124"/>
        <v>0</v>
      </c>
      <c r="H258" s="3052">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49">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900">
        <f t="shared" si="127"/>
        <v>0</v>
      </c>
      <c r="AW258" s="900">
        <f t="shared" si="128"/>
        <v>0</v>
      </c>
      <c r="AX258" s="900">
        <f t="shared" si="129"/>
        <v>0</v>
      </c>
      <c r="AY258" s="3096">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3">
        <f t="shared" si="151"/>
        <v>0</v>
      </c>
    </row>
    <row r="259" spans="1:72">
      <c r="A259" s="3047"/>
      <c r="B259" s="3048"/>
      <c r="C259" s="3048"/>
      <c r="D259" s="3053"/>
      <c r="E259" s="3049">
        <f t="shared" si="123"/>
        <v>0</v>
      </c>
      <c r="F259" s="3050"/>
      <c r="G259" s="3051">
        <f t="shared" si="124"/>
        <v>0</v>
      </c>
      <c r="H259" s="3052">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49">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900">
        <f t="shared" si="127"/>
        <v>0</v>
      </c>
      <c r="AW259" s="900">
        <f t="shared" si="128"/>
        <v>0</v>
      </c>
      <c r="AX259" s="900">
        <f t="shared" si="129"/>
        <v>0</v>
      </c>
      <c r="AY259" s="3096">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3">
        <f t="shared" si="151"/>
        <v>0</v>
      </c>
    </row>
    <row r="260" spans="1:72">
      <c r="A260" s="3047"/>
      <c r="B260" s="3048"/>
      <c r="C260" s="3048"/>
      <c r="D260" s="3053"/>
      <c r="E260" s="3049">
        <f t="shared" si="123"/>
        <v>0</v>
      </c>
      <c r="F260" s="3050"/>
      <c r="G260" s="3051">
        <f t="shared" si="124"/>
        <v>0</v>
      </c>
      <c r="H260" s="3052">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49">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900">
        <f t="shared" si="127"/>
        <v>0</v>
      </c>
      <c r="AW260" s="900">
        <f t="shared" si="128"/>
        <v>0</v>
      </c>
      <c r="AX260" s="900">
        <f t="shared" si="129"/>
        <v>0</v>
      </c>
      <c r="AY260" s="3096">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3">
        <f t="shared" si="151"/>
        <v>0</v>
      </c>
    </row>
    <row r="261" spans="1:72">
      <c r="A261" s="3047"/>
      <c r="B261" s="3048"/>
      <c r="C261" s="3048"/>
      <c r="D261" s="3053"/>
      <c r="E261" s="3049">
        <f t="shared" si="123"/>
        <v>0</v>
      </c>
      <c r="F261" s="3050"/>
      <c r="G261" s="3051">
        <f t="shared" si="124"/>
        <v>0</v>
      </c>
      <c r="H261" s="3052">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49">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900">
        <f t="shared" si="127"/>
        <v>0</v>
      </c>
      <c r="AW261" s="900">
        <f t="shared" si="128"/>
        <v>0</v>
      </c>
      <c r="AX261" s="900">
        <f t="shared" si="129"/>
        <v>0</v>
      </c>
      <c r="AY261" s="3096">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3">
        <f t="shared" si="151"/>
        <v>0</v>
      </c>
    </row>
    <row r="262" spans="1:72">
      <c r="A262" s="3047"/>
      <c r="B262" s="3048"/>
      <c r="C262" s="3048"/>
      <c r="D262" s="3053"/>
      <c r="E262" s="3049">
        <f t="shared" si="123"/>
        <v>0</v>
      </c>
      <c r="F262" s="3050"/>
      <c r="G262" s="3051">
        <f t="shared" si="124"/>
        <v>0</v>
      </c>
      <c r="H262" s="3052">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49">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900">
        <f t="shared" si="127"/>
        <v>0</v>
      </c>
      <c r="AW262" s="900">
        <f t="shared" si="128"/>
        <v>0</v>
      </c>
      <c r="AX262" s="900">
        <f t="shared" si="129"/>
        <v>0</v>
      </c>
      <c r="AY262" s="3096">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3">
        <f t="shared" si="151"/>
        <v>0</v>
      </c>
    </row>
    <row r="263" spans="1:72">
      <c r="A263" s="3047"/>
      <c r="B263" s="3048"/>
      <c r="C263" s="3048"/>
      <c r="D263" s="3053"/>
      <c r="E263" s="3049">
        <f t="shared" si="123"/>
        <v>0</v>
      </c>
      <c r="F263" s="3050"/>
      <c r="G263" s="3051">
        <f t="shared" si="124"/>
        <v>0</v>
      </c>
      <c r="H263" s="3052">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49">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900">
        <f t="shared" si="127"/>
        <v>0</v>
      </c>
      <c r="AW263" s="900">
        <f t="shared" si="128"/>
        <v>0</v>
      </c>
      <c r="AX263" s="900">
        <f t="shared" si="129"/>
        <v>0</v>
      </c>
      <c r="AY263" s="3096">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3">
        <f t="shared" si="151"/>
        <v>0</v>
      </c>
    </row>
    <row r="264" spans="1:72">
      <c r="A264" s="3047"/>
      <c r="B264" s="3048"/>
      <c r="C264" s="3048"/>
      <c r="D264" s="3053"/>
      <c r="E264" s="3049">
        <f t="shared" si="123"/>
        <v>0</v>
      </c>
      <c r="F264" s="3050"/>
      <c r="G264" s="3051">
        <f t="shared" si="124"/>
        <v>0</v>
      </c>
      <c r="H264" s="3052">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49">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900">
        <f t="shared" si="127"/>
        <v>0</v>
      </c>
      <c r="AW264" s="900">
        <f t="shared" si="128"/>
        <v>0</v>
      </c>
      <c r="AX264" s="900">
        <f t="shared" si="129"/>
        <v>0</v>
      </c>
      <c r="AY264" s="3096">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3">
        <f t="shared" si="151"/>
        <v>0</v>
      </c>
    </row>
    <row r="265" spans="1:72">
      <c r="A265" s="3047"/>
      <c r="B265" s="3048"/>
      <c r="C265" s="3048"/>
      <c r="D265" s="3053"/>
      <c r="E265" s="3049">
        <f t="shared" si="123"/>
        <v>0</v>
      </c>
      <c r="F265" s="3050"/>
      <c r="G265" s="3051">
        <f t="shared" si="124"/>
        <v>0</v>
      </c>
      <c r="H265" s="3052">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49">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900">
        <f t="shared" si="127"/>
        <v>0</v>
      </c>
      <c r="AW265" s="900">
        <f t="shared" si="128"/>
        <v>0</v>
      </c>
      <c r="AX265" s="900">
        <f t="shared" si="129"/>
        <v>0</v>
      </c>
      <c r="AY265" s="3096">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3">
        <f t="shared" si="151"/>
        <v>0</v>
      </c>
    </row>
    <row r="266" spans="1:72">
      <c r="A266" s="3047"/>
      <c r="B266" s="3048"/>
      <c r="C266" s="3048"/>
      <c r="D266" s="3053"/>
      <c r="E266" s="3049">
        <f t="shared" si="123"/>
        <v>0</v>
      </c>
      <c r="F266" s="3050"/>
      <c r="G266" s="3051">
        <f t="shared" si="124"/>
        <v>0</v>
      </c>
      <c r="H266" s="3052">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49">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900">
        <f t="shared" si="127"/>
        <v>0</v>
      </c>
      <c r="AW266" s="900">
        <f t="shared" si="128"/>
        <v>0</v>
      </c>
      <c r="AX266" s="900">
        <f t="shared" si="129"/>
        <v>0</v>
      </c>
      <c r="AY266" s="3096">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3">
        <f t="shared" si="151"/>
        <v>0</v>
      </c>
    </row>
    <row r="267" spans="1:72">
      <c r="A267" s="3047"/>
      <c r="B267" s="3048"/>
      <c r="C267" s="3048"/>
      <c r="D267" s="3053"/>
      <c r="E267" s="3049">
        <f t="shared" si="123"/>
        <v>0</v>
      </c>
      <c r="F267" s="3050"/>
      <c r="G267" s="3051">
        <f t="shared" si="124"/>
        <v>0</v>
      </c>
      <c r="H267" s="3052">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49">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900">
        <f t="shared" si="127"/>
        <v>0</v>
      </c>
      <c r="AW267" s="900">
        <f t="shared" si="128"/>
        <v>0</v>
      </c>
      <c r="AX267" s="900">
        <f t="shared" si="129"/>
        <v>0</v>
      </c>
      <c r="AY267" s="3096">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3">
        <f t="shared" si="151"/>
        <v>0</v>
      </c>
    </row>
    <row r="268" spans="1:72">
      <c r="A268" s="3047"/>
      <c r="B268" s="3048"/>
      <c r="C268" s="3048"/>
      <c r="D268" s="3053"/>
      <c r="E268" s="3049">
        <f t="shared" si="123"/>
        <v>0</v>
      </c>
      <c r="F268" s="3050"/>
      <c r="G268" s="3051">
        <f t="shared" si="124"/>
        <v>0</v>
      </c>
      <c r="H268" s="3052">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49">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900">
        <f t="shared" si="127"/>
        <v>0</v>
      </c>
      <c r="AW268" s="900">
        <f t="shared" si="128"/>
        <v>0</v>
      </c>
      <c r="AX268" s="900">
        <f t="shared" si="129"/>
        <v>0</v>
      </c>
      <c r="AY268" s="3096">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3">
        <f t="shared" si="151"/>
        <v>0</v>
      </c>
    </row>
    <row r="269" spans="1:72">
      <c r="A269" s="3047"/>
      <c r="B269" s="3048"/>
      <c r="C269" s="3048"/>
      <c r="D269" s="3053"/>
      <c r="E269" s="3049">
        <f t="shared" si="123"/>
        <v>0</v>
      </c>
      <c r="F269" s="3050"/>
      <c r="G269" s="3051">
        <f t="shared" si="124"/>
        <v>0</v>
      </c>
      <c r="H269" s="3052">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49">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900">
        <f t="shared" si="127"/>
        <v>0</v>
      </c>
      <c r="AW269" s="900">
        <f t="shared" si="128"/>
        <v>0</v>
      </c>
      <c r="AX269" s="900">
        <f t="shared" si="129"/>
        <v>0</v>
      </c>
      <c r="AY269" s="3096">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3">
        <f t="shared" si="151"/>
        <v>0</v>
      </c>
    </row>
    <row r="270" spans="1:72">
      <c r="A270" s="3047"/>
      <c r="B270" s="3048"/>
      <c r="C270" s="3048"/>
      <c r="D270" s="3053"/>
      <c r="E270" s="3049">
        <f t="shared" si="123"/>
        <v>0</v>
      </c>
      <c r="F270" s="3050"/>
      <c r="G270" s="3051">
        <f t="shared" si="124"/>
        <v>0</v>
      </c>
      <c r="H270" s="3052">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49">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900">
        <f t="shared" si="127"/>
        <v>0</v>
      </c>
      <c r="AW270" s="900">
        <f t="shared" si="128"/>
        <v>0</v>
      </c>
      <c r="AX270" s="900">
        <f t="shared" si="129"/>
        <v>0</v>
      </c>
      <c r="AY270" s="3096">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3">
        <f t="shared" si="151"/>
        <v>0</v>
      </c>
    </row>
    <row r="271" spans="1:72">
      <c r="A271" s="3047"/>
      <c r="B271" s="3048"/>
      <c r="C271" s="3048"/>
      <c r="D271" s="3053"/>
      <c r="E271" s="3049">
        <f t="shared" si="123"/>
        <v>0</v>
      </c>
      <c r="F271" s="3050"/>
      <c r="G271" s="3051">
        <f t="shared" si="124"/>
        <v>0</v>
      </c>
      <c r="H271" s="3052">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49">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900">
        <f t="shared" si="127"/>
        <v>0</v>
      </c>
      <c r="AW271" s="900">
        <f t="shared" si="128"/>
        <v>0</v>
      </c>
      <c r="AX271" s="900">
        <f t="shared" si="129"/>
        <v>0</v>
      </c>
      <c r="AY271" s="3096">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3">
        <f t="shared" si="151"/>
        <v>0</v>
      </c>
    </row>
    <row r="272" spans="1:72">
      <c r="A272" s="3047"/>
      <c r="B272" s="3048"/>
      <c r="C272" s="3048"/>
      <c r="D272" s="3053"/>
      <c r="E272" s="3049">
        <f t="shared" si="123"/>
        <v>0</v>
      </c>
      <c r="F272" s="3050"/>
      <c r="G272" s="3051">
        <f t="shared" si="124"/>
        <v>0</v>
      </c>
      <c r="H272" s="3052">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49">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900">
        <f t="shared" si="127"/>
        <v>0</v>
      </c>
      <c r="AW272" s="900">
        <f t="shared" si="128"/>
        <v>0</v>
      </c>
      <c r="AX272" s="900">
        <f t="shared" si="129"/>
        <v>0</v>
      </c>
      <c r="AY272" s="3096">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3">
        <f t="shared" si="151"/>
        <v>0</v>
      </c>
    </row>
    <row r="273" spans="1:72">
      <c r="A273" s="3047"/>
      <c r="B273" s="3048"/>
      <c r="C273" s="3048"/>
      <c r="D273" s="3053"/>
      <c r="E273" s="3049">
        <f t="shared" si="123"/>
        <v>0</v>
      </c>
      <c r="F273" s="3050"/>
      <c r="G273" s="3051">
        <f t="shared" si="124"/>
        <v>0</v>
      </c>
      <c r="H273" s="3052">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49">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900">
        <f t="shared" si="127"/>
        <v>0</v>
      </c>
      <c r="AW273" s="900">
        <f t="shared" si="128"/>
        <v>0</v>
      </c>
      <c r="AX273" s="900">
        <f t="shared" si="129"/>
        <v>0</v>
      </c>
      <c r="AY273" s="3096">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3">
        <f t="shared" si="151"/>
        <v>0</v>
      </c>
    </row>
    <row r="274" spans="1:72">
      <c r="A274" s="3047"/>
      <c r="B274" s="3048"/>
      <c r="C274" s="3048"/>
      <c r="D274" s="3053"/>
      <c r="E274" s="3049">
        <f t="shared" si="123"/>
        <v>0</v>
      </c>
      <c r="F274" s="3050"/>
      <c r="G274" s="3051">
        <f t="shared" si="124"/>
        <v>0</v>
      </c>
      <c r="H274" s="3052">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49">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900">
        <f t="shared" si="127"/>
        <v>0</v>
      </c>
      <c r="AW274" s="900">
        <f t="shared" si="128"/>
        <v>0</v>
      </c>
      <c r="AX274" s="900">
        <f t="shared" si="129"/>
        <v>0</v>
      </c>
      <c r="AY274" s="3096">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3">
        <f t="shared" si="151"/>
        <v>0</v>
      </c>
    </row>
    <row r="275" spans="1:72">
      <c r="A275" s="3047"/>
      <c r="B275" s="3048"/>
      <c r="C275" s="3048"/>
      <c r="D275" s="3053"/>
      <c r="E275" s="3049">
        <f t="shared" si="123"/>
        <v>0</v>
      </c>
      <c r="F275" s="3050"/>
      <c r="G275" s="3051">
        <f t="shared" si="124"/>
        <v>0</v>
      </c>
      <c r="H275" s="3052">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49">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900">
        <f t="shared" si="127"/>
        <v>0</v>
      </c>
      <c r="AW275" s="900">
        <f t="shared" si="128"/>
        <v>0</v>
      </c>
      <c r="AX275" s="900">
        <f t="shared" si="129"/>
        <v>0</v>
      </c>
      <c r="AY275" s="3096">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3">
        <f t="shared" si="151"/>
        <v>0</v>
      </c>
    </row>
    <row r="276" spans="1:72">
      <c r="A276" s="3047"/>
      <c r="B276" s="3048"/>
      <c r="C276" s="3048"/>
      <c r="D276" s="3053"/>
      <c r="E276" s="3049">
        <f t="shared" si="123"/>
        <v>0</v>
      </c>
      <c r="F276" s="3050"/>
      <c r="G276" s="3051">
        <f t="shared" si="124"/>
        <v>0</v>
      </c>
      <c r="H276" s="3052">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49">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900">
        <f t="shared" si="127"/>
        <v>0</v>
      </c>
      <c r="AW276" s="900">
        <f t="shared" si="128"/>
        <v>0</v>
      </c>
      <c r="AX276" s="900">
        <f t="shared" si="129"/>
        <v>0</v>
      </c>
      <c r="AY276" s="3096">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3">
        <f t="shared" si="151"/>
        <v>0</v>
      </c>
    </row>
    <row r="277" spans="1:72">
      <c r="A277" s="3047"/>
      <c r="B277" s="3048"/>
      <c r="C277" s="3048"/>
      <c r="D277" s="3053"/>
      <c r="E277" s="3049">
        <f t="shared" si="123"/>
        <v>0</v>
      </c>
      <c r="F277" s="3050"/>
      <c r="G277" s="3051">
        <f t="shared" si="124"/>
        <v>0</v>
      </c>
      <c r="H277" s="3052">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49">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900">
        <f t="shared" si="127"/>
        <v>0</v>
      </c>
      <c r="AW277" s="900">
        <f t="shared" si="128"/>
        <v>0</v>
      </c>
      <c r="AX277" s="900">
        <f t="shared" si="129"/>
        <v>0</v>
      </c>
      <c r="AY277" s="3096">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3">
        <f t="shared" si="151"/>
        <v>0</v>
      </c>
    </row>
    <row r="278" spans="1:72">
      <c r="A278" s="3047"/>
      <c r="B278" s="3048"/>
      <c r="C278" s="3048"/>
      <c r="D278" s="3053"/>
      <c r="E278" s="3049">
        <f t="shared" si="123"/>
        <v>0</v>
      </c>
      <c r="F278" s="3050"/>
      <c r="G278" s="3051">
        <f t="shared" si="124"/>
        <v>0</v>
      </c>
      <c r="H278" s="3052">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49">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900">
        <f t="shared" si="127"/>
        <v>0</v>
      </c>
      <c r="AW278" s="900">
        <f t="shared" si="128"/>
        <v>0</v>
      </c>
      <c r="AX278" s="900">
        <f t="shared" si="129"/>
        <v>0</v>
      </c>
      <c r="AY278" s="3096">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3">
        <f t="shared" si="151"/>
        <v>0</v>
      </c>
    </row>
    <row r="279" spans="1:72">
      <c r="A279" s="3047"/>
      <c r="B279" s="3048"/>
      <c r="C279" s="3048"/>
      <c r="D279" s="3053"/>
      <c r="E279" s="3049">
        <f t="shared" si="123"/>
        <v>0</v>
      </c>
      <c r="F279" s="3050"/>
      <c r="G279" s="3051">
        <f t="shared" si="124"/>
        <v>0</v>
      </c>
      <c r="H279" s="3052">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49">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900">
        <f t="shared" si="127"/>
        <v>0</v>
      </c>
      <c r="AW279" s="900">
        <f t="shared" si="128"/>
        <v>0</v>
      </c>
      <c r="AX279" s="900">
        <f t="shared" si="129"/>
        <v>0</v>
      </c>
      <c r="AY279" s="3096">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3">
        <f t="shared" si="151"/>
        <v>0</v>
      </c>
    </row>
    <row r="280" spans="1:72">
      <c r="A280" s="3047"/>
      <c r="B280" s="3048"/>
      <c r="C280" s="3048"/>
      <c r="D280" s="3053"/>
      <c r="E280" s="3049">
        <f t="shared" si="123"/>
        <v>0</v>
      </c>
      <c r="F280" s="3050"/>
      <c r="G280" s="3051">
        <f t="shared" si="124"/>
        <v>0</v>
      </c>
      <c r="H280" s="3052">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49">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900">
        <f t="shared" si="127"/>
        <v>0</v>
      </c>
      <c r="AW280" s="900">
        <f t="shared" si="128"/>
        <v>0</v>
      </c>
      <c r="AX280" s="900">
        <f t="shared" si="129"/>
        <v>0</v>
      </c>
      <c r="AY280" s="3096">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3">
        <f t="shared" si="151"/>
        <v>0</v>
      </c>
    </row>
    <row r="281" spans="1:72">
      <c r="A281" s="3047"/>
      <c r="B281" s="3048"/>
      <c r="C281" s="3048"/>
      <c r="D281" s="3053"/>
      <c r="E281" s="3049">
        <f t="shared" si="123"/>
        <v>0</v>
      </c>
      <c r="F281" s="3050"/>
      <c r="G281" s="3051">
        <f t="shared" si="124"/>
        <v>0</v>
      </c>
      <c r="H281" s="3052">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49">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900">
        <f t="shared" si="127"/>
        <v>0</v>
      </c>
      <c r="AW281" s="900">
        <f t="shared" si="128"/>
        <v>0</v>
      </c>
      <c r="AX281" s="900">
        <f t="shared" si="129"/>
        <v>0</v>
      </c>
      <c r="AY281" s="3096">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3">
        <f t="shared" si="151"/>
        <v>0</v>
      </c>
    </row>
    <row r="282" spans="1:72">
      <c r="A282" s="3047"/>
      <c r="B282" s="3048"/>
      <c r="C282" s="3048"/>
      <c r="D282" s="3053"/>
      <c r="E282" s="3049">
        <f t="shared" si="123"/>
        <v>0</v>
      </c>
      <c r="F282" s="3050"/>
      <c r="G282" s="3051">
        <f t="shared" si="124"/>
        <v>0</v>
      </c>
      <c r="H282" s="3052">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49">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900">
        <f t="shared" si="127"/>
        <v>0</v>
      </c>
      <c r="AW282" s="900">
        <f t="shared" si="128"/>
        <v>0</v>
      </c>
      <c r="AX282" s="900">
        <f t="shared" si="129"/>
        <v>0</v>
      </c>
      <c r="AY282" s="3096">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3">
        <f t="shared" si="151"/>
        <v>0</v>
      </c>
    </row>
    <row r="283" spans="1:72">
      <c r="A283" s="3047"/>
      <c r="B283" s="3048"/>
      <c r="C283" s="3048"/>
      <c r="D283" s="3053"/>
      <c r="E283" s="3049">
        <f t="shared" si="123"/>
        <v>0</v>
      </c>
      <c r="F283" s="3050"/>
      <c r="G283" s="3051">
        <f t="shared" si="124"/>
        <v>0</v>
      </c>
      <c r="H283" s="3052">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49">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900">
        <f t="shared" si="127"/>
        <v>0</v>
      </c>
      <c r="AW283" s="900">
        <f t="shared" si="128"/>
        <v>0</v>
      </c>
      <c r="AX283" s="900">
        <f t="shared" si="129"/>
        <v>0</v>
      </c>
      <c r="AY283" s="3096">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3">
        <f t="shared" si="151"/>
        <v>0</v>
      </c>
    </row>
    <row r="284" spans="1:72">
      <c r="A284" s="3047"/>
      <c r="B284" s="3048"/>
      <c r="C284" s="3048"/>
      <c r="D284" s="3053"/>
      <c r="E284" s="3049">
        <f t="shared" si="123"/>
        <v>0</v>
      </c>
      <c r="F284" s="3050"/>
      <c r="G284" s="3051">
        <f t="shared" si="124"/>
        <v>0</v>
      </c>
      <c r="H284" s="3052">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49">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900">
        <f t="shared" si="127"/>
        <v>0</v>
      </c>
      <c r="AW284" s="900">
        <f t="shared" si="128"/>
        <v>0</v>
      </c>
      <c r="AX284" s="900">
        <f t="shared" si="129"/>
        <v>0</v>
      </c>
      <c r="AY284" s="3096">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3">
        <f t="shared" si="151"/>
        <v>0</v>
      </c>
    </row>
    <row r="285" spans="1:72">
      <c r="A285" s="3047"/>
      <c r="B285" s="3048"/>
      <c r="C285" s="3048"/>
      <c r="D285" s="3053"/>
      <c r="E285" s="3049">
        <f t="shared" si="123"/>
        <v>0</v>
      </c>
      <c r="F285" s="3050"/>
      <c r="G285" s="3051">
        <f t="shared" si="124"/>
        <v>0</v>
      </c>
      <c r="H285" s="3052">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49">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900">
        <f t="shared" si="127"/>
        <v>0</v>
      </c>
      <c r="AW285" s="900">
        <f t="shared" si="128"/>
        <v>0</v>
      </c>
      <c r="AX285" s="900">
        <f t="shared" si="129"/>
        <v>0</v>
      </c>
      <c r="AY285" s="3096">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3">
        <f t="shared" si="151"/>
        <v>0</v>
      </c>
    </row>
    <row r="286" spans="1:72">
      <c r="A286" s="3047"/>
      <c r="B286" s="3048"/>
      <c r="C286" s="3048"/>
      <c r="D286" s="3053"/>
      <c r="E286" s="3049">
        <f t="shared" si="123"/>
        <v>0</v>
      </c>
      <c r="F286" s="3050"/>
      <c r="G286" s="3051">
        <f t="shared" si="124"/>
        <v>0</v>
      </c>
      <c r="H286" s="3052">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49">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900">
        <f t="shared" si="127"/>
        <v>0</v>
      </c>
      <c r="AW286" s="900">
        <f t="shared" si="128"/>
        <v>0</v>
      </c>
      <c r="AX286" s="900">
        <f t="shared" si="129"/>
        <v>0</v>
      </c>
      <c r="AY286" s="3096">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3">
        <f t="shared" si="151"/>
        <v>0</v>
      </c>
    </row>
    <row r="287" spans="1:72">
      <c r="A287" s="3047"/>
      <c r="B287" s="3048"/>
      <c r="C287" s="3048"/>
      <c r="D287" s="3053"/>
      <c r="E287" s="3049">
        <f t="shared" si="123"/>
        <v>0</v>
      </c>
      <c r="F287" s="3050"/>
      <c r="G287" s="3051">
        <f t="shared" si="124"/>
        <v>0</v>
      </c>
      <c r="H287" s="3052">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49">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900">
        <f t="shared" si="127"/>
        <v>0</v>
      </c>
      <c r="AW287" s="900">
        <f t="shared" si="128"/>
        <v>0</v>
      </c>
      <c r="AX287" s="900">
        <f t="shared" si="129"/>
        <v>0</v>
      </c>
      <c r="AY287" s="3096">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3">
        <f t="shared" si="151"/>
        <v>0</v>
      </c>
    </row>
    <row r="288" spans="1:72">
      <c r="A288" s="3047"/>
      <c r="B288" s="3048"/>
      <c r="C288" s="3048"/>
      <c r="D288" s="3053"/>
      <c r="E288" s="3049">
        <f t="shared" si="123"/>
        <v>0</v>
      </c>
      <c r="F288" s="3050"/>
      <c r="G288" s="3051">
        <f t="shared" si="124"/>
        <v>0</v>
      </c>
      <c r="H288" s="3052">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49">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900">
        <f t="shared" si="127"/>
        <v>0</v>
      </c>
      <c r="AW288" s="900">
        <f t="shared" si="128"/>
        <v>0</v>
      </c>
      <c r="AX288" s="900">
        <f t="shared" si="129"/>
        <v>0</v>
      </c>
      <c r="AY288" s="3096">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3">
        <f t="shared" si="151"/>
        <v>0</v>
      </c>
    </row>
    <row r="289" spans="1:72">
      <c r="A289" s="3047"/>
      <c r="B289" s="3048"/>
      <c r="C289" s="3048"/>
      <c r="D289" s="3053"/>
      <c r="E289" s="3049">
        <f t="shared" si="123"/>
        <v>0</v>
      </c>
      <c r="F289" s="3050"/>
      <c r="G289" s="3051">
        <f t="shared" si="124"/>
        <v>0</v>
      </c>
      <c r="H289" s="3052">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49">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900">
        <f t="shared" si="127"/>
        <v>0</v>
      </c>
      <c r="AW289" s="900">
        <f t="shared" si="128"/>
        <v>0</v>
      </c>
      <c r="AX289" s="900">
        <f t="shared" si="129"/>
        <v>0</v>
      </c>
      <c r="AY289" s="3096">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3">
        <f t="shared" si="151"/>
        <v>0</v>
      </c>
    </row>
    <row r="290" spans="1:72">
      <c r="A290" s="3047"/>
      <c r="B290" s="3048"/>
      <c r="C290" s="3048"/>
      <c r="D290" s="3053"/>
      <c r="E290" s="3049">
        <f t="shared" si="123"/>
        <v>0</v>
      </c>
      <c r="F290" s="3050"/>
      <c r="G290" s="3051">
        <f t="shared" si="124"/>
        <v>0</v>
      </c>
      <c r="H290" s="3052">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49">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900">
        <f t="shared" si="127"/>
        <v>0</v>
      </c>
      <c r="AW290" s="900">
        <f t="shared" si="128"/>
        <v>0</v>
      </c>
      <c r="AX290" s="900">
        <f t="shared" si="129"/>
        <v>0</v>
      </c>
      <c r="AY290" s="3096">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3">
        <f t="shared" si="151"/>
        <v>0</v>
      </c>
    </row>
    <row r="291" spans="1:72">
      <c r="A291" s="3047"/>
      <c r="B291" s="3048"/>
      <c r="C291" s="3048"/>
      <c r="D291" s="3053"/>
      <c r="E291" s="3049">
        <f t="shared" si="123"/>
        <v>0</v>
      </c>
      <c r="F291" s="3050"/>
      <c r="G291" s="3051">
        <f t="shared" si="124"/>
        <v>0</v>
      </c>
      <c r="H291" s="3052">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49">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900">
        <f t="shared" si="127"/>
        <v>0</v>
      </c>
      <c r="AW291" s="900">
        <f t="shared" si="128"/>
        <v>0</v>
      </c>
      <c r="AX291" s="900">
        <f t="shared" si="129"/>
        <v>0</v>
      </c>
      <c r="AY291" s="3096">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3">
        <f t="shared" si="151"/>
        <v>0</v>
      </c>
    </row>
    <row r="292" spans="1:72">
      <c r="A292" s="3047"/>
      <c r="B292" s="3048"/>
      <c r="C292" s="3048"/>
      <c r="D292" s="3053"/>
      <c r="E292" s="3049">
        <f t="shared" si="123"/>
        <v>0</v>
      </c>
      <c r="F292" s="3050"/>
      <c r="G292" s="3051">
        <f t="shared" si="124"/>
        <v>0</v>
      </c>
      <c r="H292" s="3052">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49">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900">
        <f t="shared" si="127"/>
        <v>0</v>
      </c>
      <c r="AW292" s="900">
        <f t="shared" si="128"/>
        <v>0</v>
      </c>
      <c r="AX292" s="900">
        <f t="shared" si="129"/>
        <v>0</v>
      </c>
      <c r="AY292" s="3096">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3">
        <f t="shared" si="151"/>
        <v>0</v>
      </c>
    </row>
    <row r="293" spans="1:72">
      <c r="A293" s="3047"/>
      <c r="B293" s="3048"/>
      <c r="C293" s="3048"/>
      <c r="D293" s="3053"/>
      <c r="E293" s="3049">
        <f t="shared" si="123"/>
        <v>0</v>
      </c>
      <c r="F293" s="3050"/>
      <c r="G293" s="3051">
        <f t="shared" si="124"/>
        <v>0</v>
      </c>
      <c r="H293" s="3052">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49">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900">
        <f t="shared" si="127"/>
        <v>0</v>
      </c>
      <c r="AW293" s="900">
        <f t="shared" si="128"/>
        <v>0</v>
      </c>
      <c r="AX293" s="900">
        <f t="shared" si="129"/>
        <v>0</v>
      </c>
      <c r="AY293" s="3096">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3">
        <f t="shared" si="151"/>
        <v>0</v>
      </c>
    </row>
    <row r="294" spans="1:72">
      <c r="A294" s="3047"/>
      <c r="B294" s="3048"/>
      <c r="C294" s="3048"/>
      <c r="D294" s="3053"/>
      <c r="E294" s="3049">
        <f t="shared" si="123"/>
        <v>0</v>
      </c>
      <c r="F294" s="3050"/>
      <c r="G294" s="3051">
        <f t="shared" si="124"/>
        <v>0</v>
      </c>
      <c r="H294" s="3052">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49">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900">
        <f t="shared" si="127"/>
        <v>0</v>
      </c>
      <c r="AW294" s="900">
        <f t="shared" si="128"/>
        <v>0</v>
      </c>
      <c r="AX294" s="900">
        <f t="shared" si="129"/>
        <v>0</v>
      </c>
      <c r="AY294" s="3096">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3">
        <f t="shared" si="151"/>
        <v>0</v>
      </c>
    </row>
    <row r="295" spans="1:72">
      <c r="A295" s="3047"/>
      <c r="B295" s="3048"/>
      <c r="C295" s="3048"/>
      <c r="D295" s="3053"/>
      <c r="E295" s="3049">
        <f t="shared" si="123"/>
        <v>0</v>
      </c>
      <c r="F295" s="3050"/>
      <c r="G295" s="3051">
        <f t="shared" si="124"/>
        <v>0</v>
      </c>
      <c r="H295" s="3052">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49">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900">
        <f t="shared" si="127"/>
        <v>0</v>
      </c>
      <c r="AW295" s="900">
        <f t="shared" si="128"/>
        <v>0</v>
      </c>
      <c r="AX295" s="900">
        <f t="shared" si="129"/>
        <v>0</v>
      </c>
      <c r="AY295" s="3096">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3">
        <f t="shared" si="151"/>
        <v>0</v>
      </c>
    </row>
    <row r="296" spans="1:72">
      <c r="A296" s="3047"/>
      <c r="B296" s="3048"/>
      <c r="C296" s="3048"/>
      <c r="D296" s="3053"/>
      <c r="E296" s="3049">
        <f t="shared" si="123"/>
        <v>0</v>
      </c>
      <c r="F296" s="3050"/>
      <c r="G296" s="3051">
        <f t="shared" si="124"/>
        <v>0</v>
      </c>
      <c r="H296" s="3052">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49">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900">
        <f t="shared" si="127"/>
        <v>0</v>
      </c>
      <c r="AW296" s="900">
        <f t="shared" si="128"/>
        <v>0</v>
      </c>
      <c r="AX296" s="900">
        <f t="shared" si="129"/>
        <v>0</v>
      </c>
      <c r="AY296" s="3096">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3">
        <f t="shared" si="151"/>
        <v>0</v>
      </c>
    </row>
    <row r="297" spans="1:72">
      <c r="A297" s="3047"/>
      <c r="B297" s="3048"/>
      <c r="C297" s="3048"/>
      <c r="D297" s="3053"/>
      <c r="E297" s="3049">
        <f t="shared" si="123"/>
        <v>0</v>
      </c>
      <c r="F297" s="3050"/>
      <c r="G297" s="3051">
        <f t="shared" si="124"/>
        <v>0</v>
      </c>
      <c r="H297" s="3052">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49">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900">
        <f t="shared" si="127"/>
        <v>0</v>
      </c>
      <c r="AW297" s="900">
        <f t="shared" si="128"/>
        <v>0</v>
      </c>
      <c r="AX297" s="900">
        <f t="shared" si="129"/>
        <v>0</v>
      </c>
      <c r="AY297" s="3096">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3">
        <f t="shared" si="151"/>
        <v>0</v>
      </c>
    </row>
    <row r="298" spans="1:72">
      <c r="A298" s="3047"/>
      <c r="B298" s="3048"/>
      <c r="C298" s="3048"/>
      <c r="D298" s="3053"/>
      <c r="E298" s="3049">
        <f t="shared" si="123"/>
        <v>0</v>
      </c>
      <c r="F298" s="3050"/>
      <c r="G298" s="3051">
        <f t="shared" si="124"/>
        <v>0</v>
      </c>
      <c r="H298" s="3052">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49">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900">
        <f t="shared" si="127"/>
        <v>0</v>
      </c>
      <c r="AW298" s="900">
        <f t="shared" si="128"/>
        <v>0</v>
      </c>
      <c r="AX298" s="900">
        <f t="shared" si="129"/>
        <v>0</v>
      </c>
      <c r="AY298" s="3096">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3">
        <f t="shared" si="151"/>
        <v>0</v>
      </c>
    </row>
    <row r="299" spans="1:72">
      <c r="A299" s="3047"/>
      <c r="B299" s="3048"/>
      <c r="C299" s="3048"/>
      <c r="D299" s="3053"/>
      <c r="E299" s="3049">
        <f t="shared" si="123"/>
        <v>0</v>
      </c>
      <c r="F299" s="3050"/>
      <c r="G299" s="3051">
        <f t="shared" si="124"/>
        <v>0</v>
      </c>
      <c r="H299" s="3052">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49">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900">
        <f t="shared" si="127"/>
        <v>0</v>
      </c>
      <c r="AW299" s="900">
        <f t="shared" si="128"/>
        <v>0</v>
      </c>
      <c r="AX299" s="900">
        <f t="shared" si="129"/>
        <v>0</v>
      </c>
      <c r="AY299" s="3096">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3">
        <f t="shared" si="151"/>
        <v>0</v>
      </c>
    </row>
    <row r="300" spans="1:72">
      <c r="A300" s="3047"/>
      <c r="B300" s="3047"/>
      <c r="C300" s="3047"/>
      <c r="D300" s="3053"/>
      <c r="E300" s="3049">
        <f t="shared" si="123"/>
        <v>0</v>
      </c>
      <c r="F300" s="3104"/>
      <c r="G300" s="3051">
        <f t="shared" ref="G300:G331" si="152">H300+AC300+AT300</f>
        <v>0</v>
      </c>
      <c r="H300" s="3052">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49">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900">
        <f t="shared" si="127"/>
        <v>0</v>
      </c>
      <c r="AW300" s="900">
        <f t="shared" si="128"/>
        <v>0</v>
      </c>
      <c r="AX300" s="900">
        <f t="shared" si="129"/>
        <v>0</v>
      </c>
      <c r="AY300" s="3096">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3">
        <f t="shared" ref="BT300:BT331" si="176">IF($D300="是",AR300-AS300,0)</f>
        <v>0</v>
      </c>
    </row>
    <row r="301" spans="1:72">
      <c r="A301" s="3047"/>
      <c r="B301" s="3047"/>
      <c r="C301" s="3047"/>
      <c r="D301" s="3053"/>
      <c r="E301" s="3049">
        <f t="shared" si="123"/>
        <v>0</v>
      </c>
      <c r="F301" s="3104"/>
      <c r="G301" s="3051">
        <f t="shared" si="152"/>
        <v>0</v>
      </c>
      <c r="H301" s="3052">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49">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900">
        <f t="shared" si="127"/>
        <v>0</v>
      </c>
      <c r="AW301" s="900">
        <f t="shared" si="128"/>
        <v>0</v>
      </c>
      <c r="AX301" s="900">
        <f t="shared" si="129"/>
        <v>0</v>
      </c>
      <c r="AY301" s="3096">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3">
        <f t="shared" si="176"/>
        <v>0</v>
      </c>
    </row>
    <row r="302" spans="1:72">
      <c r="A302" s="3047"/>
      <c r="B302" s="3047"/>
      <c r="C302" s="3047"/>
      <c r="D302" s="3053"/>
      <c r="E302" s="3049">
        <f t="shared" si="123"/>
        <v>0</v>
      </c>
      <c r="F302" s="3104"/>
      <c r="G302" s="3051">
        <f t="shared" si="152"/>
        <v>0</v>
      </c>
      <c r="H302" s="3052">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49">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900">
        <f t="shared" si="127"/>
        <v>0</v>
      </c>
      <c r="AW302" s="900">
        <f t="shared" si="128"/>
        <v>0</v>
      </c>
      <c r="AX302" s="900">
        <f t="shared" si="129"/>
        <v>0</v>
      </c>
      <c r="AY302" s="3096">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3">
        <f t="shared" si="176"/>
        <v>0</v>
      </c>
    </row>
    <row r="303" spans="1:72">
      <c r="A303" s="3047"/>
      <c r="B303" s="3048"/>
      <c r="C303" s="3048"/>
      <c r="D303" s="3053"/>
      <c r="E303" s="3049">
        <f t="shared" ref="E303:E334" si="177">IF($C$3="是",ROUND($A$3*G303/$B$3,2),ROUND($A$3*(G303-AT303)/$B$3,2))</f>
        <v>0</v>
      </c>
      <c r="F303" s="3050"/>
      <c r="G303" s="3051">
        <f t="shared" si="152"/>
        <v>0</v>
      </c>
      <c r="H303" s="3052">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49">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900">
        <f t="shared" ref="AV303:AV334" si="178">A303</f>
        <v>0</v>
      </c>
      <c r="AW303" s="900">
        <f t="shared" ref="AW303:AW334" si="179">B303</f>
        <v>0</v>
      </c>
      <c r="AX303" s="900">
        <f t="shared" ref="AX303:AX334" si="180">C303</f>
        <v>0</v>
      </c>
      <c r="AY303" s="3096">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3">
        <f t="shared" si="176"/>
        <v>0</v>
      </c>
    </row>
    <row r="304" spans="1:72">
      <c r="A304" s="3047"/>
      <c r="B304" s="3048"/>
      <c r="C304" s="3048"/>
      <c r="D304" s="3053"/>
      <c r="E304" s="3049">
        <f t="shared" si="177"/>
        <v>0</v>
      </c>
      <c r="F304" s="3050"/>
      <c r="G304" s="3051">
        <f t="shared" si="152"/>
        <v>0</v>
      </c>
      <c r="H304" s="3052">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49">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900">
        <f t="shared" si="178"/>
        <v>0</v>
      </c>
      <c r="AW304" s="900">
        <f t="shared" si="179"/>
        <v>0</v>
      </c>
      <c r="AX304" s="900">
        <f t="shared" si="180"/>
        <v>0</v>
      </c>
      <c r="AY304" s="3096">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3">
        <f t="shared" si="176"/>
        <v>0</v>
      </c>
    </row>
    <row r="305" spans="1:72">
      <c r="A305" s="3047"/>
      <c r="B305" s="3048"/>
      <c r="C305" s="3048"/>
      <c r="D305" s="3053"/>
      <c r="E305" s="3049">
        <f t="shared" si="177"/>
        <v>0</v>
      </c>
      <c r="F305" s="3050"/>
      <c r="G305" s="3051">
        <f t="shared" si="152"/>
        <v>0</v>
      </c>
      <c r="H305" s="3052">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49">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900">
        <f t="shared" si="178"/>
        <v>0</v>
      </c>
      <c r="AW305" s="900">
        <f t="shared" si="179"/>
        <v>0</v>
      </c>
      <c r="AX305" s="900">
        <f t="shared" si="180"/>
        <v>0</v>
      </c>
      <c r="AY305" s="3096">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3">
        <f t="shared" si="176"/>
        <v>0</v>
      </c>
    </row>
    <row r="306" spans="1:72">
      <c r="A306" s="3047"/>
      <c r="B306" s="3048"/>
      <c r="C306" s="3048"/>
      <c r="D306" s="3053"/>
      <c r="E306" s="3049">
        <f t="shared" si="177"/>
        <v>0</v>
      </c>
      <c r="F306" s="3050"/>
      <c r="G306" s="3051">
        <f t="shared" si="152"/>
        <v>0</v>
      </c>
      <c r="H306" s="3052">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49">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900">
        <f t="shared" si="178"/>
        <v>0</v>
      </c>
      <c r="AW306" s="900">
        <f t="shared" si="179"/>
        <v>0</v>
      </c>
      <c r="AX306" s="900">
        <f t="shared" si="180"/>
        <v>0</v>
      </c>
      <c r="AY306" s="3096">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3">
        <f t="shared" si="176"/>
        <v>0</v>
      </c>
    </row>
    <row r="307" spans="1:72">
      <c r="A307" s="3047"/>
      <c r="B307" s="3048"/>
      <c r="C307" s="3048"/>
      <c r="D307" s="3053"/>
      <c r="E307" s="3049">
        <f t="shared" si="177"/>
        <v>0</v>
      </c>
      <c r="F307" s="3050"/>
      <c r="G307" s="3051">
        <f t="shared" si="152"/>
        <v>0</v>
      </c>
      <c r="H307" s="3052">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49">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900">
        <f t="shared" si="178"/>
        <v>0</v>
      </c>
      <c r="AW307" s="900">
        <f t="shared" si="179"/>
        <v>0</v>
      </c>
      <c r="AX307" s="900">
        <f t="shared" si="180"/>
        <v>0</v>
      </c>
      <c r="AY307" s="3096">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3">
        <f t="shared" si="176"/>
        <v>0</v>
      </c>
    </row>
    <row r="308" spans="1:72">
      <c r="A308" s="3047"/>
      <c r="B308" s="3048"/>
      <c r="C308" s="3048"/>
      <c r="D308" s="3053"/>
      <c r="E308" s="3049">
        <f t="shared" si="177"/>
        <v>0</v>
      </c>
      <c r="F308" s="3050"/>
      <c r="G308" s="3051">
        <f t="shared" si="152"/>
        <v>0</v>
      </c>
      <c r="H308" s="3052">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49">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900">
        <f t="shared" si="178"/>
        <v>0</v>
      </c>
      <c r="AW308" s="900">
        <f t="shared" si="179"/>
        <v>0</v>
      </c>
      <c r="AX308" s="900">
        <f t="shared" si="180"/>
        <v>0</v>
      </c>
      <c r="AY308" s="3096">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3">
        <f t="shared" si="176"/>
        <v>0</v>
      </c>
    </row>
    <row r="309" spans="1:72">
      <c r="A309" s="3047"/>
      <c r="B309" s="3048"/>
      <c r="C309" s="3048"/>
      <c r="D309" s="3053"/>
      <c r="E309" s="3049">
        <f t="shared" si="177"/>
        <v>0</v>
      </c>
      <c r="F309" s="3050"/>
      <c r="G309" s="3051">
        <f t="shared" si="152"/>
        <v>0</v>
      </c>
      <c r="H309" s="3052">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49">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900">
        <f t="shared" si="178"/>
        <v>0</v>
      </c>
      <c r="AW309" s="900">
        <f t="shared" si="179"/>
        <v>0</v>
      </c>
      <c r="AX309" s="900">
        <f t="shared" si="180"/>
        <v>0</v>
      </c>
      <c r="AY309" s="3096">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3">
        <f t="shared" si="176"/>
        <v>0</v>
      </c>
    </row>
    <row r="310" spans="1:72">
      <c r="A310" s="3047"/>
      <c r="B310" s="3048"/>
      <c r="C310" s="3048"/>
      <c r="D310" s="3053"/>
      <c r="E310" s="3049">
        <f t="shared" si="177"/>
        <v>0</v>
      </c>
      <c r="F310" s="3050"/>
      <c r="G310" s="3051">
        <f t="shared" si="152"/>
        <v>0</v>
      </c>
      <c r="H310" s="3052">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49">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900">
        <f t="shared" si="178"/>
        <v>0</v>
      </c>
      <c r="AW310" s="900">
        <f t="shared" si="179"/>
        <v>0</v>
      </c>
      <c r="AX310" s="900">
        <f t="shared" si="180"/>
        <v>0</v>
      </c>
      <c r="AY310" s="3096">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3">
        <f t="shared" si="176"/>
        <v>0</v>
      </c>
    </row>
    <row r="311" spans="1:72">
      <c r="A311" s="3047"/>
      <c r="B311" s="3048"/>
      <c r="C311" s="3048"/>
      <c r="D311" s="3053"/>
      <c r="E311" s="3049">
        <f t="shared" si="177"/>
        <v>0</v>
      </c>
      <c r="F311" s="3050"/>
      <c r="G311" s="3051">
        <f t="shared" si="152"/>
        <v>0</v>
      </c>
      <c r="H311" s="3052">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49">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900">
        <f t="shared" si="178"/>
        <v>0</v>
      </c>
      <c r="AW311" s="900">
        <f t="shared" si="179"/>
        <v>0</v>
      </c>
      <c r="AX311" s="900">
        <f t="shared" si="180"/>
        <v>0</v>
      </c>
      <c r="AY311" s="3096">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3">
        <f t="shared" si="176"/>
        <v>0</v>
      </c>
    </row>
    <row r="312" spans="1:72">
      <c r="A312" s="3047"/>
      <c r="B312" s="3048"/>
      <c r="C312" s="3048"/>
      <c r="D312" s="3053"/>
      <c r="E312" s="3049">
        <f t="shared" si="177"/>
        <v>0</v>
      </c>
      <c r="F312" s="3050"/>
      <c r="G312" s="3051">
        <f t="shared" si="152"/>
        <v>0</v>
      </c>
      <c r="H312" s="3052">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49">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900">
        <f t="shared" si="178"/>
        <v>0</v>
      </c>
      <c r="AW312" s="900">
        <f t="shared" si="179"/>
        <v>0</v>
      </c>
      <c r="AX312" s="900">
        <f t="shared" si="180"/>
        <v>0</v>
      </c>
      <c r="AY312" s="3096">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3">
        <f t="shared" si="176"/>
        <v>0</v>
      </c>
    </row>
    <row r="313" spans="1:72">
      <c r="A313" s="3047"/>
      <c r="B313" s="3048"/>
      <c r="C313" s="3048"/>
      <c r="D313" s="3053"/>
      <c r="E313" s="3049">
        <f t="shared" si="177"/>
        <v>0</v>
      </c>
      <c r="F313" s="3050"/>
      <c r="G313" s="3051">
        <f t="shared" si="152"/>
        <v>0</v>
      </c>
      <c r="H313" s="3052">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49">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900">
        <f t="shared" si="178"/>
        <v>0</v>
      </c>
      <c r="AW313" s="900">
        <f t="shared" si="179"/>
        <v>0</v>
      </c>
      <c r="AX313" s="900">
        <f t="shared" si="180"/>
        <v>0</v>
      </c>
      <c r="AY313" s="3096">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3">
        <f t="shared" si="176"/>
        <v>0</v>
      </c>
    </row>
    <row r="314" spans="1:72">
      <c r="A314" s="3047"/>
      <c r="B314" s="3048"/>
      <c r="C314" s="3048"/>
      <c r="D314" s="3053"/>
      <c r="E314" s="3049">
        <f t="shared" si="177"/>
        <v>0</v>
      </c>
      <c r="F314" s="3050"/>
      <c r="G314" s="3051">
        <f t="shared" si="152"/>
        <v>0</v>
      </c>
      <c r="H314" s="3052">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49">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900">
        <f t="shared" si="178"/>
        <v>0</v>
      </c>
      <c r="AW314" s="900">
        <f t="shared" si="179"/>
        <v>0</v>
      </c>
      <c r="AX314" s="900">
        <f t="shared" si="180"/>
        <v>0</v>
      </c>
      <c r="AY314" s="3096">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3">
        <f t="shared" si="176"/>
        <v>0</v>
      </c>
    </row>
    <row r="315" spans="1:72">
      <c r="A315" s="3047"/>
      <c r="B315" s="3048"/>
      <c r="C315" s="3048"/>
      <c r="D315" s="3053"/>
      <c r="E315" s="3049">
        <f t="shared" si="177"/>
        <v>0</v>
      </c>
      <c r="F315" s="3050"/>
      <c r="G315" s="3051">
        <f t="shared" si="152"/>
        <v>0</v>
      </c>
      <c r="H315" s="3052">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49">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900">
        <f t="shared" si="178"/>
        <v>0</v>
      </c>
      <c r="AW315" s="900">
        <f t="shared" si="179"/>
        <v>0</v>
      </c>
      <c r="AX315" s="900">
        <f t="shared" si="180"/>
        <v>0</v>
      </c>
      <c r="AY315" s="3096">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3">
        <f t="shared" si="176"/>
        <v>0</v>
      </c>
    </row>
    <row r="316" spans="1:72">
      <c r="A316" s="3047"/>
      <c r="B316" s="3048"/>
      <c r="C316" s="3048"/>
      <c r="D316" s="3053"/>
      <c r="E316" s="3049">
        <f t="shared" si="177"/>
        <v>0</v>
      </c>
      <c r="F316" s="3050"/>
      <c r="G316" s="3051">
        <f t="shared" si="152"/>
        <v>0</v>
      </c>
      <c r="H316" s="3052">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49">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900">
        <f t="shared" si="178"/>
        <v>0</v>
      </c>
      <c r="AW316" s="900">
        <f t="shared" si="179"/>
        <v>0</v>
      </c>
      <c r="AX316" s="900">
        <f t="shared" si="180"/>
        <v>0</v>
      </c>
      <c r="AY316" s="3096">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3">
        <f t="shared" si="176"/>
        <v>0</v>
      </c>
    </row>
    <row r="317" spans="1:72">
      <c r="A317" s="3047"/>
      <c r="B317" s="3048"/>
      <c r="C317" s="3048"/>
      <c r="D317" s="3053"/>
      <c r="E317" s="3049">
        <f t="shared" si="177"/>
        <v>0</v>
      </c>
      <c r="F317" s="3050"/>
      <c r="G317" s="3051">
        <f t="shared" si="152"/>
        <v>0</v>
      </c>
      <c r="H317" s="3052">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49">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900">
        <f t="shared" si="178"/>
        <v>0</v>
      </c>
      <c r="AW317" s="900">
        <f t="shared" si="179"/>
        <v>0</v>
      </c>
      <c r="AX317" s="900">
        <f t="shared" si="180"/>
        <v>0</v>
      </c>
      <c r="AY317" s="3096">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3">
        <f t="shared" si="176"/>
        <v>0</v>
      </c>
    </row>
    <row r="318" spans="1:72">
      <c r="A318" s="3047"/>
      <c r="B318" s="3048"/>
      <c r="C318" s="3048"/>
      <c r="D318" s="3053"/>
      <c r="E318" s="3049">
        <f t="shared" si="177"/>
        <v>0</v>
      </c>
      <c r="F318" s="3050"/>
      <c r="G318" s="3051">
        <f t="shared" si="152"/>
        <v>0</v>
      </c>
      <c r="H318" s="3052">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49">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900">
        <f t="shared" si="178"/>
        <v>0</v>
      </c>
      <c r="AW318" s="900">
        <f t="shared" si="179"/>
        <v>0</v>
      </c>
      <c r="AX318" s="900">
        <f t="shared" si="180"/>
        <v>0</v>
      </c>
      <c r="AY318" s="3096">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3">
        <f t="shared" si="176"/>
        <v>0</v>
      </c>
    </row>
    <row r="319" spans="1:72">
      <c r="A319" s="3047"/>
      <c r="B319" s="3048"/>
      <c r="C319" s="3048"/>
      <c r="D319" s="3053"/>
      <c r="E319" s="3049">
        <f t="shared" si="177"/>
        <v>0</v>
      </c>
      <c r="F319" s="3050"/>
      <c r="G319" s="3051">
        <f t="shared" si="152"/>
        <v>0</v>
      </c>
      <c r="H319" s="3052">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49">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900">
        <f t="shared" si="178"/>
        <v>0</v>
      </c>
      <c r="AW319" s="900">
        <f t="shared" si="179"/>
        <v>0</v>
      </c>
      <c r="AX319" s="900">
        <f t="shared" si="180"/>
        <v>0</v>
      </c>
      <c r="AY319" s="3096">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3">
        <f t="shared" si="176"/>
        <v>0</v>
      </c>
    </row>
    <row r="320" spans="1:72">
      <c r="A320" s="3047"/>
      <c r="B320" s="3048"/>
      <c r="C320" s="3048"/>
      <c r="D320" s="3053"/>
      <c r="E320" s="3049">
        <f t="shared" si="177"/>
        <v>0</v>
      </c>
      <c r="F320" s="3050"/>
      <c r="G320" s="3051">
        <f t="shared" si="152"/>
        <v>0</v>
      </c>
      <c r="H320" s="3052">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49">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900">
        <f t="shared" si="178"/>
        <v>0</v>
      </c>
      <c r="AW320" s="900">
        <f t="shared" si="179"/>
        <v>0</v>
      </c>
      <c r="AX320" s="900">
        <f t="shared" si="180"/>
        <v>0</v>
      </c>
      <c r="AY320" s="3096">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3">
        <f t="shared" si="176"/>
        <v>0</v>
      </c>
    </row>
    <row r="321" spans="1:72">
      <c r="A321" s="3047"/>
      <c r="B321" s="3048"/>
      <c r="C321" s="3048"/>
      <c r="D321" s="3053"/>
      <c r="E321" s="3049">
        <f t="shared" si="177"/>
        <v>0</v>
      </c>
      <c r="F321" s="3050"/>
      <c r="G321" s="3051">
        <f t="shared" si="152"/>
        <v>0</v>
      </c>
      <c r="H321" s="3052">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49">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900">
        <f t="shared" si="178"/>
        <v>0</v>
      </c>
      <c r="AW321" s="900">
        <f t="shared" si="179"/>
        <v>0</v>
      </c>
      <c r="AX321" s="900">
        <f t="shared" si="180"/>
        <v>0</v>
      </c>
      <c r="AY321" s="3096">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3">
        <f t="shared" si="176"/>
        <v>0</v>
      </c>
    </row>
    <row r="322" spans="1:72">
      <c r="A322" s="3047"/>
      <c r="B322" s="3048"/>
      <c r="C322" s="3048"/>
      <c r="D322" s="3053"/>
      <c r="E322" s="3049">
        <f t="shared" si="177"/>
        <v>0</v>
      </c>
      <c r="F322" s="3050"/>
      <c r="G322" s="3051">
        <f t="shared" si="152"/>
        <v>0</v>
      </c>
      <c r="H322" s="3052">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49">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900">
        <f t="shared" si="178"/>
        <v>0</v>
      </c>
      <c r="AW322" s="900">
        <f t="shared" si="179"/>
        <v>0</v>
      </c>
      <c r="AX322" s="900">
        <f t="shared" si="180"/>
        <v>0</v>
      </c>
      <c r="AY322" s="3096">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3">
        <f t="shared" si="176"/>
        <v>0</v>
      </c>
    </row>
    <row r="323" spans="1:72">
      <c r="A323" s="3047"/>
      <c r="B323" s="3048"/>
      <c r="C323" s="3048"/>
      <c r="D323" s="3053"/>
      <c r="E323" s="3049">
        <f t="shared" si="177"/>
        <v>0</v>
      </c>
      <c r="F323" s="3050"/>
      <c r="G323" s="3051">
        <f t="shared" si="152"/>
        <v>0</v>
      </c>
      <c r="H323" s="3052">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49">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900">
        <f t="shared" si="178"/>
        <v>0</v>
      </c>
      <c r="AW323" s="900">
        <f t="shared" si="179"/>
        <v>0</v>
      </c>
      <c r="AX323" s="900">
        <f t="shared" si="180"/>
        <v>0</v>
      </c>
      <c r="AY323" s="3096">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3">
        <f t="shared" si="176"/>
        <v>0</v>
      </c>
    </row>
    <row r="324" spans="1:72">
      <c r="A324" s="3047"/>
      <c r="B324" s="3048"/>
      <c r="C324" s="3048"/>
      <c r="D324" s="3053"/>
      <c r="E324" s="3049">
        <f t="shared" si="177"/>
        <v>0</v>
      </c>
      <c r="F324" s="3050"/>
      <c r="G324" s="3051">
        <f t="shared" si="152"/>
        <v>0</v>
      </c>
      <c r="H324" s="3052">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49">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900">
        <f t="shared" si="178"/>
        <v>0</v>
      </c>
      <c r="AW324" s="900">
        <f t="shared" si="179"/>
        <v>0</v>
      </c>
      <c r="AX324" s="900">
        <f t="shared" si="180"/>
        <v>0</v>
      </c>
      <c r="AY324" s="3096">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3">
        <f t="shared" si="176"/>
        <v>0</v>
      </c>
    </row>
    <row r="325" spans="1:72">
      <c r="A325" s="3047"/>
      <c r="B325" s="3048"/>
      <c r="C325" s="3048"/>
      <c r="D325" s="3053"/>
      <c r="E325" s="3049">
        <f t="shared" si="177"/>
        <v>0</v>
      </c>
      <c r="F325" s="3050"/>
      <c r="G325" s="3051">
        <f t="shared" si="152"/>
        <v>0</v>
      </c>
      <c r="H325" s="3052">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49">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900">
        <f t="shared" si="178"/>
        <v>0</v>
      </c>
      <c r="AW325" s="900">
        <f t="shared" si="179"/>
        <v>0</v>
      </c>
      <c r="AX325" s="900">
        <f t="shared" si="180"/>
        <v>0</v>
      </c>
      <c r="AY325" s="3096">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3">
        <f t="shared" si="176"/>
        <v>0</v>
      </c>
    </row>
    <row r="326" spans="1:72">
      <c r="A326" s="3047"/>
      <c r="B326" s="3048"/>
      <c r="C326" s="3048"/>
      <c r="D326" s="3053"/>
      <c r="E326" s="3049">
        <f t="shared" si="177"/>
        <v>0</v>
      </c>
      <c r="F326" s="3050"/>
      <c r="G326" s="3051">
        <f t="shared" si="152"/>
        <v>0</v>
      </c>
      <c r="H326" s="3052">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49">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900">
        <f t="shared" si="178"/>
        <v>0</v>
      </c>
      <c r="AW326" s="900">
        <f t="shared" si="179"/>
        <v>0</v>
      </c>
      <c r="AX326" s="900">
        <f t="shared" si="180"/>
        <v>0</v>
      </c>
      <c r="AY326" s="3096">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3">
        <f t="shared" si="176"/>
        <v>0</v>
      </c>
    </row>
    <row r="327" spans="1:72">
      <c r="A327" s="3047"/>
      <c r="B327" s="3048"/>
      <c r="C327" s="3048"/>
      <c r="D327" s="3053"/>
      <c r="E327" s="3049">
        <f t="shared" si="177"/>
        <v>0</v>
      </c>
      <c r="F327" s="3050"/>
      <c r="G327" s="3051">
        <f t="shared" si="152"/>
        <v>0</v>
      </c>
      <c r="H327" s="3052">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49">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900">
        <f t="shared" si="178"/>
        <v>0</v>
      </c>
      <c r="AW327" s="900">
        <f t="shared" si="179"/>
        <v>0</v>
      </c>
      <c r="AX327" s="900">
        <f t="shared" si="180"/>
        <v>0</v>
      </c>
      <c r="AY327" s="3096">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3">
        <f t="shared" si="176"/>
        <v>0</v>
      </c>
    </row>
    <row r="328" spans="1:72">
      <c r="A328" s="3047"/>
      <c r="B328" s="3048"/>
      <c r="C328" s="3048"/>
      <c r="D328" s="3053"/>
      <c r="E328" s="3049">
        <f t="shared" si="177"/>
        <v>0</v>
      </c>
      <c r="F328" s="3050"/>
      <c r="G328" s="3051">
        <f t="shared" si="152"/>
        <v>0</v>
      </c>
      <c r="H328" s="3052">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49">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900">
        <f t="shared" si="178"/>
        <v>0</v>
      </c>
      <c r="AW328" s="900">
        <f t="shared" si="179"/>
        <v>0</v>
      </c>
      <c r="AX328" s="900">
        <f t="shared" si="180"/>
        <v>0</v>
      </c>
      <c r="AY328" s="3096">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3">
        <f t="shared" si="176"/>
        <v>0</v>
      </c>
    </row>
    <row r="329" spans="1:72">
      <c r="A329" s="3047"/>
      <c r="B329" s="3048"/>
      <c r="C329" s="3048"/>
      <c r="D329" s="3053"/>
      <c r="E329" s="3049">
        <f t="shared" si="177"/>
        <v>0</v>
      </c>
      <c r="F329" s="3050"/>
      <c r="G329" s="3051">
        <f t="shared" si="152"/>
        <v>0</v>
      </c>
      <c r="H329" s="3052">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49">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900">
        <f t="shared" si="178"/>
        <v>0</v>
      </c>
      <c r="AW329" s="900">
        <f t="shared" si="179"/>
        <v>0</v>
      </c>
      <c r="AX329" s="900">
        <f t="shared" si="180"/>
        <v>0</v>
      </c>
      <c r="AY329" s="3096">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3">
        <f t="shared" si="176"/>
        <v>0</v>
      </c>
    </row>
    <row r="330" spans="1:72">
      <c r="A330" s="3047"/>
      <c r="B330" s="3048"/>
      <c r="C330" s="3048"/>
      <c r="D330" s="3053"/>
      <c r="E330" s="3049">
        <f t="shared" si="177"/>
        <v>0</v>
      </c>
      <c r="F330" s="3050"/>
      <c r="G330" s="3051">
        <f t="shared" si="152"/>
        <v>0</v>
      </c>
      <c r="H330" s="3052">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49">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900">
        <f t="shared" si="178"/>
        <v>0</v>
      </c>
      <c r="AW330" s="900">
        <f t="shared" si="179"/>
        <v>0</v>
      </c>
      <c r="AX330" s="900">
        <f t="shared" si="180"/>
        <v>0</v>
      </c>
      <c r="AY330" s="3096">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3">
        <f t="shared" si="176"/>
        <v>0</v>
      </c>
    </row>
    <row r="331" spans="1:72">
      <c r="A331" s="3047"/>
      <c r="B331" s="3048"/>
      <c r="C331" s="3048"/>
      <c r="D331" s="3053"/>
      <c r="E331" s="3049">
        <f t="shared" si="177"/>
        <v>0</v>
      </c>
      <c r="F331" s="3050"/>
      <c r="G331" s="3051">
        <f t="shared" si="152"/>
        <v>0</v>
      </c>
      <c r="H331" s="3052">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49">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900">
        <f t="shared" si="178"/>
        <v>0</v>
      </c>
      <c r="AW331" s="900">
        <f t="shared" si="179"/>
        <v>0</v>
      </c>
      <c r="AX331" s="900">
        <f t="shared" si="180"/>
        <v>0</v>
      </c>
      <c r="AY331" s="3096">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3">
        <f t="shared" si="176"/>
        <v>0</v>
      </c>
    </row>
    <row r="332" spans="1:72">
      <c r="A332" s="3047"/>
      <c r="B332" s="3048"/>
      <c r="C332" s="3048"/>
      <c r="D332" s="3053"/>
      <c r="E332" s="3049">
        <f t="shared" si="177"/>
        <v>0</v>
      </c>
      <c r="F332" s="3050"/>
      <c r="G332" s="3051">
        <f t="shared" ref="G332:G363" si="181">H332+AC332+AT332</f>
        <v>0</v>
      </c>
      <c r="H332" s="3052">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49">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900">
        <f t="shared" si="178"/>
        <v>0</v>
      </c>
      <c r="AW332" s="900">
        <f t="shared" si="179"/>
        <v>0</v>
      </c>
      <c r="AX332" s="900">
        <f t="shared" si="180"/>
        <v>0</v>
      </c>
      <c r="AY332" s="3096">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3">
        <f t="shared" ref="BT332:BT363" si="205">IF($D332="是",AR332-AS332,0)</f>
        <v>0</v>
      </c>
    </row>
    <row r="333" spans="1:72">
      <c r="A333" s="3047"/>
      <c r="B333" s="3048"/>
      <c r="C333" s="3048"/>
      <c r="D333" s="3053"/>
      <c r="E333" s="3049">
        <f t="shared" si="177"/>
        <v>0</v>
      </c>
      <c r="F333" s="3050"/>
      <c r="G333" s="3051">
        <f t="shared" si="181"/>
        <v>0</v>
      </c>
      <c r="H333" s="3052">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49">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900">
        <f t="shared" si="178"/>
        <v>0</v>
      </c>
      <c r="AW333" s="900">
        <f t="shared" si="179"/>
        <v>0</v>
      </c>
      <c r="AX333" s="900">
        <f t="shared" si="180"/>
        <v>0</v>
      </c>
      <c r="AY333" s="3096">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3">
        <f t="shared" si="205"/>
        <v>0</v>
      </c>
    </row>
    <row r="334" spans="1:72">
      <c r="A334" s="3047"/>
      <c r="B334" s="3048"/>
      <c r="C334" s="3048"/>
      <c r="D334" s="3053"/>
      <c r="E334" s="3049">
        <f t="shared" si="177"/>
        <v>0</v>
      </c>
      <c r="F334" s="3050"/>
      <c r="G334" s="3051">
        <f t="shared" si="181"/>
        <v>0</v>
      </c>
      <c r="H334" s="3052">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49">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900">
        <f t="shared" si="178"/>
        <v>0</v>
      </c>
      <c r="AW334" s="900">
        <f t="shared" si="179"/>
        <v>0</v>
      </c>
      <c r="AX334" s="900">
        <f t="shared" si="180"/>
        <v>0</v>
      </c>
      <c r="AY334" s="3096">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3">
        <f t="shared" si="205"/>
        <v>0</v>
      </c>
    </row>
    <row r="335" spans="1:72">
      <c r="A335" s="3047"/>
      <c r="B335" s="3048"/>
      <c r="C335" s="3048"/>
      <c r="D335" s="3053"/>
      <c r="E335" s="3049">
        <f t="shared" ref="E335:E366" si="206">IF($C$3="是",ROUND($A$3*G335/$B$3,2),ROUND($A$3*(G335-AT335)/$B$3,2))</f>
        <v>0</v>
      </c>
      <c r="F335" s="3050"/>
      <c r="G335" s="3051">
        <f t="shared" si="181"/>
        <v>0</v>
      </c>
      <c r="H335" s="3052">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49">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900">
        <f t="shared" ref="AV335:AV366" si="207">A335</f>
        <v>0</v>
      </c>
      <c r="AW335" s="900">
        <f t="shared" ref="AW335:AW366" si="208">B335</f>
        <v>0</v>
      </c>
      <c r="AX335" s="900">
        <f t="shared" ref="AX335:AX366" si="209">C335</f>
        <v>0</v>
      </c>
      <c r="AY335" s="3096">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3">
        <f t="shared" si="205"/>
        <v>0</v>
      </c>
    </row>
    <row r="336" spans="1:72">
      <c r="A336" s="3047"/>
      <c r="B336" s="3048"/>
      <c r="C336" s="3048"/>
      <c r="D336" s="3053"/>
      <c r="E336" s="3049">
        <f t="shared" si="206"/>
        <v>0</v>
      </c>
      <c r="F336" s="3050"/>
      <c r="G336" s="3051">
        <f t="shared" si="181"/>
        <v>0</v>
      </c>
      <c r="H336" s="3052">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49">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900">
        <f t="shared" si="207"/>
        <v>0</v>
      </c>
      <c r="AW336" s="900">
        <f t="shared" si="208"/>
        <v>0</v>
      </c>
      <c r="AX336" s="900">
        <f t="shared" si="209"/>
        <v>0</v>
      </c>
      <c r="AY336" s="3096">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3">
        <f t="shared" si="205"/>
        <v>0</v>
      </c>
    </row>
    <row r="337" spans="1:72">
      <c r="A337" s="3047"/>
      <c r="B337" s="3048"/>
      <c r="C337" s="3048"/>
      <c r="D337" s="3053"/>
      <c r="E337" s="3049">
        <f t="shared" si="206"/>
        <v>0</v>
      </c>
      <c r="F337" s="3050"/>
      <c r="G337" s="3051">
        <f t="shared" si="181"/>
        <v>0</v>
      </c>
      <c r="H337" s="3052">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49">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900">
        <f t="shared" si="207"/>
        <v>0</v>
      </c>
      <c r="AW337" s="900">
        <f t="shared" si="208"/>
        <v>0</v>
      </c>
      <c r="AX337" s="900">
        <f t="shared" si="209"/>
        <v>0</v>
      </c>
      <c r="AY337" s="3096">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3">
        <f t="shared" si="205"/>
        <v>0</v>
      </c>
    </row>
    <row r="338" spans="1:72">
      <c r="A338" s="3047"/>
      <c r="B338" s="3048"/>
      <c r="C338" s="3048"/>
      <c r="D338" s="3053"/>
      <c r="E338" s="3049">
        <f t="shared" si="206"/>
        <v>0</v>
      </c>
      <c r="F338" s="3050"/>
      <c r="G338" s="3051">
        <f t="shared" si="181"/>
        <v>0</v>
      </c>
      <c r="H338" s="3052">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49">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900">
        <f t="shared" si="207"/>
        <v>0</v>
      </c>
      <c r="AW338" s="900">
        <f t="shared" si="208"/>
        <v>0</v>
      </c>
      <c r="AX338" s="900">
        <f t="shared" si="209"/>
        <v>0</v>
      </c>
      <c r="AY338" s="3096">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3">
        <f t="shared" si="205"/>
        <v>0</v>
      </c>
    </row>
    <row r="339" spans="1:72">
      <c r="A339" s="3047"/>
      <c r="B339" s="3048"/>
      <c r="C339" s="3048"/>
      <c r="D339" s="3053"/>
      <c r="E339" s="3049">
        <f t="shared" si="206"/>
        <v>0</v>
      </c>
      <c r="F339" s="3050"/>
      <c r="G339" s="3051">
        <f t="shared" si="181"/>
        <v>0</v>
      </c>
      <c r="H339" s="3052">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49">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900">
        <f t="shared" si="207"/>
        <v>0</v>
      </c>
      <c r="AW339" s="900">
        <f t="shared" si="208"/>
        <v>0</v>
      </c>
      <c r="AX339" s="900">
        <f t="shared" si="209"/>
        <v>0</v>
      </c>
      <c r="AY339" s="3096">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3">
        <f t="shared" si="205"/>
        <v>0</v>
      </c>
    </row>
    <row r="340" spans="1:72">
      <c r="A340" s="3047"/>
      <c r="B340" s="3048"/>
      <c r="C340" s="3048"/>
      <c r="D340" s="3053"/>
      <c r="E340" s="3049">
        <f t="shared" si="206"/>
        <v>0</v>
      </c>
      <c r="F340" s="3050"/>
      <c r="G340" s="3051">
        <f t="shared" si="181"/>
        <v>0</v>
      </c>
      <c r="H340" s="3052">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49">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900">
        <f t="shared" si="207"/>
        <v>0</v>
      </c>
      <c r="AW340" s="900">
        <f t="shared" si="208"/>
        <v>0</v>
      </c>
      <c r="AX340" s="900">
        <f t="shared" si="209"/>
        <v>0</v>
      </c>
      <c r="AY340" s="3096">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3">
        <f t="shared" si="205"/>
        <v>0</v>
      </c>
    </row>
    <row r="341" spans="1:72">
      <c r="A341" s="3047"/>
      <c r="B341" s="3048"/>
      <c r="C341" s="3048"/>
      <c r="D341" s="3053"/>
      <c r="E341" s="3049">
        <f t="shared" si="206"/>
        <v>0</v>
      </c>
      <c r="F341" s="3050"/>
      <c r="G341" s="3051">
        <f t="shared" si="181"/>
        <v>0</v>
      </c>
      <c r="H341" s="3052">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49">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900">
        <f t="shared" si="207"/>
        <v>0</v>
      </c>
      <c r="AW341" s="900">
        <f t="shared" si="208"/>
        <v>0</v>
      </c>
      <c r="AX341" s="900">
        <f t="shared" si="209"/>
        <v>0</v>
      </c>
      <c r="AY341" s="3096">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3">
        <f t="shared" si="205"/>
        <v>0</v>
      </c>
    </row>
    <row r="342" spans="1:72">
      <c r="A342" s="3047"/>
      <c r="B342" s="3048"/>
      <c r="C342" s="3048"/>
      <c r="D342" s="3053"/>
      <c r="E342" s="3049">
        <f t="shared" si="206"/>
        <v>0</v>
      </c>
      <c r="F342" s="3050"/>
      <c r="G342" s="3051">
        <f t="shared" si="181"/>
        <v>0</v>
      </c>
      <c r="H342" s="3052">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49">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900">
        <f t="shared" si="207"/>
        <v>0</v>
      </c>
      <c r="AW342" s="900">
        <f t="shared" si="208"/>
        <v>0</v>
      </c>
      <c r="AX342" s="900">
        <f t="shared" si="209"/>
        <v>0</v>
      </c>
      <c r="AY342" s="3096">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3">
        <f t="shared" si="205"/>
        <v>0</v>
      </c>
    </row>
    <row r="343" spans="1:72">
      <c r="A343" s="3047"/>
      <c r="B343" s="3048"/>
      <c r="C343" s="3048"/>
      <c r="D343" s="3053"/>
      <c r="E343" s="3049">
        <f t="shared" si="206"/>
        <v>0</v>
      </c>
      <c r="F343" s="3050"/>
      <c r="G343" s="3051">
        <f t="shared" si="181"/>
        <v>0</v>
      </c>
      <c r="H343" s="3052">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49">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900">
        <f t="shared" si="207"/>
        <v>0</v>
      </c>
      <c r="AW343" s="900">
        <f t="shared" si="208"/>
        <v>0</v>
      </c>
      <c r="AX343" s="900">
        <f t="shared" si="209"/>
        <v>0</v>
      </c>
      <c r="AY343" s="3096">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3">
        <f t="shared" si="205"/>
        <v>0</v>
      </c>
    </row>
    <row r="344" spans="1:72">
      <c r="A344" s="3047"/>
      <c r="B344" s="3048"/>
      <c r="C344" s="3048"/>
      <c r="D344" s="3053"/>
      <c r="E344" s="3049">
        <f t="shared" si="206"/>
        <v>0</v>
      </c>
      <c r="F344" s="3050"/>
      <c r="G344" s="3051">
        <f t="shared" si="181"/>
        <v>0</v>
      </c>
      <c r="H344" s="3052">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49">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900">
        <f t="shared" si="207"/>
        <v>0</v>
      </c>
      <c r="AW344" s="900">
        <f t="shared" si="208"/>
        <v>0</v>
      </c>
      <c r="AX344" s="900">
        <f t="shared" si="209"/>
        <v>0</v>
      </c>
      <c r="AY344" s="3096">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3">
        <f t="shared" si="205"/>
        <v>0</v>
      </c>
    </row>
    <row r="345" spans="1:72">
      <c r="A345" s="3047"/>
      <c r="B345" s="3048"/>
      <c r="C345" s="3048"/>
      <c r="D345" s="3053"/>
      <c r="E345" s="3049">
        <f t="shared" si="206"/>
        <v>0</v>
      </c>
      <c r="F345" s="3050"/>
      <c r="G345" s="3051">
        <f t="shared" si="181"/>
        <v>0</v>
      </c>
      <c r="H345" s="3052">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49">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900">
        <f t="shared" si="207"/>
        <v>0</v>
      </c>
      <c r="AW345" s="900">
        <f t="shared" si="208"/>
        <v>0</v>
      </c>
      <c r="AX345" s="900">
        <f t="shared" si="209"/>
        <v>0</v>
      </c>
      <c r="AY345" s="3096">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3">
        <f t="shared" si="205"/>
        <v>0</v>
      </c>
    </row>
    <row r="346" spans="1:72">
      <c r="A346" s="3047"/>
      <c r="B346" s="3048"/>
      <c r="C346" s="3048"/>
      <c r="D346" s="3053"/>
      <c r="E346" s="3049">
        <f t="shared" si="206"/>
        <v>0</v>
      </c>
      <c r="F346" s="3050"/>
      <c r="G346" s="3051">
        <f t="shared" si="181"/>
        <v>0</v>
      </c>
      <c r="H346" s="3052">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49">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900">
        <f t="shared" si="207"/>
        <v>0</v>
      </c>
      <c r="AW346" s="900">
        <f t="shared" si="208"/>
        <v>0</v>
      </c>
      <c r="AX346" s="900">
        <f t="shared" si="209"/>
        <v>0</v>
      </c>
      <c r="AY346" s="3096">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3">
        <f t="shared" si="205"/>
        <v>0</v>
      </c>
    </row>
    <row r="347" spans="1:72">
      <c r="A347" s="3047"/>
      <c r="B347" s="3048"/>
      <c r="C347" s="3048"/>
      <c r="D347" s="3053"/>
      <c r="E347" s="3049">
        <f t="shared" si="206"/>
        <v>0</v>
      </c>
      <c r="F347" s="3050"/>
      <c r="G347" s="3051">
        <f t="shared" si="181"/>
        <v>0</v>
      </c>
      <c r="H347" s="3052">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49">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900">
        <f t="shared" si="207"/>
        <v>0</v>
      </c>
      <c r="AW347" s="900">
        <f t="shared" si="208"/>
        <v>0</v>
      </c>
      <c r="AX347" s="900">
        <f t="shared" si="209"/>
        <v>0</v>
      </c>
      <c r="AY347" s="3096">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3">
        <f t="shared" si="205"/>
        <v>0</v>
      </c>
    </row>
    <row r="348" spans="1:72">
      <c r="A348" s="3047"/>
      <c r="B348" s="3048"/>
      <c r="C348" s="3048"/>
      <c r="D348" s="3053"/>
      <c r="E348" s="3049">
        <f t="shared" si="206"/>
        <v>0</v>
      </c>
      <c r="F348" s="3050"/>
      <c r="G348" s="3051">
        <f t="shared" si="181"/>
        <v>0</v>
      </c>
      <c r="H348" s="3052">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49">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900">
        <f t="shared" si="207"/>
        <v>0</v>
      </c>
      <c r="AW348" s="900">
        <f t="shared" si="208"/>
        <v>0</v>
      </c>
      <c r="AX348" s="900">
        <f t="shared" si="209"/>
        <v>0</v>
      </c>
      <c r="AY348" s="3096">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3">
        <f t="shared" si="205"/>
        <v>0</v>
      </c>
    </row>
    <row r="349" spans="1:72">
      <c r="A349" s="3047"/>
      <c r="B349" s="3048"/>
      <c r="C349" s="3048"/>
      <c r="D349" s="3053"/>
      <c r="E349" s="3049">
        <f t="shared" si="206"/>
        <v>0</v>
      </c>
      <c r="F349" s="3050"/>
      <c r="G349" s="3051">
        <f t="shared" si="181"/>
        <v>0</v>
      </c>
      <c r="H349" s="3052">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49">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900">
        <f t="shared" si="207"/>
        <v>0</v>
      </c>
      <c r="AW349" s="900">
        <f t="shared" si="208"/>
        <v>0</v>
      </c>
      <c r="AX349" s="900">
        <f t="shared" si="209"/>
        <v>0</v>
      </c>
      <c r="AY349" s="3096">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3">
        <f t="shared" si="205"/>
        <v>0</v>
      </c>
    </row>
    <row r="350" spans="1:72">
      <c r="A350" s="3047"/>
      <c r="B350" s="3048"/>
      <c r="C350" s="3048"/>
      <c r="D350" s="3053"/>
      <c r="E350" s="3049">
        <f t="shared" si="206"/>
        <v>0</v>
      </c>
      <c r="F350" s="3050"/>
      <c r="G350" s="3051">
        <f t="shared" si="181"/>
        <v>0</v>
      </c>
      <c r="H350" s="3052">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49">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900">
        <f t="shared" si="207"/>
        <v>0</v>
      </c>
      <c r="AW350" s="900">
        <f t="shared" si="208"/>
        <v>0</v>
      </c>
      <c r="AX350" s="900">
        <f t="shared" si="209"/>
        <v>0</v>
      </c>
      <c r="AY350" s="3096">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3">
        <f t="shared" si="205"/>
        <v>0</v>
      </c>
    </row>
    <row r="351" spans="1:72">
      <c r="A351" s="3047"/>
      <c r="B351" s="3048"/>
      <c r="C351" s="3048"/>
      <c r="D351" s="3053"/>
      <c r="E351" s="3049">
        <f t="shared" si="206"/>
        <v>0</v>
      </c>
      <c r="F351" s="3050"/>
      <c r="G351" s="3051">
        <f t="shared" si="181"/>
        <v>0</v>
      </c>
      <c r="H351" s="3052">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49">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900">
        <f t="shared" si="207"/>
        <v>0</v>
      </c>
      <c r="AW351" s="900">
        <f t="shared" si="208"/>
        <v>0</v>
      </c>
      <c r="AX351" s="900">
        <f t="shared" si="209"/>
        <v>0</v>
      </c>
      <c r="AY351" s="3096">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3">
        <f t="shared" si="205"/>
        <v>0</v>
      </c>
    </row>
    <row r="352" spans="1:72">
      <c r="A352" s="3047"/>
      <c r="B352" s="3048"/>
      <c r="C352" s="3048"/>
      <c r="D352" s="3053"/>
      <c r="E352" s="3049">
        <f t="shared" si="206"/>
        <v>0</v>
      </c>
      <c r="F352" s="3050"/>
      <c r="G352" s="3051">
        <f t="shared" si="181"/>
        <v>0</v>
      </c>
      <c r="H352" s="3052">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49">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900">
        <f t="shared" si="207"/>
        <v>0</v>
      </c>
      <c r="AW352" s="900">
        <f t="shared" si="208"/>
        <v>0</v>
      </c>
      <c r="AX352" s="900">
        <f t="shared" si="209"/>
        <v>0</v>
      </c>
      <c r="AY352" s="3096">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3">
        <f t="shared" si="205"/>
        <v>0</v>
      </c>
    </row>
    <row r="353" spans="1:72">
      <c r="A353" s="3047"/>
      <c r="B353" s="3048"/>
      <c r="C353" s="3048"/>
      <c r="D353" s="3053"/>
      <c r="E353" s="3049">
        <f t="shared" si="206"/>
        <v>0</v>
      </c>
      <c r="F353" s="3050"/>
      <c r="G353" s="3051">
        <f t="shared" si="181"/>
        <v>0</v>
      </c>
      <c r="H353" s="3052">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49">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900">
        <f t="shared" si="207"/>
        <v>0</v>
      </c>
      <c r="AW353" s="900">
        <f t="shared" si="208"/>
        <v>0</v>
      </c>
      <c r="AX353" s="900">
        <f t="shared" si="209"/>
        <v>0</v>
      </c>
      <c r="AY353" s="3096">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3">
        <f t="shared" si="205"/>
        <v>0</v>
      </c>
    </row>
    <row r="354" spans="1:72">
      <c r="A354" s="3047"/>
      <c r="B354" s="3048"/>
      <c r="C354" s="3048"/>
      <c r="D354" s="3053"/>
      <c r="E354" s="3049">
        <f t="shared" si="206"/>
        <v>0</v>
      </c>
      <c r="F354" s="3050"/>
      <c r="G354" s="3051">
        <f t="shared" si="181"/>
        <v>0</v>
      </c>
      <c r="H354" s="3052">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49">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900">
        <f t="shared" si="207"/>
        <v>0</v>
      </c>
      <c r="AW354" s="900">
        <f t="shared" si="208"/>
        <v>0</v>
      </c>
      <c r="AX354" s="900">
        <f t="shared" si="209"/>
        <v>0</v>
      </c>
      <c r="AY354" s="3096">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3">
        <f t="shared" si="205"/>
        <v>0</v>
      </c>
    </row>
    <row r="355" spans="1:72">
      <c r="A355" s="3047"/>
      <c r="B355" s="3048"/>
      <c r="C355" s="3048"/>
      <c r="D355" s="3053"/>
      <c r="E355" s="3049">
        <f t="shared" si="206"/>
        <v>0</v>
      </c>
      <c r="F355" s="3050"/>
      <c r="G355" s="3051">
        <f t="shared" si="181"/>
        <v>0</v>
      </c>
      <c r="H355" s="3052">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49">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900">
        <f t="shared" si="207"/>
        <v>0</v>
      </c>
      <c r="AW355" s="900">
        <f t="shared" si="208"/>
        <v>0</v>
      </c>
      <c r="AX355" s="900">
        <f t="shared" si="209"/>
        <v>0</v>
      </c>
      <c r="AY355" s="3096">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3">
        <f t="shared" si="205"/>
        <v>0</v>
      </c>
    </row>
    <row r="356" spans="1:72">
      <c r="A356" s="3047"/>
      <c r="B356" s="3048"/>
      <c r="C356" s="3048"/>
      <c r="D356" s="3053"/>
      <c r="E356" s="3049">
        <f t="shared" si="206"/>
        <v>0</v>
      </c>
      <c r="F356" s="3050"/>
      <c r="G356" s="3051">
        <f t="shared" si="181"/>
        <v>0</v>
      </c>
      <c r="H356" s="3052">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49">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900">
        <f t="shared" si="207"/>
        <v>0</v>
      </c>
      <c r="AW356" s="900">
        <f t="shared" si="208"/>
        <v>0</v>
      </c>
      <c r="AX356" s="900">
        <f t="shared" si="209"/>
        <v>0</v>
      </c>
      <c r="AY356" s="3096">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3">
        <f t="shared" si="205"/>
        <v>0</v>
      </c>
    </row>
    <row r="357" spans="1:72">
      <c r="A357" s="3047"/>
      <c r="B357" s="3048"/>
      <c r="C357" s="3048"/>
      <c r="D357" s="3053"/>
      <c r="E357" s="3049">
        <f t="shared" si="206"/>
        <v>0</v>
      </c>
      <c r="F357" s="3050"/>
      <c r="G357" s="3051">
        <f t="shared" si="181"/>
        <v>0</v>
      </c>
      <c r="H357" s="3052">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49">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900">
        <f t="shared" si="207"/>
        <v>0</v>
      </c>
      <c r="AW357" s="900">
        <f t="shared" si="208"/>
        <v>0</v>
      </c>
      <c r="AX357" s="900">
        <f t="shared" si="209"/>
        <v>0</v>
      </c>
      <c r="AY357" s="3096">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3">
        <f t="shared" si="205"/>
        <v>0</v>
      </c>
    </row>
    <row r="358" spans="1:72">
      <c r="A358" s="3047"/>
      <c r="B358" s="3048"/>
      <c r="C358" s="3048"/>
      <c r="D358" s="3053"/>
      <c r="E358" s="3049">
        <f t="shared" si="206"/>
        <v>0</v>
      </c>
      <c r="F358" s="3050"/>
      <c r="G358" s="3051">
        <f t="shared" si="181"/>
        <v>0</v>
      </c>
      <c r="H358" s="3052">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49">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900">
        <f t="shared" si="207"/>
        <v>0</v>
      </c>
      <c r="AW358" s="900">
        <f t="shared" si="208"/>
        <v>0</v>
      </c>
      <c r="AX358" s="900">
        <f t="shared" si="209"/>
        <v>0</v>
      </c>
      <c r="AY358" s="3096">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3">
        <f t="shared" si="205"/>
        <v>0</v>
      </c>
    </row>
    <row r="359" spans="1:72">
      <c r="A359" s="3047"/>
      <c r="B359" s="3048"/>
      <c r="C359" s="3048"/>
      <c r="D359" s="3053"/>
      <c r="E359" s="3049">
        <f t="shared" si="206"/>
        <v>0</v>
      </c>
      <c r="F359" s="3050"/>
      <c r="G359" s="3051">
        <f t="shared" si="181"/>
        <v>0</v>
      </c>
      <c r="H359" s="3052">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49">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900">
        <f t="shared" si="207"/>
        <v>0</v>
      </c>
      <c r="AW359" s="900">
        <f t="shared" si="208"/>
        <v>0</v>
      </c>
      <c r="AX359" s="900">
        <f t="shared" si="209"/>
        <v>0</v>
      </c>
      <c r="AY359" s="3096">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3">
        <f t="shared" si="205"/>
        <v>0</v>
      </c>
    </row>
    <row r="360" spans="1:72">
      <c r="A360" s="3047"/>
      <c r="B360" s="3048"/>
      <c r="C360" s="3048"/>
      <c r="D360" s="3053"/>
      <c r="E360" s="3049">
        <f t="shared" si="206"/>
        <v>0</v>
      </c>
      <c r="F360" s="3050"/>
      <c r="G360" s="3051">
        <f t="shared" si="181"/>
        <v>0</v>
      </c>
      <c r="H360" s="3052">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49">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900">
        <f t="shared" si="207"/>
        <v>0</v>
      </c>
      <c r="AW360" s="900">
        <f t="shared" si="208"/>
        <v>0</v>
      </c>
      <c r="AX360" s="900">
        <f t="shared" si="209"/>
        <v>0</v>
      </c>
      <c r="AY360" s="3096">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3">
        <f t="shared" si="205"/>
        <v>0</v>
      </c>
    </row>
    <row r="361" spans="1:72">
      <c r="A361" s="3047"/>
      <c r="B361" s="3048"/>
      <c r="C361" s="3048"/>
      <c r="D361" s="3053"/>
      <c r="E361" s="3049">
        <f t="shared" si="206"/>
        <v>0</v>
      </c>
      <c r="F361" s="3050"/>
      <c r="G361" s="3051">
        <f t="shared" si="181"/>
        <v>0</v>
      </c>
      <c r="H361" s="3052">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49">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900">
        <f t="shared" si="207"/>
        <v>0</v>
      </c>
      <c r="AW361" s="900">
        <f t="shared" si="208"/>
        <v>0</v>
      </c>
      <c r="AX361" s="900">
        <f t="shared" si="209"/>
        <v>0</v>
      </c>
      <c r="AY361" s="3096">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3">
        <f t="shared" si="205"/>
        <v>0</v>
      </c>
    </row>
    <row r="362" spans="1:72">
      <c r="A362" s="3047"/>
      <c r="B362" s="3048"/>
      <c r="C362" s="3048"/>
      <c r="D362" s="3053"/>
      <c r="E362" s="3049">
        <f t="shared" si="206"/>
        <v>0</v>
      </c>
      <c r="F362" s="3050"/>
      <c r="G362" s="3051">
        <f t="shared" si="181"/>
        <v>0</v>
      </c>
      <c r="H362" s="3052">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49">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900">
        <f t="shared" si="207"/>
        <v>0</v>
      </c>
      <c r="AW362" s="900">
        <f t="shared" si="208"/>
        <v>0</v>
      </c>
      <c r="AX362" s="900">
        <f t="shared" si="209"/>
        <v>0</v>
      </c>
      <c r="AY362" s="3096">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3">
        <f t="shared" si="205"/>
        <v>0</v>
      </c>
    </row>
    <row r="363" spans="1:72">
      <c r="A363" s="3047"/>
      <c r="B363" s="3048"/>
      <c r="C363" s="3048"/>
      <c r="D363" s="3053"/>
      <c r="E363" s="3049">
        <f t="shared" si="206"/>
        <v>0</v>
      </c>
      <c r="F363" s="3050"/>
      <c r="G363" s="3051">
        <f t="shared" si="181"/>
        <v>0</v>
      </c>
      <c r="H363" s="3052">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49">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900">
        <f t="shared" si="207"/>
        <v>0</v>
      </c>
      <c r="AW363" s="900">
        <f t="shared" si="208"/>
        <v>0</v>
      </c>
      <c r="AX363" s="900">
        <f t="shared" si="209"/>
        <v>0</v>
      </c>
      <c r="AY363" s="3096">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3">
        <f t="shared" si="205"/>
        <v>0</v>
      </c>
    </row>
    <row r="364" spans="1:72">
      <c r="A364" s="3047"/>
      <c r="B364" s="3048"/>
      <c r="C364" s="3048"/>
      <c r="D364" s="3053"/>
      <c r="E364" s="3049">
        <f t="shared" si="206"/>
        <v>0</v>
      </c>
      <c r="F364" s="3050"/>
      <c r="G364" s="3051">
        <f t="shared" ref="G364:G397" si="210">H364+AC364+AT364</f>
        <v>0</v>
      </c>
      <c r="H364" s="3052">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49">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900">
        <f t="shared" si="207"/>
        <v>0</v>
      </c>
      <c r="AW364" s="900">
        <f t="shared" si="208"/>
        <v>0</v>
      </c>
      <c r="AX364" s="900">
        <f t="shared" si="209"/>
        <v>0</v>
      </c>
      <c r="AY364" s="3096">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3">
        <f t="shared" ref="BT364:BT397" si="234">IF($D364="是",AR364-AS364,0)</f>
        <v>0</v>
      </c>
    </row>
    <row r="365" spans="1:72">
      <c r="A365" s="3047"/>
      <c r="B365" s="3048"/>
      <c r="C365" s="3048"/>
      <c r="D365" s="3053"/>
      <c r="E365" s="3049">
        <f t="shared" si="206"/>
        <v>0</v>
      </c>
      <c r="F365" s="3050"/>
      <c r="G365" s="3051">
        <f t="shared" si="210"/>
        <v>0</v>
      </c>
      <c r="H365" s="3052">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49">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900">
        <f t="shared" si="207"/>
        <v>0</v>
      </c>
      <c r="AW365" s="900">
        <f t="shared" si="208"/>
        <v>0</v>
      </c>
      <c r="AX365" s="900">
        <f t="shared" si="209"/>
        <v>0</v>
      </c>
      <c r="AY365" s="3096">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3">
        <f t="shared" si="234"/>
        <v>0</v>
      </c>
    </row>
    <row r="366" spans="1:72">
      <c r="A366" s="3047"/>
      <c r="B366" s="3048"/>
      <c r="C366" s="3048"/>
      <c r="D366" s="3053"/>
      <c r="E366" s="3049">
        <f t="shared" si="206"/>
        <v>0</v>
      </c>
      <c r="F366" s="3050"/>
      <c r="G366" s="3051">
        <f t="shared" si="210"/>
        <v>0</v>
      </c>
      <c r="H366" s="3052">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49">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900">
        <f t="shared" si="207"/>
        <v>0</v>
      </c>
      <c r="AW366" s="900">
        <f t="shared" si="208"/>
        <v>0</v>
      </c>
      <c r="AX366" s="900">
        <f t="shared" si="209"/>
        <v>0</v>
      </c>
      <c r="AY366" s="3096">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3">
        <f t="shared" si="234"/>
        <v>0</v>
      </c>
    </row>
    <row r="367" spans="1:72">
      <c r="A367" s="3047"/>
      <c r="B367" s="3048"/>
      <c r="C367" s="3048"/>
      <c r="D367" s="3053"/>
      <c r="E367" s="3049">
        <f t="shared" ref="E367:E397" si="235">IF($C$3="是",ROUND($A$3*G367/$B$3,2),ROUND($A$3*(G367-AT367)/$B$3,2))</f>
        <v>0</v>
      </c>
      <c r="F367" s="3050"/>
      <c r="G367" s="3051">
        <f t="shared" si="210"/>
        <v>0</v>
      </c>
      <c r="H367" s="3052">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49">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900">
        <f t="shared" ref="AV367:AV397" si="236">A367</f>
        <v>0</v>
      </c>
      <c r="AW367" s="900">
        <f t="shared" ref="AW367:AW397" si="237">B367</f>
        <v>0</v>
      </c>
      <c r="AX367" s="900">
        <f t="shared" ref="AX367:AX397" si="238">C367</f>
        <v>0</v>
      </c>
      <c r="AY367" s="3096">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3">
        <f t="shared" si="234"/>
        <v>0</v>
      </c>
    </row>
    <row r="368" spans="1:72">
      <c r="A368" s="3047"/>
      <c r="B368" s="3048"/>
      <c r="C368" s="3048"/>
      <c r="D368" s="3053"/>
      <c r="E368" s="3049">
        <f t="shared" si="235"/>
        <v>0</v>
      </c>
      <c r="F368" s="3050"/>
      <c r="G368" s="3051">
        <f t="shared" si="210"/>
        <v>0</v>
      </c>
      <c r="H368" s="3052">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49">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900">
        <f t="shared" si="236"/>
        <v>0</v>
      </c>
      <c r="AW368" s="900">
        <f t="shared" si="237"/>
        <v>0</v>
      </c>
      <c r="AX368" s="900">
        <f t="shared" si="238"/>
        <v>0</v>
      </c>
      <c r="AY368" s="3096">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3">
        <f t="shared" si="234"/>
        <v>0</v>
      </c>
    </row>
    <row r="369" spans="1:72">
      <c r="A369" s="3047"/>
      <c r="B369" s="3048"/>
      <c r="C369" s="3048"/>
      <c r="D369" s="3053"/>
      <c r="E369" s="3049">
        <f t="shared" si="235"/>
        <v>0</v>
      </c>
      <c r="F369" s="3050"/>
      <c r="G369" s="3051">
        <f t="shared" si="210"/>
        <v>0</v>
      </c>
      <c r="H369" s="3052">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49">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900">
        <f t="shared" si="236"/>
        <v>0</v>
      </c>
      <c r="AW369" s="900">
        <f t="shared" si="237"/>
        <v>0</v>
      </c>
      <c r="AX369" s="900">
        <f t="shared" si="238"/>
        <v>0</v>
      </c>
      <c r="AY369" s="3096">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3">
        <f t="shared" si="234"/>
        <v>0</v>
      </c>
    </row>
    <row r="370" spans="1:72">
      <c r="A370" s="3047"/>
      <c r="B370" s="3048"/>
      <c r="C370" s="3048"/>
      <c r="D370" s="3053"/>
      <c r="E370" s="3049">
        <f t="shared" si="235"/>
        <v>0</v>
      </c>
      <c r="F370" s="3050"/>
      <c r="G370" s="3051">
        <f t="shared" si="210"/>
        <v>0</v>
      </c>
      <c r="H370" s="3052">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49">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900">
        <f t="shared" si="236"/>
        <v>0</v>
      </c>
      <c r="AW370" s="900">
        <f t="shared" si="237"/>
        <v>0</v>
      </c>
      <c r="AX370" s="900">
        <f t="shared" si="238"/>
        <v>0</v>
      </c>
      <c r="AY370" s="3096">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3">
        <f t="shared" si="234"/>
        <v>0</v>
      </c>
    </row>
    <row r="371" spans="1:72">
      <c r="A371" s="3047"/>
      <c r="B371" s="3048"/>
      <c r="C371" s="3048"/>
      <c r="D371" s="3053"/>
      <c r="E371" s="3049">
        <f t="shared" si="235"/>
        <v>0</v>
      </c>
      <c r="F371" s="3050"/>
      <c r="G371" s="3051">
        <f t="shared" si="210"/>
        <v>0</v>
      </c>
      <c r="H371" s="3052">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49">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900">
        <f t="shared" si="236"/>
        <v>0</v>
      </c>
      <c r="AW371" s="900">
        <f t="shared" si="237"/>
        <v>0</v>
      </c>
      <c r="AX371" s="900">
        <f t="shared" si="238"/>
        <v>0</v>
      </c>
      <c r="AY371" s="3096">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3">
        <f t="shared" si="234"/>
        <v>0</v>
      </c>
    </row>
    <row r="372" spans="1:72">
      <c r="A372" s="3047"/>
      <c r="B372" s="3048"/>
      <c r="C372" s="3048"/>
      <c r="D372" s="3053"/>
      <c r="E372" s="3049">
        <f t="shared" si="235"/>
        <v>0</v>
      </c>
      <c r="F372" s="3050"/>
      <c r="G372" s="3051">
        <f t="shared" si="210"/>
        <v>0</v>
      </c>
      <c r="H372" s="3052">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49">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900">
        <f t="shared" si="236"/>
        <v>0</v>
      </c>
      <c r="AW372" s="900">
        <f t="shared" si="237"/>
        <v>0</v>
      </c>
      <c r="AX372" s="900">
        <f t="shared" si="238"/>
        <v>0</v>
      </c>
      <c r="AY372" s="3096">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3">
        <f t="shared" si="234"/>
        <v>0</v>
      </c>
    </row>
    <row r="373" spans="1:72">
      <c r="A373" s="3047"/>
      <c r="B373" s="3048"/>
      <c r="C373" s="3048"/>
      <c r="D373" s="3053"/>
      <c r="E373" s="3049">
        <f t="shared" si="235"/>
        <v>0</v>
      </c>
      <c r="F373" s="3050"/>
      <c r="G373" s="3051">
        <f t="shared" si="210"/>
        <v>0</v>
      </c>
      <c r="H373" s="3052">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49">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900">
        <f t="shared" si="236"/>
        <v>0</v>
      </c>
      <c r="AW373" s="900">
        <f t="shared" si="237"/>
        <v>0</v>
      </c>
      <c r="AX373" s="900">
        <f t="shared" si="238"/>
        <v>0</v>
      </c>
      <c r="AY373" s="3096">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3">
        <f t="shared" si="234"/>
        <v>0</v>
      </c>
    </row>
    <row r="374" spans="1:72">
      <c r="A374" s="3047"/>
      <c r="B374" s="3048"/>
      <c r="C374" s="3048"/>
      <c r="D374" s="3053"/>
      <c r="E374" s="3049">
        <f t="shared" si="235"/>
        <v>0</v>
      </c>
      <c r="F374" s="3050"/>
      <c r="G374" s="3051">
        <f t="shared" si="210"/>
        <v>0</v>
      </c>
      <c r="H374" s="3052">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49">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900">
        <f t="shared" si="236"/>
        <v>0</v>
      </c>
      <c r="AW374" s="900">
        <f t="shared" si="237"/>
        <v>0</v>
      </c>
      <c r="AX374" s="900">
        <f t="shared" si="238"/>
        <v>0</v>
      </c>
      <c r="AY374" s="3096">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3">
        <f t="shared" si="234"/>
        <v>0</v>
      </c>
    </row>
    <row r="375" spans="1:72">
      <c r="A375" s="3047"/>
      <c r="B375" s="3048"/>
      <c r="C375" s="3048"/>
      <c r="D375" s="3053"/>
      <c r="E375" s="3049">
        <f t="shared" si="235"/>
        <v>0</v>
      </c>
      <c r="F375" s="3050"/>
      <c r="G375" s="3051">
        <f t="shared" si="210"/>
        <v>0</v>
      </c>
      <c r="H375" s="3052">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49">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900">
        <f t="shared" si="236"/>
        <v>0</v>
      </c>
      <c r="AW375" s="900">
        <f t="shared" si="237"/>
        <v>0</v>
      </c>
      <c r="AX375" s="900">
        <f t="shared" si="238"/>
        <v>0</v>
      </c>
      <c r="AY375" s="3096">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3">
        <f t="shared" si="234"/>
        <v>0</v>
      </c>
    </row>
    <row r="376" spans="1:72">
      <c r="A376" s="3047"/>
      <c r="B376" s="3048"/>
      <c r="C376" s="3048"/>
      <c r="D376" s="3053"/>
      <c r="E376" s="3049">
        <f t="shared" si="235"/>
        <v>0</v>
      </c>
      <c r="F376" s="3050"/>
      <c r="G376" s="3051">
        <f t="shared" si="210"/>
        <v>0</v>
      </c>
      <c r="H376" s="3052">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49">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900">
        <f t="shared" si="236"/>
        <v>0</v>
      </c>
      <c r="AW376" s="900">
        <f t="shared" si="237"/>
        <v>0</v>
      </c>
      <c r="AX376" s="900">
        <f t="shared" si="238"/>
        <v>0</v>
      </c>
      <c r="AY376" s="3096">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3">
        <f t="shared" si="234"/>
        <v>0</v>
      </c>
    </row>
    <row r="377" spans="1:72">
      <c r="A377" s="3047"/>
      <c r="B377" s="3048"/>
      <c r="C377" s="3048"/>
      <c r="D377" s="3053"/>
      <c r="E377" s="3049">
        <f t="shared" si="235"/>
        <v>0</v>
      </c>
      <c r="F377" s="3050"/>
      <c r="G377" s="3051">
        <f t="shared" si="210"/>
        <v>0</v>
      </c>
      <c r="H377" s="3052">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49">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900">
        <f t="shared" si="236"/>
        <v>0</v>
      </c>
      <c r="AW377" s="900">
        <f t="shared" si="237"/>
        <v>0</v>
      </c>
      <c r="AX377" s="900">
        <f t="shared" si="238"/>
        <v>0</v>
      </c>
      <c r="AY377" s="3096">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3">
        <f t="shared" si="234"/>
        <v>0</v>
      </c>
    </row>
    <row r="378" spans="1:72">
      <c r="A378" s="3047"/>
      <c r="B378" s="3048"/>
      <c r="C378" s="3048"/>
      <c r="D378" s="3053"/>
      <c r="E378" s="3049">
        <f t="shared" si="235"/>
        <v>0</v>
      </c>
      <c r="F378" s="3050"/>
      <c r="G378" s="3051">
        <f t="shared" si="210"/>
        <v>0</v>
      </c>
      <c r="H378" s="3052">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49">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900">
        <f t="shared" si="236"/>
        <v>0</v>
      </c>
      <c r="AW378" s="900">
        <f t="shared" si="237"/>
        <v>0</v>
      </c>
      <c r="AX378" s="900">
        <f t="shared" si="238"/>
        <v>0</v>
      </c>
      <c r="AY378" s="3096">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3">
        <f t="shared" si="234"/>
        <v>0</v>
      </c>
    </row>
    <row r="379" spans="1:72">
      <c r="A379" s="3047"/>
      <c r="B379" s="3048"/>
      <c r="C379" s="3048"/>
      <c r="D379" s="3053"/>
      <c r="E379" s="3049">
        <f t="shared" si="235"/>
        <v>0</v>
      </c>
      <c r="F379" s="3050"/>
      <c r="G379" s="3051">
        <f t="shared" si="210"/>
        <v>0</v>
      </c>
      <c r="H379" s="3052">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49">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900">
        <f t="shared" si="236"/>
        <v>0</v>
      </c>
      <c r="AW379" s="900">
        <f t="shared" si="237"/>
        <v>0</v>
      </c>
      <c r="AX379" s="900">
        <f t="shared" si="238"/>
        <v>0</v>
      </c>
      <c r="AY379" s="3096">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3">
        <f t="shared" si="234"/>
        <v>0</v>
      </c>
    </row>
    <row r="380" spans="1:72">
      <c r="A380" s="3047"/>
      <c r="B380" s="3048"/>
      <c r="C380" s="3048"/>
      <c r="D380" s="3053"/>
      <c r="E380" s="3049">
        <f t="shared" si="235"/>
        <v>0</v>
      </c>
      <c r="F380" s="3050"/>
      <c r="G380" s="3051">
        <f t="shared" si="210"/>
        <v>0</v>
      </c>
      <c r="H380" s="3052">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49">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900">
        <f t="shared" si="236"/>
        <v>0</v>
      </c>
      <c r="AW380" s="900">
        <f t="shared" si="237"/>
        <v>0</v>
      </c>
      <c r="AX380" s="900">
        <f t="shared" si="238"/>
        <v>0</v>
      </c>
      <c r="AY380" s="3096">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3">
        <f t="shared" si="234"/>
        <v>0</v>
      </c>
    </row>
    <row r="381" spans="1:72">
      <c r="A381" s="3047"/>
      <c r="B381" s="3048"/>
      <c r="C381" s="3048"/>
      <c r="D381" s="3053"/>
      <c r="E381" s="3049">
        <f t="shared" si="235"/>
        <v>0</v>
      </c>
      <c r="F381" s="3050"/>
      <c r="G381" s="3051">
        <f t="shared" si="210"/>
        <v>0</v>
      </c>
      <c r="H381" s="3052">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49">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900">
        <f t="shared" si="236"/>
        <v>0</v>
      </c>
      <c r="AW381" s="900">
        <f t="shared" si="237"/>
        <v>0</v>
      </c>
      <c r="AX381" s="900">
        <f t="shared" si="238"/>
        <v>0</v>
      </c>
      <c r="AY381" s="3096">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3">
        <f t="shared" si="234"/>
        <v>0</v>
      </c>
    </row>
    <row r="382" spans="1:72">
      <c r="A382" s="3047"/>
      <c r="B382" s="3048"/>
      <c r="C382" s="3048"/>
      <c r="D382" s="3053"/>
      <c r="E382" s="3049">
        <f t="shared" si="235"/>
        <v>0</v>
      </c>
      <c r="F382" s="3050"/>
      <c r="G382" s="3051">
        <f t="shared" si="210"/>
        <v>0</v>
      </c>
      <c r="H382" s="3052">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49">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900">
        <f t="shared" si="236"/>
        <v>0</v>
      </c>
      <c r="AW382" s="900">
        <f t="shared" si="237"/>
        <v>0</v>
      </c>
      <c r="AX382" s="900">
        <f t="shared" si="238"/>
        <v>0</v>
      </c>
      <c r="AY382" s="3096">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3">
        <f t="shared" si="234"/>
        <v>0</v>
      </c>
    </row>
    <row r="383" spans="1:72">
      <c r="A383" s="3047"/>
      <c r="B383" s="3048"/>
      <c r="C383" s="3048"/>
      <c r="D383" s="3053"/>
      <c r="E383" s="3049">
        <f t="shared" si="235"/>
        <v>0</v>
      </c>
      <c r="F383" s="3050"/>
      <c r="G383" s="3051">
        <f t="shared" si="210"/>
        <v>0</v>
      </c>
      <c r="H383" s="3052">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49">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900">
        <f t="shared" si="236"/>
        <v>0</v>
      </c>
      <c r="AW383" s="900">
        <f t="shared" si="237"/>
        <v>0</v>
      </c>
      <c r="AX383" s="900">
        <f t="shared" si="238"/>
        <v>0</v>
      </c>
      <c r="AY383" s="3096">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3">
        <f t="shared" si="234"/>
        <v>0</v>
      </c>
    </row>
    <row r="384" spans="1:72">
      <c r="A384" s="3047"/>
      <c r="B384" s="3048"/>
      <c r="C384" s="3048"/>
      <c r="D384" s="3053"/>
      <c r="E384" s="3049">
        <f t="shared" si="235"/>
        <v>0</v>
      </c>
      <c r="F384" s="3050"/>
      <c r="G384" s="3051">
        <f t="shared" si="210"/>
        <v>0</v>
      </c>
      <c r="H384" s="3052">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49">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900">
        <f t="shared" si="236"/>
        <v>0</v>
      </c>
      <c r="AW384" s="900">
        <f t="shared" si="237"/>
        <v>0</v>
      </c>
      <c r="AX384" s="900">
        <f t="shared" si="238"/>
        <v>0</v>
      </c>
      <c r="AY384" s="3096">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3">
        <f t="shared" si="234"/>
        <v>0</v>
      </c>
    </row>
    <row r="385" spans="1:72">
      <c r="A385" s="3047"/>
      <c r="B385" s="3048"/>
      <c r="C385" s="3048"/>
      <c r="D385" s="3053"/>
      <c r="E385" s="3049">
        <f t="shared" si="235"/>
        <v>0</v>
      </c>
      <c r="F385" s="3050"/>
      <c r="G385" s="3051">
        <f t="shared" si="210"/>
        <v>0</v>
      </c>
      <c r="H385" s="3052">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49">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900">
        <f t="shared" si="236"/>
        <v>0</v>
      </c>
      <c r="AW385" s="900">
        <f t="shared" si="237"/>
        <v>0</v>
      </c>
      <c r="AX385" s="900">
        <f t="shared" si="238"/>
        <v>0</v>
      </c>
      <c r="AY385" s="3096">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3">
        <f t="shared" si="234"/>
        <v>0</v>
      </c>
    </row>
    <row r="386" spans="1:72">
      <c r="A386" s="3047"/>
      <c r="B386" s="3048"/>
      <c r="C386" s="3048"/>
      <c r="D386" s="3053"/>
      <c r="E386" s="3049">
        <f t="shared" si="235"/>
        <v>0</v>
      </c>
      <c r="F386" s="3050"/>
      <c r="G386" s="3051">
        <f t="shared" si="210"/>
        <v>0</v>
      </c>
      <c r="H386" s="3052">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49">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900">
        <f t="shared" si="236"/>
        <v>0</v>
      </c>
      <c r="AW386" s="900">
        <f t="shared" si="237"/>
        <v>0</v>
      </c>
      <c r="AX386" s="900">
        <f t="shared" si="238"/>
        <v>0</v>
      </c>
      <c r="AY386" s="3096">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3">
        <f t="shared" si="234"/>
        <v>0</v>
      </c>
    </row>
    <row r="387" spans="1:72">
      <c r="A387" s="3047"/>
      <c r="B387" s="3048"/>
      <c r="C387" s="3048"/>
      <c r="D387" s="3053"/>
      <c r="E387" s="3049">
        <f t="shared" si="235"/>
        <v>0</v>
      </c>
      <c r="F387" s="3050"/>
      <c r="G387" s="3051">
        <f t="shared" si="210"/>
        <v>0</v>
      </c>
      <c r="H387" s="3052">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49">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900">
        <f t="shared" si="236"/>
        <v>0</v>
      </c>
      <c r="AW387" s="900">
        <f t="shared" si="237"/>
        <v>0</v>
      </c>
      <c r="AX387" s="900">
        <f t="shared" si="238"/>
        <v>0</v>
      </c>
      <c r="AY387" s="3096">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3">
        <f t="shared" si="234"/>
        <v>0</v>
      </c>
    </row>
    <row r="388" spans="1:72">
      <c r="A388" s="3047"/>
      <c r="B388" s="3048"/>
      <c r="C388" s="3048"/>
      <c r="D388" s="3053"/>
      <c r="E388" s="3049">
        <f t="shared" si="235"/>
        <v>0</v>
      </c>
      <c r="F388" s="3050"/>
      <c r="G388" s="3051">
        <f t="shared" si="210"/>
        <v>0</v>
      </c>
      <c r="H388" s="3052">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49">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900">
        <f t="shared" si="236"/>
        <v>0</v>
      </c>
      <c r="AW388" s="900">
        <f t="shared" si="237"/>
        <v>0</v>
      </c>
      <c r="AX388" s="900">
        <f t="shared" si="238"/>
        <v>0</v>
      </c>
      <c r="AY388" s="3096">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3">
        <f t="shared" si="234"/>
        <v>0</v>
      </c>
    </row>
    <row r="389" spans="1:72">
      <c r="A389" s="3047"/>
      <c r="B389" s="3048"/>
      <c r="C389" s="3048"/>
      <c r="D389" s="3053"/>
      <c r="E389" s="3049">
        <f t="shared" si="235"/>
        <v>0</v>
      </c>
      <c r="F389" s="3050"/>
      <c r="G389" s="3051">
        <f t="shared" si="210"/>
        <v>0</v>
      </c>
      <c r="H389" s="3052">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49">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900">
        <f t="shared" si="236"/>
        <v>0</v>
      </c>
      <c r="AW389" s="900">
        <f t="shared" si="237"/>
        <v>0</v>
      </c>
      <c r="AX389" s="900">
        <f t="shared" si="238"/>
        <v>0</v>
      </c>
      <c r="AY389" s="3096">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3">
        <f t="shared" si="234"/>
        <v>0</v>
      </c>
    </row>
    <row r="390" spans="1:72">
      <c r="A390" s="3047"/>
      <c r="B390" s="3048"/>
      <c r="C390" s="3048"/>
      <c r="D390" s="3053"/>
      <c r="E390" s="3049">
        <f t="shared" si="235"/>
        <v>0</v>
      </c>
      <c r="F390" s="3050"/>
      <c r="G390" s="3051">
        <f t="shared" si="210"/>
        <v>0</v>
      </c>
      <c r="H390" s="3052">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49">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900">
        <f t="shared" si="236"/>
        <v>0</v>
      </c>
      <c r="AW390" s="900">
        <f t="shared" si="237"/>
        <v>0</v>
      </c>
      <c r="AX390" s="900">
        <f t="shared" si="238"/>
        <v>0</v>
      </c>
      <c r="AY390" s="3096">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3">
        <f t="shared" si="234"/>
        <v>0</v>
      </c>
    </row>
    <row r="391" spans="1:72">
      <c r="A391" s="3047"/>
      <c r="B391" s="3048"/>
      <c r="C391" s="3048"/>
      <c r="D391" s="3053"/>
      <c r="E391" s="3049">
        <f t="shared" si="235"/>
        <v>0</v>
      </c>
      <c r="F391" s="3050"/>
      <c r="G391" s="3051">
        <f t="shared" si="210"/>
        <v>0</v>
      </c>
      <c r="H391" s="3052">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49">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900">
        <f t="shared" si="236"/>
        <v>0</v>
      </c>
      <c r="AW391" s="900">
        <f t="shared" si="237"/>
        <v>0</v>
      </c>
      <c r="AX391" s="900">
        <f t="shared" si="238"/>
        <v>0</v>
      </c>
      <c r="AY391" s="3096">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3">
        <f t="shared" si="234"/>
        <v>0</v>
      </c>
    </row>
    <row r="392" spans="1:72">
      <c r="A392" s="3047"/>
      <c r="B392" s="3048"/>
      <c r="C392" s="3048"/>
      <c r="D392" s="3053"/>
      <c r="E392" s="3049">
        <f t="shared" si="235"/>
        <v>0</v>
      </c>
      <c r="F392" s="3050"/>
      <c r="G392" s="3051">
        <f t="shared" si="210"/>
        <v>0</v>
      </c>
      <c r="H392" s="3052">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49">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900">
        <f t="shared" si="236"/>
        <v>0</v>
      </c>
      <c r="AW392" s="900">
        <f t="shared" si="237"/>
        <v>0</v>
      </c>
      <c r="AX392" s="900">
        <f t="shared" si="238"/>
        <v>0</v>
      </c>
      <c r="AY392" s="3096">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3">
        <f t="shared" si="234"/>
        <v>0</v>
      </c>
    </row>
    <row r="393" spans="1:72">
      <c r="A393" s="3047"/>
      <c r="B393" s="3048"/>
      <c r="C393" s="3048"/>
      <c r="D393" s="3053"/>
      <c r="E393" s="3049">
        <f t="shared" si="235"/>
        <v>0</v>
      </c>
      <c r="F393" s="3050"/>
      <c r="G393" s="3051">
        <f t="shared" si="210"/>
        <v>0</v>
      </c>
      <c r="H393" s="3052">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49">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900">
        <f t="shared" si="236"/>
        <v>0</v>
      </c>
      <c r="AW393" s="900">
        <f t="shared" si="237"/>
        <v>0</v>
      </c>
      <c r="AX393" s="900">
        <f t="shared" si="238"/>
        <v>0</v>
      </c>
      <c r="AY393" s="3096">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3">
        <f t="shared" si="234"/>
        <v>0</v>
      </c>
    </row>
    <row r="394" spans="1:72">
      <c r="A394" s="3047"/>
      <c r="B394" s="3048"/>
      <c r="C394" s="3048"/>
      <c r="D394" s="3053"/>
      <c r="E394" s="3049">
        <f t="shared" si="235"/>
        <v>0</v>
      </c>
      <c r="F394" s="3050"/>
      <c r="G394" s="3051">
        <f t="shared" si="210"/>
        <v>0</v>
      </c>
      <c r="H394" s="3052">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49">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900">
        <f t="shared" si="236"/>
        <v>0</v>
      </c>
      <c r="AW394" s="900">
        <f t="shared" si="237"/>
        <v>0</v>
      </c>
      <c r="AX394" s="900">
        <f t="shared" si="238"/>
        <v>0</v>
      </c>
      <c r="AY394" s="3096">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3">
        <f t="shared" si="234"/>
        <v>0</v>
      </c>
    </row>
    <row r="395" spans="1:72">
      <c r="A395" s="3047"/>
      <c r="B395" s="3047"/>
      <c r="C395" s="3047"/>
      <c r="D395" s="3053"/>
      <c r="E395" s="3049">
        <f t="shared" si="235"/>
        <v>0</v>
      </c>
      <c r="F395" s="3104"/>
      <c r="G395" s="3051">
        <f t="shared" si="210"/>
        <v>0</v>
      </c>
      <c r="H395" s="3052">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49">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900">
        <f t="shared" si="236"/>
        <v>0</v>
      </c>
      <c r="AW395" s="900">
        <f t="shared" si="237"/>
        <v>0</v>
      </c>
      <c r="AX395" s="900">
        <f t="shared" si="238"/>
        <v>0</v>
      </c>
      <c r="AY395" s="3096">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3">
        <f t="shared" si="234"/>
        <v>0</v>
      </c>
    </row>
    <row r="396" spans="1:72">
      <c r="A396" s="3047"/>
      <c r="B396" s="3047"/>
      <c r="C396" s="3047"/>
      <c r="D396" s="3053"/>
      <c r="E396" s="3049">
        <f t="shared" si="235"/>
        <v>0</v>
      </c>
      <c r="F396" s="3104"/>
      <c r="G396" s="3051">
        <f t="shared" si="210"/>
        <v>0</v>
      </c>
      <c r="H396" s="3052">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49">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900">
        <f t="shared" si="236"/>
        <v>0</v>
      </c>
      <c r="AW396" s="900">
        <f t="shared" si="237"/>
        <v>0</v>
      </c>
      <c r="AX396" s="900">
        <f t="shared" si="238"/>
        <v>0</v>
      </c>
      <c r="AY396" s="3096">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3">
        <f t="shared" si="234"/>
        <v>0</v>
      </c>
    </row>
    <row r="397" spans="1:72">
      <c r="A397" s="3047"/>
      <c r="B397" s="3047"/>
      <c r="C397" s="3047"/>
      <c r="D397" s="3053"/>
      <c r="E397" s="3049">
        <f t="shared" si="235"/>
        <v>0</v>
      </c>
      <c r="F397" s="3104"/>
      <c r="G397" s="3051">
        <f t="shared" si="210"/>
        <v>0</v>
      </c>
      <c r="H397" s="3052">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49">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900">
        <f t="shared" si="236"/>
        <v>0</v>
      </c>
      <c r="AW397" s="900">
        <f t="shared" si="237"/>
        <v>0</v>
      </c>
      <c r="AX397" s="900">
        <f t="shared" si="238"/>
        <v>0</v>
      </c>
      <c r="AY397" s="3096">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3">
        <f t="shared" si="234"/>
        <v>0</v>
      </c>
    </row>
    <row r="398" spans="1:72">
      <c r="A398" s="3047"/>
      <c r="B398" s="3048"/>
      <c r="C398" s="3048"/>
      <c r="D398" s="3053"/>
      <c r="E398" s="3049">
        <f t="shared" ref="E398:E492" si="239">IF($C$3="是",ROUND($A$3*G398/$B$3,2),ROUND($A$3*(G398-AT398)/$B$3,2))</f>
        <v>0</v>
      </c>
      <c r="F398" s="3050"/>
      <c r="G398" s="3051">
        <f t="shared" ref="G398:G489" si="240">H398+AC398+AT398</f>
        <v>0</v>
      </c>
      <c r="H398" s="3052">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49">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900">
        <f t="shared" ref="AV398:AV492" si="243">A398</f>
        <v>0</v>
      </c>
      <c r="AW398" s="900">
        <f t="shared" ref="AW398:AW492" si="244">B398</f>
        <v>0</v>
      </c>
      <c r="AX398" s="900">
        <f t="shared" ref="AX398:AX492" si="245">C398</f>
        <v>0</v>
      </c>
      <c r="AY398" s="3096">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3">
        <f t="shared" ref="BT398:BT489" si="267">IF($D398="是",AR398-AS398,0)</f>
        <v>0</v>
      </c>
    </row>
    <row r="399" spans="1:72">
      <c r="A399" s="3047"/>
      <c r="B399" s="3048"/>
      <c r="C399" s="3048"/>
      <c r="D399" s="3053"/>
      <c r="E399" s="3049">
        <f t="shared" si="239"/>
        <v>0</v>
      </c>
      <c r="F399" s="3050"/>
      <c r="G399" s="3051">
        <f t="shared" si="240"/>
        <v>0</v>
      </c>
      <c r="H399" s="3052">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49">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900">
        <f t="shared" si="243"/>
        <v>0</v>
      </c>
      <c r="AW399" s="900">
        <f t="shared" si="244"/>
        <v>0</v>
      </c>
      <c r="AX399" s="900">
        <f t="shared" si="245"/>
        <v>0</v>
      </c>
      <c r="AY399" s="3096">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3">
        <f t="shared" si="267"/>
        <v>0</v>
      </c>
    </row>
    <row r="400" spans="1:72">
      <c r="A400" s="3047"/>
      <c r="B400" s="3048"/>
      <c r="C400" s="3048"/>
      <c r="D400" s="3053"/>
      <c r="E400" s="3049">
        <f t="shared" si="239"/>
        <v>0</v>
      </c>
      <c r="F400" s="3050"/>
      <c r="G400" s="3051">
        <f t="shared" si="240"/>
        <v>0</v>
      </c>
      <c r="H400" s="3052">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49">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900">
        <f t="shared" si="243"/>
        <v>0</v>
      </c>
      <c r="AW400" s="900">
        <f t="shared" si="244"/>
        <v>0</v>
      </c>
      <c r="AX400" s="900">
        <f t="shared" si="245"/>
        <v>0</v>
      </c>
      <c r="AY400" s="3096">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3">
        <f t="shared" si="267"/>
        <v>0</v>
      </c>
    </row>
    <row r="401" spans="1:72">
      <c r="A401" s="3047"/>
      <c r="B401" s="3048"/>
      <c r="C401" s="3048"/>
      <c r="D401" s="3053"/>
      <c r="E401" s="3049">
        <f t="shared" si="239"/>
        <v>0</v>
      </c>
      <c r="F401" s="3050"/>
      <c r="G401" s="3051">
        <f t="shared" si="240"/>
        <v>0</v>
      </c>
      <c r="H401" s="3052">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49">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900">
        <f t="shared" si="243"/>
        <v>0</v>
      </c>
      <c r="AW401" s="900">
        <f t="shared" si="244"/>
        <v>0</v>
      </c>
      <c r="AX401" s="900">
        <f t="shared" si="245"/>
        <v>0</v>
      </c>
      <c r="AY401" s="3096">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3">
        <f t="shared" si="267"/>
        <v>0</v>
      </c>
    </row>
    <row r="402" spans="1:72">
      <c r="A402" s="3047"/>
      <c r="B402" s="3048"/>
      <c r="C402" s="3048"/>
      <c r="D402" s="3053"/>
      <c r="E402" s="3049">
        <f t="shared" si="239"/>
        <v>0</v>
      </c>
      <c r="F402" s="3050"/>
      <c r="G402" s="3051">
        <f t="shared" si="240"/>
        <v>0</v>
      </c>
      <c r="H402" s="3052">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49">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900">
        <f t="shared" si="243"/>
        <v>0</v>
      </c>
      <c r="AW402" s="900">
        <f t="shared" si="244"/>
        <v>0</v>
      </c>
      <c r="AX402" s="900">
        <f t="shared" si="245"/>
        <v>0</v>
      </c>
      <c r="AY402" s="3096">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3">
        <f t="shared" si="267"/>
        <v>0</v>
      </c>
    </row>
    <row r="403" spans="1:72">
      <c r="A403" s="3047"/>
      <c r="B403" s="3048"/>
      <c r="C403" s="3048"/>
      <c r="D403" s="3053"/>
      <c r="E403" s="3049">
        <f t="shared" si="239"/>
        <v>0</v>
      </c>
      <c r="F403" s="3050"/>
      <c r="G403" s="3051">
        <f t="shared" si="240"/>
        <v>0</v>
      </c>
      <c r="H403" s="3052">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49">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900">
        <f t="shared" si="243"/>
        <v>0</v>
      </c>
      <c r="AW403" s="900">
        <f t="shared" si="244"/>
        <v>0</v>
      </c>
      <c r="AX403" s="900">
        <f t="shared" si="245"/>
        <v>0</v>
      </c>
      <c r="AY403" s="3096">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3">
        <f t="shared" si="267"/>
        <v>0</v>
      </c>
    </row>
    <row r="404" spans="1:72">
      <c r="A404" s="3047"/>
      <c r="B404" s="3048"/>
      <c r="C404" s="3048"/>
      <c r="D404" s="3053"/>
      <c r="E404" s="3049">
        <f t="shared" si="239"/>
        <v>0</v>
      </c>
      <c r="F404" s="3050"/>
      <c r="G404" s="3051">
        <f t="shared" si="240"/>
        <v>0</v>
      </c>
      <c r="H404" s="3052">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49">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900">
        <f t="shared" si="243"/>
        <v>0</v>
      </c>
      <c r="AW404" s="900">
        <f t="shared" si="244"/>
        <v>0</v>
      </c>
      <c r="AX404" s="900">
        <f t="shared" si="245"/>
        <v>0</v>
      </c>
      <c r="AY404" s="3096">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3">
        <f t="shared" si="267"/>
        <v>0</v>
      </c>
    </row>
    <row r="405" spans="1:72">
      <c r="A405" s="3047"/>
      <c r="B405" s="3048"/>
      <c r="C405" s="3048"/>
      <c r="D405" s="3053"/>
      <c r="E405" s="3049">
        <f t="shared" si="239"/>
        <v>0</v>
      </c>
      <c r="F405" s="3050"/>
      <c r="G405" s="3051">
        <f t="shared" si="240"/>
        <v>0</v>
      </c>
      <c r="H405" s="3052">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49">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900">
        <f t="shared" si="243"/>
        <v>0</v>
      </c>
      <c r="AW405" s="900">
        <f t="shared" si="244"/>
        <v>0</v>
      </c>
      <c r="AX405" s="900">
        <f t="shared" si="245"/>
        <v>0</v>
      </c>
      <c r="AY405" s="3096">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3">
        <f t="shared" si="267"/>
        <v>0</v>
      </c>
    </row>
    <row r="406" spans="1:72">
      <c r="A406" s="3047"/>
      <c r="B406" s="3048"/>
      <c r="C406" s="3048"/>
      <c r="D406" s="3053"/>
      <c r="E406" s="3049">
        <f t="shared" si="239"/>
        <v>0</v>
      </c>
      <c r="F406" s="3050"/>
      <c r="G406" s="3051">
        <f t="shared" si="240"/>
        <v>0</v>
      </c>
      <c r="H406" s="3052">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49">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900">
        <f t="shared" si="243"/>
        <v>0</v>
      </c>
      <c r="AW406" s="900">
        <f t="shared" si="244"/>
        <v>0</v>
      </c>
      <c r="AX406" s="900">
        <f t="shared" si="245"/>
        <v>0</v>
      </c>
      <c r="AY406" s="3096">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3">
        <f t="shared" si="267"/>
        <v>0</v>
      </c>
    </row>
    <row r="407" spans="1:72">
      <c r="A407" s="3047"/>
      <c r="B407" s="3048"/>
      <c r="C407" s="3048"/>
      <c r="D407" s="3053"/>
      <c r="E407" s="3049">
        <f t="shared" si="239"/>
        <v>0</v>
      </c>
      <c r="F407" s="3050"/>
      <c r="G407" s="3051">
        <f t="shared" si="240"/>
        <v>0</v>
      </c>
      <c r="H407" s="3052">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49">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900">
        <f t="shared" si="243"/>
        <v>0</v>
      </c>
      <c r="AW407" s="900">
        <f t="shared" si="244"/>
        <v>0</v>
      </c>
      <c r="AX407" s="900">
        <f t="shared" si="245"/>
        <v>0</v>
      </c>
      <c r="AY407" s="3096">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3">
        <f t="shared" si="267"/>
        <v>0</v>
      </c>
    </row>
    <row r="408" spans="1:72">
      <c r="A408" s="3047"/>
      <c r="B408" s="3048"/>
      <c r="C408" s="3048"/>
      <c r="D408" s="3053"/>
      <c r="E408" s="3049">
        <f t="shared" si="239"/>
        <v>0</v>
      </c>
      <c r="F408" s="3050"/>
      <c r="G408" s="3051">
        <f t="shared" si="240"/>
        <v>0</v>
      </c>
      <c r="H408" s="3052">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49">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900">
        <f t="shared" si="243"/>
        <v>0</v>
      </c>
      <c r="AW408" s="900">
        <f t="shared" si="244"/>
        <v>0</v>
      </c>
      <c r="AX408" s="900">
        <f t="shared" si="245"/>
        <v>0</v>
      </c>
      <c r="AY408" s="3096">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3">
        <f t="shared" si="267"/>
        <v>0</v>
      </c>
    </row>
    <row r="409" spans="1:72">
      <c r="A409" s="3047"/>
      <c r="B409" s="3048"/>
      <c r="C409" s="3048"/>
      <c r="D409" s="3053"/>
      <c r="E409" s="3049">
        <f t="shared" si="239"/>
        <v>0</v>
      </c>
      <c r="F409" s="3050"/>
      <c r="G409" s="3051">
        <f t="shared" si="240"/>
        <v>0</v>
      </c>
      <c r="H409" s="3052">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49">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900">
        <f t="shared" si="243"/>
        <v>0</v>
      </c>
      <c r="AW409" s="900">
        <f t="shared" si="244"/>
        <v>0</v>
      </c>
      <c r="AX409" s="900">
        <f t="shared" si="245"/>
        <v>0</v>
      </c>
      <c r="AY409" s="3096">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3">
        <f t="shared" si="267"/>
        <v>0</v>
      </c>
    </row>
    <row r="410" spans="1:72">
      <c r="A410" s="3047"/>
      <c r="B410" s="3048"/>
      <c r="C410" s="3048"/>
      <c r="D410" s="3053"/>
      <c r="E410" s="3049">
        <f t="shared" si="239"/>
        <v>0</v>
      </c>
      <c r="F410" s="3050"/>
      <c r="G410" s="3051">
        <f t="shared" si="240"/>
        <v>0</v>
      </c>
      <c r="H410" s="3052">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49">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900">
        <f t="shared" si="243"/>
        <v>0</v>
      </c>
      <c r="AW410" s="900">
        <f t="shared" si="244"/>
        <v>0</v>
      </c>
      <c r="AX410" s="900">
        <f t="shared" si="245"/>
        <v>0</v>
      </c>
      <c r="AY410" s="3096">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3">
        <f t="shared" si="267"/>
        <v>0</v>
      </c>
    </row>
    <row r="411" spans="1:72">
      <c r="A411" s="3047"/>
      <c r="B411" s="3048"/>
      <c r="C411" s="3048"/>
      <c r="D411" s="3053"/>
      <c r="E411" s="3049">
        <f t="shared" si="239"/>
        <v>0</v>
      </c>
      <c r="F411" s="3050"/>
      <c r="G411" s="3051">
        <f t="shared" si="240"/>
        <v>0</v>
      </c>
      <c r="H411" s="3052">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49">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900">
        <f t="shared" si="243"/>
        <v>0</v>
      </c>
      <c r="AW411" s="900">
        <f t="shared" si="244"/>
        <v>0</v>
      </c>
      <c r="AX411" s="900">
        <f t="shared" si="245"/>
        <v>0</v>
      </c>
      <c r="AY411" s="3096">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3">
        <f t="shared" si="267"/>
        <v>0</v>
      </c>
    </row>
    <row r="412" spans="1:72">
      <c r="A412" s="3047"/>
      <c r="B412" s="3048"/>
      <c r="C412" s="3048"/>
      <c r="D412" s="3053"/>
      <c r="E412" s="3049">
        <f t="shared" si="239"/>
        <v>0</v>
      </c>
      <c r="F412" s="3050"/>
      <c r="G412" s="3051">
        <f t="shared" si="240"/>
        <v>0</v>
      </c>
      <c r="H412" s="3052">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49">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900">
        <f t="shared" si="243"/>
        <v>0</v>
      </c>
      <c r="AW412" s="900">
        <f t="shared" si="244"/>
        <v>0</v>
      </c>
      <c r="AX412" s="900">
        <f t="shared" si="245"/>
        <v>0</v>
      </c>
      <c r="AY412" s="3096">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3">
        <f t="shared" si="267"/>
        <v>0</v>
      </c>
    </row>
    <row r="413" spans="1:72">
      <c r="A413" s="3047"/>
      <c r="B413" s="3048"/>
      <c r="C413" s="3048"/>
      <c r="D413" s="3053"/>
      <c r="E413" s="3049">
        <f t="shared" si="239"/>
        <v>0</v>
      </c>
      <c r="F413" s="3050"/>
      <c r="G413" s="3051">
        <f t="shared" si="240"/>
        <v>0</v>
      </c>
      <c r="H413" s="3052">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49">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900">
        <f t="shared" si="243"/>
        <v>0</v>
      </c>
      <c r="AW413" s="900">
        <f t="shared" si="244"/>
        <v>0</v>
      </c>
      <c r="AX413" s="900">
        <f t="shared" si="245"/>
        <v>0</v>
      </c>
      <c r="AY413" s="3096">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3">
        <f t="shared" si="267"/>
        <v>0</v>
      </c>
    </row>
    <row r="414" spans="1:72">
      <c r="A414" s="3047"/>
      <c r="B414" s="3048"/>
      <c r="C414" s="3048"/>
      <c r="D414" s="3053"/>
      <c r="E414" s="3049">
        <f t="shared" si="239"/>
        <v>0</v>
      </c>
      <c r="F414" s="3050"/>
      <c r="G414" s="3051">
        <f t="shared" si="240"/>
        <v>0</v>
      </c>
      <c r="H414" s="3052">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49">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900">
        <f t="shared" si="243"/>
        <v>0</v>
      </c>
      <c r="AW414" s="900">
        <f t="shared" si="244"/>
        <v>0</v>
      </c>
      <c r="AX414" s="900">
        <f t="shared" si="245"/>
        <v>0</v>
      </c>
      <c r="AY414" s="3096">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3">
        <f t="shared" si="267"/>
        <v>0</v>
      </c>
    </row>
    <row r="415" spans="1:72">
      <c r="A415" s="3047"/>
      <c r="B415" s="3048"/>
      <c r="C415" s="3048"/>
      <c r="D415" s="3053"/>
      <c r="E415" s="3049">
        <f t="shared" si="239"/>
        <v>0</v>
      </c>
      <c r="F415" s="3050"/>
      <c r="G415" s="3051">
        <f t="shared" si="240"/>
        <v>0</v>
      </c>
      <c r="H415" s="3052">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49">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900">
        <f t="shared" si="243"/>
        <v>0</v>
      </c>
      <c r="AW415" s="900">
        <f t="shared" si="244"/>
        <v>0</v>
      </c>
      <c r="AX415" s="900">
        <f t="shared" si="245"/>
        <v>0</v>
      </c>
      <c r="AY415" s="3096">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3">
        <f t="shared" si="267"/>
        <v>0</v>
      </c>
    </row>
    <row r="416" spans="1:72">
      <c r="A416" s="3047"/>
      <c r="B416" s="3048"/>
      <c r="C416" s="3048"/>
      <c r="D416" s="3053"/>
      <c r="E416" s="3049">
        <f t="shared" si="239"/>
        <v>0</v>
      </c>
      <c r="F416" s="3050"/>
      <c r="G416" s="3051">
        <f t="shared" si="240"/>
        <v>0</v>
      </c>
      <c r="H416" s="3052">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49">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900">
        <f t="shared" si="243"/>
        <v>0</v>
      </c>
      <c r="AW416" s="900">
        <f t="shared" si="244"/>
        <v>0</v>
      </c>
      <c r="AX416" s="900">
        <f t="shared" si="245"/>
        <v>0</v>
      </c>
      <c r="AY416" s="3096">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3">
        <f t="shared" si="267"/>
        <v>0</v>
      </c>
    </row>
    <row r="417" spans="1:72">
      <c r="A417" s="3047"/>
      <c r="B417" s="3048"/>
      <c r="C417" s="3048"/>
      <c r="D417" s="3053"/>
      <c r="E417" s="3049">
        <f t="shared" si="239"/>
        <v>0</v>
      </c>
      <c r="F417" s="3050"/>
      <c r="G417" s="3051">
        <f t="shared" si="240"/>
        <v>0</v>
      </c>
      <c r="H417" s="3052">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49">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900">
        <f t="shared" si="243"/>
        <v>0</v>
      </c>
      <c r="AW417" s="900">
        <f t="shared" si="244"/>
        <v>0</v>
      </c>
      <c r="AX417" s="900">
        <f t="shared" si="245"/>
        <v>0</v>
      </c>
      <c r="AY417" s="3096">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3">
        <f t="shared" si="267"/>
        <v>0</v>
      </c>
    </row>
    <row r="418" spans="1:72">
      <c r="A418" s="3047"/>
      <c r="B418" s="3048"/>
      <c r="C418" s="3048"/>
      <c r="D418" s="3053"/>
      <c r="E418" s="3049">
        <f t="shared" si="239"/>
        <v>0</v>
      </c>
      <c r="F418" s="3050"/>
      <c r="G418" s="3051">
        <f t="shared" si="240"/>
        <v>0</v>
      </c>
      <c r="H418" s="3052">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49">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900">
        <f t="shared" si="243"/>
        <v>0</v>
      </c>
      <c r="AW418" s="900">
        <f t="shared" si="244"/>
        <v>0</v>
      </c>
      <c r="AX418" s="900">
        <f t="shared" si="245"/>
        <v>0</v>
      </c>
      <c r="AY418" s="3096">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3">
        <f t="shared" si="267"/>
        <v>0</v>
      </c>
    </row>
    <row r="419" spans="1:72">
      <c r="A419" s="3047"/>
      <c r="B419" s="3048"/>
      <c r="C419" s="3048"/>
      <c r="D419" s="3053"/>
      <c r="E419" s="3049">
        <f t="shared" si="239"/>
        <v>0</v>
      </c>
      <c r="F419" s="3050"/>
      <c r="G419" s="3051">
        <f t="shared" si="240"/>
        <v>0</v>
      </c>
      <c r="H419" s="3052">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49">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900">
        <f t="shared" si="243"/>
        <v>0</v>
      </c>
      <c r="AW419" s="900">
        <f t="shared" si="244"/>
        <v>0</v>
      </c>
      <c r="AX419" s="900">
        <f t="shared" si="245"/>
        <v>0</v>
      </c>
      <c r="AY419" s="3096">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3">
        <f t="shared" si="267"/>
        <v>0</v>
      </c>
    </row>
    <row r="420" spans="1:72">
      <c r="A420" s="3047"/>
      <c r="B420" s="3048"/>
      <c r="C420" s="3048"/>
      <c r="D420" s="3053"/>
      <c r="E420" s="3049">
        <f t="shared" si="239"/>
        <v>0</v>
      </c>
      <c r="F420" s="3050"/>
      <c r="G420" s="3051">
        <f t="shared" si="240"/>
        <v>0</v>
      </c>
      <c r="H420" s="3052">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49">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900">
        <f t="shared" si="243"/>
        <v>0</v>
      </c>
      <c r="AW420" s="900">
        <f t="shared" si="244"/>
        <v>0</v>
      </c>
      <c r="AX420" s="900">
        <f t="shared" si="245"/>
        <v>0</v>
      </c>
      <c r="AY420" s="3096">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3">
        <f t="shared" si="267"/>
        <v>0</v>
      </c>
    </row>
    <row r="421" spans="1:72">
      <c r="A421" s="3047"/>
      <c r="B421" s="3048"/>
      <c r="C421" s="3048"/>
      <c r="D421" s="3053"/>
      <c r="E421" s="3049">
        <f t="shared" si="239"/>
        <v>0</v>
      </c>
      <c r="F421" s="3050"/>
      <c r="G421" s="3051">
        <f t="shared" si="240"/>
        <v>0</v>
      </c>
      <c r="H421" s="3052">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49">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900">
        <f t="shared" si="243"/>
        <v>0</v>
      </c>
      <c r="AW421" s="900">
        <f t="shared" si="244"/>
        <v>0</v>
      </c>
      <c r="AX421" s="900">
        <f t="shared" si="245"/>
        <v>0</v>
      </c>
      <c r="AY421" s="3096">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3">
        <f t="shared" si="267"/>
        <v>0</v>
      </c>
    </row>
    <row r="422" spans="1:72">
      <c r="A422" s="3047"/>
      <c r="B422" s="3048"/>
      <c r="C422" s="3048"/>
      <c r="D422" s="3053"/>
      <c r="E422" s="3049">
        <f t="shared" si="239"/>
        <v>0</v>
      </c>
      <c r="F422" s="3050"/>
      <c r="G422" s="3051">
        <f t="shared" si="240"/>
        <v>0</v>
      </c>
      <c r="H422" s="3052">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49">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900">
        <f t="shared" si="243"/>
        <v>0</v>
      </c>
      <c r="AW422" s="900">
        <f t="shared" si="244"/>
        <v>0</v>
      </c>
      <c r="AX422" s="900">
        <f t="shared" si="245"/>
        <v>0</v>
      </c>
      <c r="AY422" s="3096">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3">
        <f t="shared" si="267"/>
        <v>0</v>
      </c>
    </row>
    <row r="423" spans="1:72">
      <c r="A423" s="3047"/>
      <c r="B423" s="3048"/>
      <c r="C423" s="3048"/>
      <c r="D423" s="3053"/>
      <c r="E423" s="3049">
        <f t="shared" si="239"/>
        <v>0</v>
      </c>
      <c r="F423" s="3050"/>
      <c r="G423" s="3051">
        <f t="shared" si="240"/>
        <v>0</v>
      </c>
      <c r="H423" s="3052">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49">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900">
        <f t="shared" si="243"/>
        <v>0</v>
      </c>
      <c r="AW423" s="900">
        <f t="shared" si="244"/>
        <v>0</v>
      </c>
      <c r="AX423" s="900">
        <f t="shared" si="245"/>
        <v>0</v>
      </c>
      <c r="AY423" s="3096">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3">
        <f t="shared" si="267"/>
        <v>0</v>
      </c>
    </row>
    <row r="424" spans="1:72">
      <c r="A424" s="3047"/>
      <c r="B424" s="3048"/>
      <c r="C424" s="3048"/>
      <c r="D424" s="3053"/>
      <c r="E424" s="3049">
        <f t="shared" si="239"/>
        <v>0</v>
      </c>
      <c r="F424" s="3050"/>
      <c r="G424" s="3051">
        <f t="shared" si="240"/>
        <v>0</v>
      </c>
      <c r="H424" s="3052">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49">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900">
        <f t="shared" si="243"/>
        <v>0</v>
      </c>
      <c r="AW424" s="900">
        <f t="shared" si="244"/>
        <v>0</v>
      </c>
      <c r="AX424" s="900">
        <f t="shared" si="245"/>
        <v>0</v>
      </c>
      <c r="AY424" s="3096">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3">
        <f t="shared" si="267"/>
        <v>0</v>
      </c>
    </row>
    <row r="425" spans="1:72">
      <c r="A425" s="3047"/>
      <c r="B425" s="3048"/>
      <c r="C425" s="3048"/>
      <c r="D425" s="3053"/>
      <c r="E425" s="3049">
        <f t="shared" si="239"/>
        <v>0</v>
      </c>
      <c r="F425" s="3050"/>
      <c r="G425" s="3051">
        <f t="shared" si="240"/>
        <v>0</v>
      </c>
      <c r="H425" s="3052">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49">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900">
        <f t="shared" si="243"/>
        <v>0</v>
      </c>
      <c r="AW425" s="900">
        <f t="shared" si="244"/>
        <v>0</v>
      </c>
      <c r="AX425" s="900">
        <f t="shared" si="245"/>
        <v>0</v>
      </c>
      <c r="AY425" s="3096">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3">
        <f t="shared" si="267"/>
        <v>0</v>
      </c>
    </row>
    <row r="426" spans="1:72">
      <c r="A426" s="3047"/>
      <c r="B426" s="3048"/>
      <c r="C426" s="3048"/>
      <c r="D426" s="3053"/>
      <c r="E426" s="3049">
        <f t="shared" si="239"/>
        <v>0</v>
      </c>
      <c r="F426" s="3050"/>
      <c r="G426" s="3051">
        <f t="shared" si="240"/>
        <v>0</v>
      </c>
      <c r="H426" s="3052">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49">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900">
        <f t="shared" si="243"/>
        <v>0</v>
      </c>
      <c r="AW426" s="900">
        <f t="shared" si="244"/>
        <v>0</v>
      </c>
      <c r="AX426" s="900">
        <f t="shared" si="245"/>
        <v>0</v>
      </c>
      <c r="AY426" s="3096">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3">
        <f t="shared" si="267"/>
        <v>0</v>
      </c>
    </row>
    <row r="427" spans="1:72">
      <c r="A427" s="3047"/>
      <c r="B427" s="3048"/>
      <c r="C427" s="3048"/>
      <c r="D427" s="3053"/>
      <c r="E427" s="3049">
        <f t="shared" si="239"/>
        <v>0</v>
      </c>
      <c r="F427" s="3050"/>
      <c r="G427" s="3051">
        <f t="shared" si="240"/>
        <v>0</v>
      </c>
      <c r="H427" s="3052">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49">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900">
        <f t="shared" si="243"/>
        <v>0</v>
      </c>
      <c r="AW427" s="900">
        <f t="shared" si="244"/>
        <v>0</v>
      </c>
      <c r="AX427" s="900">
        <f t="shared" si="245"/>
        <v>0</v>
      </c>
      <c r="AY427" s="3096">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3">
        <f t="shared" si="267"/>
        <v>0</v>
      </c>
    </row>
    <row r="428" spans="1:72">
      <c r="A428" s="3047"/>
      <c r="B428" s="3048"/>
      <c r="C428" s="3048"/>
      <c r="D428" s="3053"/>
      <c r="E428" s="3049">
        <f t="shared" si="239"/>
        <v>0</v>
      </c>
      <c r="F428" s="3050"/>
      <c r="G428" s="3051">
        <f t="shared" si="240"/>
        <v>0</v>
      </c>
      <c r="H428" s="3052">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49">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900">
        <f t="shared" si="243"/>
        <v>0</v>
      </c>
      <c r="AW428" s="900">
        <f t="shared" si="244"/>
        <v>0</v>
      </c>
      <c r="AX428" s="900">
        <f t="shared" si="245"/>
        <v>0</v>
      </c>
      <c r="AY428" s="3096">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3">
        <f t="shared" si="267"/>
        <v>0</v>
      </c>
    </row>
    <row r="429" spans="1:72">
      <c r="A429" s="3047"/>
      <c r="B429" s="3048"/>
      <c r="C429" s="3048"/>
      <c r="D429" s="3053"/>
      <c r="E429" s="3049">
        <f t="shared" si="239"/>
        <v>0</v>
      </c>
      <c r="F429" s="3050"/>
      <c r="G429" s="3051">
        <f t="shared" si="240"/>
        <v>0</v>
      </c>
      <c r="H429" s="3052">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49">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900">
        <f t="shared" si="243"/>
        <v>0</v>
      </c>
      <c r="AW429" s="900">
        <f t="shared" si="244"/>
        <v>0</v>
      </c>
      <c r="AX429" s="900">
        <f t="shared" si="245"/>
        <v>0</v>
      </c>
      <c r="AY429" s="3096">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3">
        <f t="shared" si="267"/>
        <v>0</v>
      </c>
    </row>
    <row r="430" spans="1:72">
      <c r="A430" s="3047"/>
      <c r="B430" s="3048"/>
      <c r="C430" s="3048"/>
      <c r="D430" s="3053"/>
      <c r="E430" s="3049">
        <f t="shared" si="239"/>
        <v>0</v>
      </c>
      <c r="F430" s="3050"/>
      <c r="G430" s="3051">
        <f t="shared" si="240"/>
        <v>0</v>
      </c>
      <c r="H430" s="3052">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49">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900">
        <f t="shared" si="243"/>
        <v>0</v>
      </c>
      <c r="AW430" s="900">
        <f t="shared" si="244"/>
        <v>0</v>
      </c>
      <c r="AX430" s="900">
        <f t="shared" si="245"/>
        <v>0</v>
      </c>
      <c r="AY430" s="3096">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3">
        <f t="shared" si="267"/>
        <v>0</v>
      </c>
    </row>
    <row r="431" spans="1:72">
      <c r="A431" s="3047"/>
      <c r="B431" s="3048"/>
      <c r="C431" s="3048"/>
      <c r="D431" s="3053"/>
      <c r="E431" s="3049">
        <f t="shared" si="239"/>
        <v>0</v>
      </c>
      <c r="F431" s="3050"/>
      <c r="G431" s="3051">
        <f t="shared" si="240"/>
        <v>0</v>
      </c>
      <c r="H431" s="3052">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49">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900">
        <f t="shared" si="243"/>
        <v>0</v>
      </c>
      <c r="AW431" s="900">
        <f t="shared" si="244"/>
        <v>0</v>
      </c>
      <c r="AX431" s="900">
        <f t="shared" si="245"/>
        <v>0</v>
      </c>
      <c r="AY431" s="3096">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3">
        <f t="shared" si="267"/>
        <v>0</v>
      </c>
    </row>
    <row r="432" spans="1:72">
      <c r="A432" s="3047"/>
      <c r="B432" s="3048"/>
      <c r="C432" s="3048"/>
      <c r="D432" s="3053"/>
      <c r="E432" s="3049">
        <f t="shared" si="239"/>
        <v>0</v>
      </c>
      <c r="F432" s="3050"/>
      <c r="G432" s="3051">
        <f t="shared" si="240"/>
        <v>0</v>
      </c>
      <c r="H432" s="3052">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49">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900">
        <f t="shared" si="243"/>
        <v>0</v>
      </c>
      <c r="AW432" s="900">
        <f t="shared" si="244"/>
        <v>0</v>
      </c>
      <c r="AX432" s="900">
        <f t="shared" si="245"/>
        <v>0</v>
      </c>
      <c r="AY432" s="3096">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3">
        <f t="shared" si="267"/>
        <v>0</v>
      </c>
    </row>
    <row r="433" spans="1:72">
      <c r="A433" s="3047"/>
      <c r="B433" s="3048"/>
      <c r="C433" s="3048"/>
      <c r="D433" s="3053"/>
      <c r="E433" s="3049">
        <f t="shared" si="239"/>
        <v>0</v>
      </c>
      <c r="F433" s="3050"/>
      <c r="G433" s="3051">
        <f t="shared" si="240"/>
        <v>0</v>
      </c>
      <c r="H433" s="3052">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49">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900">
        <f t="shared" si="243"/>
        <v>0</v>
      </c>
      <c r="AW433" s="900">
        <f t="shared" si="244"/>
        <v>0</v>
      </c>
      <c r="AX433" s="900">
        <f t="shared" si="245"/>
        <v>0</v>
      </c>
      <c r="AY433" s="3096">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3">
        <f t="shared" si="267"/>
        <v>0</v>
      </c>
    </row>
    <row r="434" spans="1:72">
      <c r="A434" s="3047"/>
      <c r="B434" s="3048"/>
      <c r="C434" s="3048"/>
      <c r="D434" s="3053"/>
      <c r="E434" s="3049">
        <f t="shared" si="239"/>
        <v>0</v>
      </c>
      <c r="F434" s="3050"/>
      <c r="G434" s="3051">
        <f t="shared" si="240"/>
        <v>0</v>
      </c>
      <c r="H434" s="3052">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49">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900">
        <f t="shared" si="243"/>
        <v>0</v>
      </c>
      <c r="AW434" s="900">
        <f t="shared" si="244"/>
        <v>0</v>
      </c>
      <c r="AX434" s="900">
        <f t="shared" si="245"/>
        <v>0</v>
      </c>
      <c r="AY434" s="3096">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3">
        <f t="shared" si="267"/>
        <v>0</v>
      </c>
    </row>
    <row r="435" spans="1:72">
      <c r="A435" s="3047"/>
      <c r="B435" s="3048"/>
      <c r="C435" s="3048"/>
      <c r="D435" s="3053"/>
      <c r="E435" s="3049">
        <f t="shared" si="239"/>
        <v>0</v>
      </c>
      <c r="F435" s="3050"/>
      <c r="G435" s="3051">
        <f t="shared" si="240"/>
        <v>0</v>
      </c>
      <c r="H435" s="3052">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49">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900">
        <f t="shared" si="243"/>
        <v>0</v>
      </c>
      <c r="AW435" s="900">
        <f t="shared" si="244"/>
        <v>0</v>
      </c>
      <c r="AX435" s="900">
        <f t="shared" si="245"/>
        <v>0</v>
      </c>
      <c r="AY435" s="3096">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3">
        <f t="shared" si="267"/>
        <v>0</v>
      </c>
    </row>
    <row r="436" spans="1:72">
      <c r="A436" s="3047"/>
      <c r="B436" s="3048"/>
      <c r="C436" s="3048"/>
      <c r="D436" s="3053"/>
      <c r="E436" s="3049">
        <f t="shared" si="239"/>
        <v>0</v>
      </c>
      <c r="F436" s="3050"/>
      <c r="G436" s="3051">
        <f t="shared" si="240"/>
        <v>0</v>
      </c>
      <c r="H436" s="3052">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49">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900">
        <f t="shared" si="243"/>
        <v>0</v>
      </c>
      <c r="AW436" s="900">
        <f t="shared" si="244"/>
        <v>0</v>
      </c>
      <c r="AX436" s="900">
        <f t="shared" si="245"/>
        <v>0</v>
      </c>
      <c r="AY436" s="3096">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3">
        <f t="shared" si="267"/>
        <v>0</v>
      </c>
    </row>
    <row r="437" spans="1:72">
      <c r="A437" s="3047"/>
      <c r="B437" s="3048"/>
      <c r="C437" s="3048"/>
      <c r="D437" s="3053"/>
      <c r="E437" s="3049">
        <f t="shared" si="239"/>
        <v>0</v>
      </c>
      <c r="F437" s="3050"/>
      <c r="G437" s="3051">
        <f t="shared" si="240"/>
        <v>0</v>
      </c>
      <c r="H437" s="3052">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49">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900">
        <f t="shared" si="243"/>
        <v>0</v>
      </c>
      <c r="AW437" s="900">
        <f t="shared" si="244"/>
        <v>0</v>
      </c>
      <c r="AX437" s="900">
        <f t="shared" si="245"/>
        <v>0</v>
      </c>
      <c r="AY437" s="3096">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3">
        <f t="shared" si="267"/>
        <v>0</v>
      </c>
    </row>
    <row r="438" spans="1:72">
      <c r="A438" s="3047"/>
      <c r="B438" s="3048"/>
      <c r="C438" s="3048"/>
      <c r="D438" s="3053"/>
      <c r="E438" s="3049">
        <f t="shared" si="239"/>
        <v>0</v>
      </c>
      <c r="F438" s="3050"/>
      <c r="G438" s="3051">
        <f t="shared" si="240"/>
        <v>0</v>
      </c>
      <c r="H438" s="3052">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49">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900">
        <f t="shared" si="243"/>
        <v>0</v>
      </c>
      <c r="AW438" s="900">
        <f t="shared" si="244"/>
        <v>0</v>
      </c>
      <c r="AX438" s="900">
        <f t="shared" si="245"/>
        <v>0</v>
      </c>
      <c r="AY438" s="3096">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3">
        <f t="shared" si="267"/>
        <v>0</v>
      </c>
    </row>
    <row r="439" spans="1:72">
      <c r="A439" s="3047"/>
      <c r="B439" s="3048"/>
      <c r="C439" s="3048"/>
      <c r="D439" s="3053"/>
      <c r="E439" s="3049">
        <f t="shared" si="239"/>
        <v>0</v>
      </c>
      <c r="F439" s="3050"/>
      <c r="G439" s="3051">
        <f t="shared" si="240"/>
        <v>0</v>
      </c>
      <c r="H439" s="3052">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49">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900">
        <f t="shared" si="243"/>
        <v>0</v>
      </c>
      <c r="AW439" s="900">
        <f t="shared" si="244"/>
        <v>0</v>
      </c>
      <c r="AX439" s="900">
        <f t="shared" si="245"/>
        <v>0</v>
      </c>
      <c r="AY439" s="3096">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3">
        <f t="shared" si="267"/>
        <v>0</v>
      </c>
    </row>
    <row r="440" spans="1:72">
      <c r="A440" s="3047"/>
      <c r="B440" s="3048"/>
      <c r="C440" s="3048"/>
      <c r="D440" s="3053"/>
      <c r="E440" s="3049">
        <f t="shared" si="239"/>
        <v>0</v>
      </c>
      <c r="F440" s="3050"/>
      <c r="G440" s="3051">
        <f t="shared" si="240"/>
        <v>0</v>
      </c>
      <c r="H440" s="3052">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49">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900">
        <f t="shared" si="243"/>
        <v>0</v>
      </c>
      <c r="AW440" s="900">
        <f t="shared" si="244"/>
        <v>0</v>
      </c>
      <c r="AX440" s="900">
        <f t="shared" si="245"/>
        <v>0</v>
      </c>
      <c r="AY440" s="3096">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3">
        <f t="shared" si="267"/>
        <v>0</v>
      </c>
    </row>
    <row r="441" spans="1:72">
      <c r="A441" s="3047"/>
      <c r="B441" s="3048"/>
      <c r="C441" s="3048"/>
      <c r="D441" s="3053"/>
      <c r="E441" s="3049">
        <f t="shared" si="239"/>
        <v>0</v>
      </c>
      <c r="F441" s="3050"/>
      <c r="G441" s="3051">
        <f t="shared" si="240"/>
        <v>0</v>
      </c>
      <c r="H441" s="3052">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49">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900">
        <f t="shared" si="243"/>
        <v>0</v>
      </c>
      <c r="AW441" s="900">
        <f t="shared" si="244"/>
        <v>0</v>
      </c>
      <c r="AX441" s="900">
        <f t="shared" si="245"/>
        <v>0</v>
      </c>
      <c r="AY441" s="3096">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3">
        <f t="shared" si="267"/>
        <v>0</v>
      </c>
    </row>
    <row r="442" spans="1:72">
      <c r="A442" s="3047"/>
      <c r="B442" s="3048"/>
      <c r="C442" s="3048"/>
      <c r="D442" s="3053"/>
      <c r="E442" s="3049">
        <f t="shared" si="239"/>
        <v>0</v>
      </c>
      <c r="F442" s="3050"/>
      <c r="G442" s="3051">
        <f t="shared" si="240"/>
        <v>0</v>
      </c>
      <c r="H442" s="3052">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49">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900">
        <f t="shared" si="243"/>
        <v>0</v>
      </c>
      <c r="AW442" s="900">
        <f t="shared" si="244"/>
        <v>0</v>
      </c>
      <c r="AX442" s="900">
        <f t="shared" si="245"/>
        <v>0</v>
      </c>
      <c r="AY442" s="3096">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3">
        <f t="shared" si="267"/>
        <v>0</v>
      </c>
    </row>
    <row r="443" spans="1:72">
      <c r="A443" s="3047"/>
      <c r="B443" s="3048"/>
      <c r="C443" s="3048"/>
      <c r="D443" s="3053"/>
      <c r="E443" s="3049">
        <f t="shared" si="239"/>
        <v>0</v>
      </c>
      <c r="F443" s="3050"/>
      <c r="G443" s="3051">
        <f t="shared" si="240"/>
        <v>0</v>
      </c>
      <c r="H443" s="3052">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49">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900">
        <f t="shared" si="243"/>
        <v>0</v>
      </c>
      <c r="AW443" s="900">
        <f t="shared" si="244"/>
        <v>0</v>
      </c>
      <c r="AX443" s="900">
        <f t="shared" si="245"/>
        <v>0</v>
      </c>
      <c r="AY443" s="3096">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3">
        <f t="shared" si="267"/>
        <v>0</v>
      </c>
    </row>
    <row r="444" spans="1:72">
      <c r="A444" s="3047"/>
      <c r="B444" s="3048"/>
      <c r="C444" s="3048"/>
      <c r="D444" s="3053"/>
      <c r="E444" s="3049">
        <f t="shared" si="239"/>
        <v>0</v>
      </c>
      <c r="F444" s="3050"/>
      <c r="G444" s="3051">
        <f t="shared" si="240"/>
        <v>0</v>
      </c>
      <c r="H444" s="3052">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49">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900">
        <f t="shared" si="243"/>
        <v>0</v>
      </c>
      <c r="AW444" s="900">
        <f t="shared" si="244"/>
        <v>0</v>
      </c>
      <c r="AX444" s="900">
        <f t="shared" si="245"/>
        <v>0</v>
      </c>
      <c r="AY444" s="3096">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3">
        <f t="shared" si="267"/>
        <v>0</v>
      </c>
    </row>
    <row r="445" spans="1:72">
      <c r="A445" s="3047"/>
      <c r="B445" s="3048"/>
      <c r="C445" s="3048"/>
      <c r="D445" s="3053"/>
      <c r="E445" s="3049">
        <f t="shared" si="239"/>
        <v>0</v>
      </c>
      <c r="F445" s="3050"/>
      <c r="G445" s="3051">
        <f t="shared" si="240"/>
        <v>0</v>
      </c>
      <c r="H445" s="3052">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49">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900">
        <f t="shared" si="243"/>
        <v>0</v>
      </c>
      <c r="AW445" s="900">
        <f t="shared" si="244"/>
        <v>0</v>
      </c>
      <c r="AX445" s="900">
        <f t="shared" si="245"/>
        <v>0</v>
      </c>
      <c r="AY445" s="3096">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3">
        <f t="shared" si="267"/>
        <v>0</v>
      </c>
    </row>
    <row r="446" spans="1:72">
      <c r="A446" s="3047"/>
      <c r="B446" s="3048"/>
      <c r="C446" s="3048"/>
      <c r="D446" s="3053"/>
      <c r="E446" s="3049">
        <f t="shared" si="239"/>
        <v>0</v>
      </c>
      <c r="F446" s="3050"/>
      <c r="G446" s="3051">
        <f t="shared" si="240"/>
        <v>0</v>
      </c>
      <c r="H446" s="3052">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49">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900">
        <f t="shared" si="243"/>
        <v>0</v>
      </c>
      <c r="AW446" s="900">
        <f t="shared" si="244"/>
        <v>0</v>
      </c>
      <c r="AX446" s="900">
        <f t="shared" si="245"/>
        <v>0</v>
      </c>
      <c r="AY446" s="3096">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3">
        <f t="shared" si="267"/>
        <v>0</v>
      </c>
    </row>
    <row r="447" spans="1:72">
      <c r="A447" s="3047"/>
      <c r="B447" s="3048"/>
      <c r="C447" s="3048"/>
      <c r="D447" s="3053"/>
      <c r="E447" s="3049">
        <f t="shared" si="239"/>
        <v>0</v>
      </c>
      <c r="F447" s="3050"/>
      <c r="G447" s="3051">
        <f t="shared" si="240"/>
        <v>0</v>
      </c>
      <c r="H447" s="3052">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49">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900">
        <f t="shared" si="243"/>
        <v>0</v>
      </c>
      <c r="AW447" s="900">
        <f t="shared" si="244"/>
        <v>0</v>
      </c>
      <c r="AX447" s="900">
        <f t="shared" si="245"/>
        <v>0</v>
      </c>
      <c r="AY447" s="3096">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3">
        <f t="shared" si="267"/>
        <v>0</v>
      </c>
    </row>
    <row r="448" spans="1:72">
      <c r="A448" s="3047"/>
      <c r="B448" s="3048"/>
      <c r="C448" s="3048"/>
      <c r="D448" s="3053"/>
      <c r="E448" s="3049">
        <f t="shared" si="239"/>
        <v>0</v>
      </c>
      <c r="F448" s="3050"/>
      <c r="G448" s="3051">
        <f t="shared" si="240"/>
        <v>0</v>
      </c>
      <c r="H448" s="3052">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49">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900">
        <f t="shared" si="243"/>
        <v>0</v>
      </c>
      <c r="AW448" s="900">
        <f t="shared" si="244"/>
        <v>0</v>
      </c>
      <c r="AX448" s="900">
        <f t="shared" si="245"/>
        <v>0</v>
      </c>
      <c r="AY448" s="3096">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3">
        <f t="shared" si="267"/>
        <v>0</v>
      </c>
    </row>
    <row r="449" spans="1:72">
      <c r="A449" s="3047"/>
      <c r="B449" s="3048"/>
      <c r="C449" s="3048"/>
      <c r="D449" s="3053"/>
      <c r="E449" s="3049">
        <f t="shared" si="239"/>
        <v>0</v>
      </c>
      <c r="F449" s="3050"/>
      <c r="G449" s="3051">
        <f t="shared" si="240"/>
        <v>0</v>
      </c>
      <c r="H449" s="3052">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49">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900">
        <f t="shared" si="243"/>
        <v>0</v>
      </c>
      <c r="AW449" s="900">
        <f t="shared" si="244"/>
        <v>0</v>
      </c>
      <c r="AX449" s="900">
        <f t="shared" si="245"/>
        <v>0</v>
      </c>
      <c r="AY449" s="3096">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3">
        <f t="shared" si="267"/>
        <v>0</v>
      </c>
    </row>
    <row r="450" spans="1:72">
      <c r="A450" s="3047"/>
      <c r="B450" s="3048"/>
      <c r="C450" s="3048"/>
      <c r="D450" s="3053"/>
      <c r="E450" s="3049">
        <f t="shared" si="239"/>
        <v>0</v>
      </c>
      <c r="F450" s="3050"/>
      <c r="G450" s="3051">
        <f t="shared" si="240"/>
        <v>0</v>
      </c>
      <c r="H450" s="3052">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49">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900">
        <f t="shared" si="243"/>
        <v>0</v>
      </c>
      <c r="AW450" s="900">
        <f t="shared" si="244"/>
        <v>0</v>
      </c>
      <c r="AX450" s="900">
        <f t="shared" si="245"/>
        <v>0</v>
      </c>
      <c r="AY450" s="3096">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3">
        <f t="shared" si="267"/>
        <v>0</v>
      </c>
    </row>
    <row r="451" spans="1:72">
      <c r="A451" s="3047"/>
      <c r="B451" s="3048"/>
      <c r="C451" s="3048"/>
      <c r="D451" s="3053"/>
      <c r="E451" s="3049">
        <f t="shared" si="239"/>
        <v>0</v>
      </c>
      <c r="F451" s="3050"/>
      <c r="G451" s="3051">
        <f t="shared" si="240"/>
        <v>0</v>
      </c>
      <c r="H451" s="3052">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49">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900">
        <f t="shared" si="243"/>
        <v>0</v>
      </c>
      <c r="AW451" s="900">
        <f t="shared" si="244"/>
        <v>0</v>
      </c>
      <c r="AX451" s="900">
        <f t="shared" si="245"/>
        <v>0</v>
      </c>
      <c r="AY451" s="3096">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3">
        <f t="shared" si="267"/>
        <v>0</v>
      </c>
    </row>
    <row r="452" spans="1:72">
      <c r="A452" s="3047"/>
      <c r="B452" s="3048"/>
      <c r="C452" s="3048"/>
      <c r="D452" s="3053"/>
      <c r="E452" s="3049">
        <f t="shared" si="239"/>
        <v>0</v>
      </c>
      <c r="F452" s="3050"/>
      <c r="G452" s="3051">
        <f t="shared" si="240"/>
        <v>0</v>
      </c>
      <c r="H452" s="3052">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49">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900">
        <f t="shared" si="243"/>
        <v>0</v>
      </c>
      <c r="AW452" s="900">
        <f t="shared" si="244"/>
        <v>0</v>
      </c>
      <c r="AX452" s="900">
        <f t="shared" si="245"/>
        <v>0</v>
      </c>
      <c r="AY452" s="3096">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3">
        <f t="shared" si="267"/>
        <v>0</v>
      </c>
    </row>
    <row r="453" spans="1:72">
      <c r="A453" s="3047"/>
      <c r="B453" s="3048"/>
      <c r="C453" s="3048"/>
      <c r="D453" s="3053"/>
      <c r="E453" s="3049">
        <f t="shared" si="239"/>
        <v>0</v>
      </c>
      <c r="F453" s="3050"/>
      <c r="G453" s="3051">
        <f t="shared" si="240"/>
        <v>0</v>
      </c>
      <c r="H453" s="3052">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49">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900">
        <f t="shared" si="243"/>
        <v>0</v>
      </c>
      <c r="AW453" s="900">
        <f t="shared" si="244"/>
        <v>0</v>
      </c>
      <c r="AX453" s="900">
        <f t="shared" si="245"/>
        <v>0</v>
      </c>
      <c r="AY453" s="3096">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3">
        <f t="shared" si="267"/>
        <v>0</v>
      </c>
    </row>
    <row r="454" spans="1:72">
      <c r="A454" s="3047"/>
      <c r="B454" s="3048"/>
      <c r="C454" s="3048"/>
      <c r="D454" s="3053"/>
      <c r="E454" s="3049">
        <f t="shared" si="239"/>
        <v>0</v>
      </c>
      <c r="F454" s="3050"/>
      <c r="G454" s="3051">
        <f t="shared" si="240"/>
        <v>0</v>
      </c>
      <c r="H454" s="3052">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49">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900">
        <f t="shared" si="243"/>
        <v>0</v>
      </c>
      <c r="AW454" s="900">
        <f t="shared" si="244"/>
        <v>0</v>
      </c>
      <c r="AX454" s="900">
        <f t="shared" si="245"/>
        <v>0</v>
      </c>
      <c r="AY454" s="3096">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3">
        <f t="shared" si="267"/>
        <v>0</v>
      </c>
    </row>
    <row r="455" spans="1:72">
      <c r="A455" s="3047"/>
      <c r="B455" s="3048"/>
      <c r="C455" s="3048"/>
      <c r="D455" s="3053"/>
      <c r="E455" s="3049">
        <f t="shared" si="239"/>
        <v>0</v>
      </c>
      <c r="F455" s="3050"/>
      <c r="G455" s="3051">
        <f t="shared" si="240"/>
        <v>0</v>
      </c>
      <c r="H455" s="3052">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49">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900">
        <f t="shared" si="243"/>
        <v>0</v>
      </c>
      <c r="AW455" s="900">
        <f t="shared" si="244"/>
        <v>0</v>
      </c>
      <c r="AX455" s="900">
        <f t="shared" si="245"/>
        <v>0</v>
      </c>
      <c r="AY455" s="3096">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3">
        <f t="shared" si="267"/>
        <v>0</v>
      </c>
    </row>
    <row r="456" spans="1:72">
      <c r="A456" s="3047"/>
      <c r="B456" s="3048"/>
      <c r="C456" s="3048"/>
      <c r="D456" s="3053"/>
      <c r="E456" s="3049">
        <f t="shared" si="239"/>
        <v>0</v>
      </c>
      <c r="F456" s="3050"/>
      <c r="G456" s="3051">
        <f t="shared" si="240"/>
        <v>0</v>
      </c>
      <c r="H456" s="3052">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49">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900">
        <f t="shared" si="243"/>
        <v>0</v>
      </c>
      <c r="AW456" s="900">
        <f t="shared" si="244"/>
        <v>0</v>
      </c>
      <c r="AX456" s="900">
        <f t="shared" si="245"/>
        <v>0</v>
      </c>
      <c r="AY456" s="3096">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3">
        <f t="shared" si="267"/>
        <v>0</v>
      </c>
    </row>
    <row r="457" spans="1:72">
      <c r="A457" s="3047"/>
      <c r="B457" s="3048"/>
      <c r="C457" s="3048"/>
      <c r="D457" s="3053"/>
      <c r="E457" s="3049">
        <f t="shared" si="239"/>
        <v>0</v>
      </c>
      <c r="F457" s="3050"/>
      <c r="G457" s="3051">
        <f t="shared" si="240"/>
        <v>0</v>
      </c>
      <c r="H457" s="3052">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49">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900">
        <f t="shared" si="243"/>
        <v>0</v>
      </c>
      <c r="AW457" s="900">
        <f t="shared" si="244"/>
        <v>0</v>
      </c>
      <c r="AX457" s="900">
        <f t="shared" si="245"/>
        <v>0</v>
      </c>
      <c r="AY457" s="3096">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3">
        <f t="shared" si="267"/>
        <v>0</v>
      </c>
    </row>
    <row r="458" spans="1:72">
      <c r="A458" s="3047"/>
      <c r="B458" s="3048"/>
      <c r="C458" s="3048"/>
      <c r="D458" s="3053"/>
      <c r="E458" s="3049">
        <f t="shared" si="239"/>
        <v>0</v>
      </c>
      <c r="F458" s="3050"/>
      <c r="G458" s="3051">
        <f t="shared" si="240"/>
        <v>0</v>
      </c>
      <c r="H458" s="3052">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49">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900">
        <f t="shared" si="243"/>
        <v>0</v>
      </c>
      <c r="AW458" s="900">
        <f t="shared" si="244"/>
        <v>0</v>
      </c>
      <c r="AX458" s="900">
        <f t="shared" si="245"/>
        <v>0</v>
      </c>
      <c r="AY458" s="3096">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3">
        <f t="shared" si="267"/>
        <v>0</v>
      </c>
    </row>
    <row r="459" spans="1:72">
      <c r="A459" s="3047"/>
      <c r="B459" s="3048"/>
      <c r="C459" s="3048"/>
      <c r="D459" s="3053"/>
      <c r="E459" s="3049">
        <f t="shared" si="239"/>
        <v>0</v>
      </c>
      <c r="F459" s="3050"/>
      <c r="G459" s="3051">
        <f t="shared" si="240"/>
        <v>0</v>
      </c>
      <c r="H459" s="3052">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49">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900">
        <f t="shared" si="243"/>
        <v>0</v>
      </c>
      <c r="AW459" s="900">
        <f t="shared" si="244"/>
        <v>0</v>
      </c>
      <c r="AX459" s="900">
        <f t="shared" si="245"/>
        <v>0</v>
      </c>
      <c r="AY459" s="3096">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3">
        <f t="shared" si="267"/>
        <v>0</v>
      </c>
    </row>
    <row r="460" spans="1:72">
      <c r="A460" s="3047"/>
      <c r="B460" s="3048"/>
      <c r="C460" s="3048"/>
      <c r="D460" s="3053"/>
      <c r="E460" s="3049">
        <f t="shared" si="239"/>
        <v>0</v>
      </c>
      <c r="F460" s="3050"/>
      <c r="G460" s="3051">
        <f t="shared" si="240"/>
        <v>0</v>
      </c>
      <c r="H460" s="3052">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49">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900">
        <f t="shared" si="243"/>
        <v>0</v>
      </c>
      <c r="AW460" s="900">
        <f t="shared" si="244"/>
        <v>0</v>
      </c>
      <c r="AX460" s="900">
        <f t="shared" si="245"/>
        <v>0</v>
      </c>
      <c r="AY460" s="3096">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3">
        <f t="shared" si="267"/>
        <v>0</v>
      </c>
    </row>
    <row r="461" spans="1:72">
      <c r="A461" s="3047"/>
      <c r="B461" s="3048"/>
      <c r="C461" s="3048"/>
      <c r="D461" s="3053"/>
      <c r="E461" s="3049">
        <f t="shared" si="239"/>
        <v>0</v>
      </c>
      <c r="F461" s="3050"/>
      <c r="G461" s="3051">
        <f t="shared" si="240"/>
        <v>0</v>
      </c>
      <c r="H461" s="3052">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49">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900">
        <f t="shared" si="243"/>
        <v>0</v>
      </c>
      <c r="AW461" s="900">
        <f t="shared" si="244"/>
        <v>0</v>
      </c>
      <c r="AX461" s="900">
        <f t="shared" si="245"/>
        <v>0</v>
      </c>
      <c r="AY461" s="3096">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3">
        <f t="shared" si="267"/>
        <v>0</v>
      </c>
    </row>
    <row r="462" spans="1:72">
      <c r="A462" s="3047"/>
      <c r="B462" s="3048"/>
      <c r="C462" s="3048"/>
      <c r="D462" s="3053"/>
      <c r="E462" s="3049">
        <f t="shared" si="239"/>
        <v>0</v>
      </c>
      <c r="F462" s="3050"/>
      <c r="G462" s="3051">
        <f t="shared" si="240"/>
        <v>0</v>
      </c>
      <c r="H462" s="3052">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49">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900">
        <f t="shared" si="243"/>
        <v>0</v>
      </c>
      <c r="AW462" s="900">
        <f t="shared" si="244"/>
        <v>0</v>
      </c>
      <c r="AX462" s="900">
        <f t="shared" si="245"/>
        <v>0</v>
      </c>
      <c r="AY462" s="3096">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3">
        <f t="shared" si="267"/>
        <v>0</v>
      </c>
    </row>
    <row r="463" spans="1:72">
      <c r="A463" s="3047"/>
      <c r="B463" s="3048"/>
      <c r="C463" s="3048"/>
      <c r="D463" s="3053"/>
      <c r="E463" s="3049">
        <f t="shared" si="239"/>
        <v>0</v>
      </c>
      <c r="F463" s="3050"/>
      <c r="G463" s="3051">
        <f t="shared" si="240"/>
        <v>0</v>
      </c>
      <c r="H463" s="3052">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49">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900">
        <f t="shared" si="243"/>
        <v>0</v>
      </c>
      <c r="AW463" s="900">
        <f t="shared" si="244"/>
        <v>0</v>
      </c>
      <c r="AX463" s="900">
        <f t="shared" si="245"/>
        <v>0</v>
      </c>
      <c r="AY463" s="3096">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3">
        <f t="shared" si="267"/>
        <v>0</v>
      </c>
    </row>
    <row r="464" spans="1:72">
      <c r="A464" s="3047"/>
      <c r="B464" s="3048"/>
      <c r="C464" s="3048"/>
      <c r="D464" s="3053"/>
      <c r="E464" s="3049">
        <f t="shared" si="239"/>
        <v>0</v>
      </c>
      <c r="F464" s="3050"/>
      <c r="G464" s="3051">
        <f t="shared" si="240"/>
        <v>0</v>
      </c>
      <c r="H464" s="3052">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49">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900">
        <f t="shared" si="243"/>
        <v>0</v>
      </c>
      <c r="AW464" s="900">
        <f t="shared" si="244"/>
        <v>0</v>
      </c>
      <c r="AX464" s="900">
        <f t="shared" si="245"/>
        <v>0</v>
      </c>
      <c r="AY464" s="3096">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3">
        <f t="shared" si="267"/>
        <v>0</v>
      </c>
    </row>
    <row r="465" spans="1:72">
      <c r="A465" s="3047"/>
      <c r="B465" s="3048"/>
      <c r="C465" s="3048"/>
      <c r="D465" s="3053"/>
      <c r="E465" s="3049">
        <f t="shared" si="239"/>
        <v>0</v>
      </c>
      <c r="F465" s="3050"/>
      <c r="G465" s="3051">
        <f t="shared" si="240"/>
        <v>0</v>
      </c>
      <c r="H465" s="3052">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49">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900">
        <f t="shared" si="243"/>
        <v>0</v>
      </c>
      <c r="AW465" s="900">
        <f t="shared" si="244"/>
        <v>0</v>
      </c>
      <c r="AX465" s="900">
        <f t="shared" si="245"/>
        <v>0</v>
      </c>
      <c r="AY465" s="3096">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3">
        <f t="shared" si="267"/>
        <v>0</v>
      </c>
    </row>
    <row r="466" spans="1:72">
      <c r="A466" s="3047"/>
      <c r="B466" s="3048"/>
      <c r="C466" s="3048"/>
      <c r="D466" s="3053"/>
      <c r="E466" s="3049">
        <f t="shared" si="239"/>
        <v>0</v>
      </c>
      <c r="F466" s="3050"/>
      <c r="G466" s="3051">
        <f t="shared" si="240"/>
        <v>0</v>
      </c>
      <c r="H466" s="3052">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49">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900">
        <f t="shared" si="243"/>
        <v>0</v>
      </c>
      <c r="AW466" s="900">
        <f t="shared" si="244"/>
        <v>0</v>
      </c>
      <c r="AX466" s="900">
        <f t="shared" si="245"/>
        <v>0</v>
      </c>
      <c r="AY466" s="3096">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3">
        <f t="shared" si="267"/>
        <v>0</v>
      </c>
    </row>
    <row r="467" spans="1:72">
      <c r="A467" s="3047"/>
      <c r="B467" s="3048"/>
      <c r="C467" s="3048"/>
      <c r="D467" s="3053"/>
      <c r="E467" s="3049">
        <f t="shared" si="239"/>
        <v>0</v>
      </c>
      <c r="F467" s="3050"/>
      <c r="G467" s="3051">
        <f t="shared" si="240"/>
        <v>0</v>
      </c>
      <c r="H467" s="3052">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49">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900">
        <f t="shared" si="243"/>
        <v>0</v>
      </c>
      <c r="AW467" s="900">
        <f t="shared" si="244"/>
        <v>0</v>
      </c>
      <c r="AX467" s="900">
        <f t="shared" si="245"/>
        <v>0</v>
      </c>
      <c r="AY467" s="3096">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3">
        <f t="shared" si="267"/>
        <v>0</v>
      </c>
    </row>
    <row r="468" spans="1:72">
      <c r="A468" s="3047"/>
      <c r="B468" s="3048"/>
      <c r="C468" s="3048"/>
      <c r="D468" s="3053"/>
      <c r="E468" s="3049">
        <f t="shared" si="239"/>
        <v>0</v>
      </c>
      <c r="F468" s="3050"/>
      <c r="G468" s="3051">
        <f t="shared" si="240"/>
        <v>0</v>
      </c>
      <c r="H468" s="3052">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49">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900">
        <f t="shared" si="243"/>
        <v>0</v>
      </c>
      <c r="AW468" s="900">
        <f t="shared" si="244"/>
        <v>0</v>
      </c>
      <c r="AX468" s="900">
        <f t="shared" si="245"/>
        <v>0</v>
      </c>
      <c r="AY468" s="3096">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3">
        <f t="shared" si="267"/>
        <v>0</v>
      </c>
    </row>
    <row r="469" spans="1:72">
      <c r="A469" s="3047"/>
      <c r="B469" s="3048"/>
      <c r="C469" s="3048"/>
      <c r="D469" s="3053"/>
      <c r="E469" s="3049">
        <f t="shared" si="239"/>
        <v>0</v>
      </c>
      <c r="F469" s="3050"/>
      <c r="G469" s="3051">
        <f t="shared" si="240"/>
        <v>0</v>
      </c>
      <c r="H469" s="3052">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49">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900">
        <f t="shared" si="243"/>
        <v>0</v>
      </c>
      <c r="AW469" s="900">
        <f t="shared" si="244"/>
        <v>0</v>
      </c>
      <c r="AX469" s="900">
        <f t="shared" si="245"/>
        <v>0</v>
      </c>
      <c r="AY469" s="3096">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3">
        <f t="shared" si="267"/>
        <v>0</v>
      </c>
    </row>
    <row r="470" spans="1:72">
      <c r="A470" s="3047"/>
      <c r="B470" s="3048"/>
      <c r="C470" s="3048"/>
      <c r="D470" s="3053"/>
      <c r="E470" s="3049">
        <f t="shared" si="239"/>
        <v>0</v>
      </c>
      <c r="F470" s="3050"/>
      <c r="G470" s="3051">
        <f t="shared" si="240"/>
        <v>0</v>
      </c>
      <c r="H470" s="3052">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49">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900">
        <f t="shared" si="243"/>
        <v>0</v>
      </c>
      <c r="AW470" s="900">
        <f t="shared" si="244"/>
        <v>0</v>
      </c>
      <c r="AX470" s="900">
        <f t="shared" si="245"/>
        <v>0</v>
      </c>
      <c r="AY470" s="3096">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3">
        <f t="shared" si="267"/>
        <v>0</v>
      </c>
    </row>
    <row r="471" spans="1:72">
      <c r="A471" s="3047"/>
      <c r="B471" s="3048"/>
      <c r="C471" s="3048"/>
      <c r="D471" s="3053"/>
      <c r="E471" s="3049">
        <f t="shared" si="239"/>
        <v>0</v>
      </c>
      <c r="F471" s="3050"/>
      <c r="G471" s="3051">
        <f t="shared" si="240"/>
        <v>0</v>
      </c>
      <c r="H471" s="3052">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49">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900">
        <f t="shared" si="243"/>
        <v>0</v>
      </c>
      <c r="AW471" s="900">
        <f t="shared" si="244"/>
        <v>0</v>
      </c>
      <c r="AX471" s="900">
        <f t="shared" si="245"/>
        <v>0</v>
      </c>
      <c r="AY471" s="3096">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3">
        <f t="shared" si="267"/>
        <v>0</v>
      </c>
    </row>
    <row r="472" spans="1:72">
      <c r="A472" s="3047"/>
      <c r="B472" s="3048"/>
      <c r="C472" s="3048"/>
      <c r="D472" s="3053"/>
      <c r="E472" s="3049">
        <f t="shared" si="239"/>
        <v>0</v>
      </c>
      <c r="F472" s="3050"/>
      <c r="G472" s="3051">
        <f t="shared" si="240"/>
        <v>0</v>
      </c>
      <c r="H472" s="3052">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49">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900">
        <f t="shared" si="243"/>
        <v>0</v>
      </c>
      <c r="AW472" s="900">
        <f t="shared" si="244"/>
        <v>0</v>
      </c>
      <c r="AX472" s="900">
        <f t="shared" si="245"/>
        <v>0</v>
      </c>
      <c r="AY472" s="3096">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3">
        <f t="shared" si="267"/>
        <v>0</v>
      </c>
    </row>
    <row r="473" spans="1:72">
      <c r="A473" s="3047"/>
      <c r="B473" s="3048"/>
      <c r="C473" s="3048"/>
      <c r="D473" s="3053"/>
      <c r="E473" s="3049">
        <f t="shared" si="239"/>
        <v>0</v>
      </c>
      <c r="F473" s="3050"/>
      <c r="G473" s="3051">
        <f t="shared" si="240"/>
        <v>0</v>
      </c>
      <c r="H473" s="3052">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49">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900">
        <f t="shared" si="243"/>
        <v>0</v>
      </c>
      <c r="AW473" s="900">
        <f t="shared" si="244"/>
        <v>0</v>
      </c>
      <c r="AX473" s="900">
        <f t="shared" si="245"/>
        <v>0</v>
      </c>
      <c r="AY473" s="3096">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3">
        <f t="shared" si="267"/>
        <v>0</v>
      </c>
    </row>
    <row r="474" spans="1:72">
      <c r="A474" s="3047"/>
      <c r="B474" s="3048"/>
      <c r="C474" s="3048"/>
      <c r="D474" s="3053"/>
      <c r="E474" s="3049">
        <f t="shared" si="239"/>
        <v>0</v>
      </c>
      <c r="F474" s="3050"/>
      <c r="G474" s="3051">
        <f t="shared" si="240"/>
        <v>0</v>
      </c>
      <c r="H474" s="3052">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49">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900">
        <f t="shared" si="243"/>
        <v>0</v>
      </c>
      <c r="AW474" s="900">
        <f t="shared" si="244"/>
        <v>0</v>
      </c>
      <c r="AX474" s="900">
        <f t="shared" si="245"/>
        <v>0</v>
      </c>
      <c r="AY474" s="3096">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3">
        <f t="shared" si="267"/>
        <v>0</v>
      </c>
    </row>
    <row r="475" spans="1:72">
      <c r="A475" s="3047"/>
      <c r="B475" s="3048"/>
      <c r="C475" s="3048"/>
      <c r="D475" s="3053"/>
      <c r="E475" s="3049">
        <f t="shared" si="239"/>
        <v>0</v>
      </c>
      <c r="F475" s="3050"/>
      <c r="G475" s="3051">
        <f t="shared" si="240"/>
        <v>0</v>
      </c>
      <c r="H475" s="3052">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49">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900">
        <f t="shared" si="243"/>
        <v>0</v>
      </c>
      <c r="AW475" s="900">
        <f t="shared" si="244"/>
        <v>0</v>
      </c>
      <c r="AX475" s="900">
        <f t="shared" si="245"/>
        <v>0</v>
      </c>
      <c r="AY475" s="3096">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3">
        <f t="shared" si="267"/>
        <v>0</v>
      </c>
    </row>
    <row r="476" spans="1:72">
      <c r="A476" s="3047"/>
      <c r="B476" s="3048"/>
      <c r="C476" s="3048"/>
      <c r="D476" s="3053"/>
      <c r="E476" s="3049">
        <f t="shared" si="239"/>
        <v>0</v>
      </c>
      <c r="F476" s="3050"/>
      <c r="G476" s="3051">
        <f t="shared" si="240"/>
        <v>0</v>
      </c>
      <c r="H476" s="3052">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49">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900">
        <f t="shared" si="243"/>
        <v>0</v>
      </c>
      <c r="AW476" s="900">
        <f t="shared" si="244"/>
        <v>0</v>
      </c>
      <c r="AX476" s="900">
        <f t="shared" si="245"/>
        <v>0</v>
      </c>
      <c r="AY476" s="3096">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3">
        <f t="shared" si="267"/>
        <v>0</v>
      </c>
    </row>
    <row r="477" spans="1:72">
      <c r="A477" s="3047"/>
      <c r="B477" s="3048"/>
      <c r="C477" s="3048"/>
      <c r="D477" s="3053"/>
      <c r="E477" s="3049">
        <f t="shared" si="239"/>
        <v>0</v>
      </c>
      <c r="F477" s="3050"/>
      <c r="G477" s="3051">
        <f t="shared" si="240"/>
        <v>0</v>
      </c>
      <c r="H477" s="3052">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49">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900">
        <f t="shared" si="243"/>
        <v>0</v>
      </c>
      <c r="AW477" s="900">
        <f t="shared" si="244"/>
        <v>0</v>
      </c>
      <c r="AX477" s="900">
        <f t="shared" si="245"/>
        <v>0</v>
      </c>
      <c r="AY477" s="3096">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3">
        <f t="shared" si="267"/>
        <v>0</v>
      </c>
    </row>
    <row r="478" spans="1:72">
      <c r="A478" s="3047"/>
      <c r="B478" s="3048"/>
      <c r="C478" s="3048"/>
      <c r="D478" s="3053"/>
      <c r="E478" s="3049">
        <f t="shared" si="239"/>
        <v>0</v>
      </c>
      <c r="F478" s="3050"/>
      <c r="G478" s="3051">
        <f t="shared" si="240"/>
        <v>0</v>
      </c>
      <c r="H478" s="3052">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49">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900">
        <f t="shared" si="243"/>
        <v>0</v>
      </c>
      <c r="AW478" s="900">
        <f t="shared" si="244"/>
        <v>0</v>
      </c>
      <c r="AX478" s="900">
        <f t="shared" si="245"/>
        <v>0</v>
      </c>
      <c r="AY478" s="3096">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3">
        <f t="shared" si="267"/>
        <v>0</v>
      </c>
    </row>
    <row r="479" spans="1:72">
      <c r="A479" s="3047"/>
      <c r="B479" s="3048"/>
      <c r="C479" s="3048"/>
      <c r="D479" s="3053"/>
      <c r="E479" s="3049">
        <f t="shared" si="239"/>
        <v>0</v>
      </c>
      <c r="F479" s="3050"/>
      <c r="G479" s="3051">
        <f t="shared" si="240"/>
        <v>0</v>
      </c>
      <c r="H479" s="3052">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49">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900">
        <f t="shared" si="243"/>
        <v>0</v>
      </c>
      <c r="AW479" s="900">
        <f t="shared" si="244"/>
        <v>0</v>
      </c>
      <c r="AX479" s="900">
        <f t="shared" si="245"/>
        <v>0</v>
      </c>
      <c r="AY479" s="3096">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3">
        <f t="shared" si="267"/>
        <v>0</v>
      </c>
    </row>
    <row r="480" spans="1:72">
      <c r="A480" s="3047"/>
      <c r="B480" s="3048"/>
      <c r="C480" s="3048"/>
      <c r="D480" s="3053"/>
      <c r="E480" s="3049">
        <f t="shared" si="239"/>
        <v>0</v>
      </c>
      <c r="F480" s="3050"/>
      <c r="G480" s="3051">
        <f t="shared" si="240"/>
        <v>0</v>
      </c>
      <c r="H480" s="3052">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49">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900">
        <f t="shared" si="243"/>
        <v>0</v>
      </c>
      <c r="AW480" s="900">
        <f t="shared" si="244"/>
        <v>0</v>
      </c>
      <c r="AX480" s="900">
        <f t="shared" si="245"/>
        <v>0</v>
      </c>
      <c r="AY480" s="3096">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3">
        <f t="shared" si="267"/>
        <v>0</v>
      </c>
    </row>
    <row r="481" spans="1:72">
      <c r="A481" s="3047"/>
      <c r="B481" s="3048"/>
      <c r="C481" s="3048"/>
      <c r="D481" s="3053"/>
      <c r="E481" s="3049">
        <f t="shared" si="239"/>
        <v>0</v>
      </c>
      <c r="F481" s="3050"/>
      <c r="G481" s="3051">
        <f t="shared" si="240"/>
        <v>0</v>
      </c>
      <c r="H481" s="3052">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49">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900">
        <f t="shared" si="243"/>
        <v>0</v>
      </c>
      <c r="AW481" s="900">
        <f t="shared" si="244"/>
        <v>0</v>
      </c>
      <c r="AX481" s="900">
        <f t="shared" si="245"/>
        <v>0</v>
      </c>
      <c r="AY481" s="3096">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3">
        <f t="shared" si="267"/>
        <v>0</v>
      </c>
    </row>
    <row r="482" spans="1:72">
      <c r="A482" s="3047"/>
      <c r="B482" s="3048"/>
      <c r="C482" s="3048"/>
      <c r="D482" s="3053"/>
      <c r="E482" s="3049">
        <f t="shared" si="239"/>
        <v>0</v>
      </c>
      <c r="F482" s="3050"/>
      <c r="G482" s="3051">
        <f t="shared" si="240"/>
        <v>0</v>
      </c>
      <c r="H482" s="3052">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49">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900">
        <f t="shared" si="243"/>
        <v>0</v>
      </c>
      <c r="AW482" s="900">
        <f t="shared" si="244"/>
        <v>0</v>
      </c>
      <c r="AX482" s="900">
        <f t="shared" si="245"/>
        <v>0</v>
      </c>
      <c r="AY482" s="3096">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3">
        <f t="shared" si="267"/>
        <v>0</v>
      </c>
    </row>
    <row r="483" spans="1:72">
      <c r="A483" s="3047"/>
      <c r="B483" s="3048"/>
      <c r="C483" s="3048"/>
      <c r="D483" s="3053"/>
      <c r="E483" s="3049">
        <f t="shared" si="239"/>
        <v>0</v>
      </c>
      <c r="F483" s="3050"/>
      <c r="G483" s="3051">
        <f t="shared" si="240"/>
        <v>0</v>
      </c>
      <c r="H483" s="3052">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49">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900">
        <f t="shared" si="243"/>
        <v>0</v>
      </c>
      <c r="AW483" s="900">
        <f t="shared" si="244"/>
        <v>0</v>
      </c>
      <c r="AX483" s="900">
        <f t="shared" si="245"/>
        <v>0</v>
      </c>
      <c r="AY483" s="3096">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3">
        <f t="shared" si="267"/>
        <v>0</v>
      </c>
    </row>
    <row r="484" spans="1:72">
      <c r="A484" s="3047"/>
      <c r="B484" s="3048"/>
      <c r="C484" s="3048"/>
      <c r="D484" s="3053"/>
      <c r="E484" s="3049">
        <f t="shared" si="239"/>
        <v>0</v>
      </c>
      <c r="F484" s="3050"/>
      <c r="G484" s="3051">
        <f t="shared" si="240"/>
        <v>0</v>
      </c>
      <c r="H484" s="3052">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49">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900">
        <f t="shared" si="243"/>
        <v>0</v>
      </c>
      <c r="AW484" s="900">
        <f t="shared" si="244"/>
        <v>0</v>
      </c>
      <c r="AX484" s="900">
        <f t="shared" si="245"/>
        <v>0</v>
      </c>
      <c r="AY484" s="3096">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3">
        <f t="shared" si="267"/>
        <v>0</v>
      </c>
    </row>
    <row r="485" spans="1:72">
      <c r="A485" s="3047"/>
      <c r="B485" s="3048"/>
      <c r="C485" s="3048"/>
      <c r="D485" s="3053"/>
      <c r="E485" s="3049">
        <f t="shared" si="239"/>
        <v>0</v>
      </c>
      <c r="F485" s="3050"/>
      <c r="G485" s="3051">
        <f t="shared" si="240"/>
        <v>0</v>
      </c>
      <c r="H485" s="3052">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49">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900">
        <f t="shared" si="243"/>
        <v>0</v>
      </c>
      <c r="AW485" s="900">
        <f t="shared" si="244"/>
        <v>0</v>
      </c>
      <c r="AX485" s="900">
        <f t="shared" si="245"/>
        <v>0</v>
      </c>
      <c r="AY485" s="3096">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3">
        <f t="shared" si="267"/>
        <v>0</v>
      </c>
    </row>
    <row r="486" spans="1:72">
      <c r="A486" s="3047"/>
      <c r="B486" s="3048"/>
      <c r="C486" s="3048"/>
      <c r="D486" s="3053"/>
      <c r="E486" s="3049">
        <f t="shared" si="239"/>
        <v>0</v>
      </c>
      <c r="F486" s="3050"/>
      <c r="G486" s="3051">
        <f t="shared" si="240"/>
        <v>0</v>
      </c>
      <c r="H486" s="3052">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49">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900">
        <f t="shared" si="243"/>
        <v>0</v>
      </c>
      <c r="AW486" s="900">
        <f t="shared" si="244"/>
        <v>0</v>
      </c>
      <c r="AX486" s="900">
        <f t="shared" si="245"/>
        <v>0</v>
      </c>
      <c r="AY486" s="3096">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3">
        <f t="shared" si="267"/>
        <v>0</v>
      </c>
    </row>
    <row r="487" spans="1:72">
      <c r="A487" s="3047"/>
      <c r="B487" s="3048"/>
      <c r="C487" s="3048"/>
      <c r="D487" s="3053"/>
      <c r="E487" s="3049">
        <f t="shared" si="239"/>
        <v>0</v>
      </c>
      <c r="F487" s="3050"/>
      <c r="G487" s="3051">
        <f t="shared" si="240"/>
        <v>0</v>
      </c>
      <c r="H487" s="3052">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49">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900">
        <f t="shared" si="243"/>
        <v>0</v>
      </c>
      <c r="AW487" s="900">
        <f t="shared" si="244"/>
        <v>0</v>
      </c>
      <c r="AX487" s="900">
        <f t="shared" si="245"/>
        <v>0</v>
      </c>
      <c r="AY487" s="3096">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3">
        <f t="shared" si="267"/>
        <v>0</v>
      </c>
    </row>
    <row r="488" spans="1:72">
      <c r="A488" s="3047"/>
      <c r="B488" s="3048"/>
      <c r="C488" s="3048"/>
      <c r="D488" s="3053"/>
      <c r="E488" s="3049">
        <f t="shared" si="239"/>
        <v>0</v>
      </c>
      <c r="F488" s="3050"/>
      <c r="G488" s="3051">
        <f t="shared" si="240"/>
        <v>0</v>
      </c>
      <c r="H488" s="3052">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49">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900">
        <f t="shared" si="243"/>
        <v>0</v>
      </c>
      <c r="AW488" s="900">
        <f t="shared" si="244"/>
        <v>0</v>
      </c>
      <c r="AX488" s="900">
        <f t="shared" si="245"/>
        <v>0</v>
      </c>
      <c r="AY488" s="3096">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3">
        <f t="shared" si="267"/>
        <v>0</v>
      </c>
    </row>
    <row r="489" spans="1:72">
      <c r="A489" s="3047"/>
      <c r="B489" s="3048"/>
      <c r="C489" s="3048"/>
      <c r="D489" s="3053"/>
      <c r="E489" s="3049">
        <f t="shared" si="239"/>
        <v>0</v>
      </c>
      <c r="F489" s="3050"/>
      <c r="G489" s="3051">
        <f t="shared" si="240"/>
        <v>0</v>
      </c>
      <c r="H489" s="3052">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49">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900">
        <f t="shared" si="243"/>
        <v>0</v>
      </c>
      <c r="AW489" s="900">
        <f t="shared" si="244"/>
        <v>0</v>
      </c>
      <c r="AX489" s="900">
        <f t="shared" si="245"/>
        <v>0</v>
      </c>
      <c r="AY489" s="3096">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3">
        <f t="shared" si="267"/>
        <v>0</v>
      </c>
    </row>
    <row r="490" spans="1:72">
      <c r="A490" s="3047"/>
      <c r="B490" s="3047"/>
      <c r="C490" s="3047"/>
      <c r="D490" s="3053"/>
      <c r="E490" s="3049">
        <f t="shared" si="239"/>
        <v>0</v>
      </c>
      <c r="F490" s="3104"/>
      <c r="G490" s="3051">
        <f t="shared" ref="G490:G521" si="268">H490+AC490+AT490</f>
        <v>0</v>
      </c>
      <c r="H490" s="3052">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49">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900">
        <f t="shared" si="243"/>
        <v>0</v>
      </c>
      <c r="AW490" s="900">
        <f t="shared" si="244"/>
        <v>0</v>
      </c>
      <c r="AX490" s="900">
        <f t="shared" si="245"/>
        <v>0</v>
      </c>
      <c r="AY490" s="3096">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3">
        <f t="shared" ref="BT490:BT521" si="292">IF($D490="是",AR490-AS490,0)</f>
        <v>0</v>
      </c>
    </row>
    <row r="491" spans="1:72">
      <c r="A491" s="3047"/>
      <c r="B491" s="3047"/>
      <c r="C491" s="3047"/>
      <c r="D491" s="3053"/>
      <c r="E491" s="3049">
        <f t="shared" si="239"/>
        <v>0</v>
      </c>
      <c r="F491" s="3104"/>
      <c r="G491" s="3051">
        <f t="shared" si="268"/>
        <v>0</v>
      </c>
      <c r="H491" s="3052">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49">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900">
        <f t="shared" si="243"/>
        <v>0</v>
      </c>
      <c r="AW491" s="900">
        <f t="shared" si="244"/>
        <v>0</v>
      </c>
      <c r="AX491" s="900">
        <f t="shared" si="245"/>
        <v>0</v>
      </c>
      <c r="AY491" s="3096">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3">
        <f t="shared" si="292"/>
        <v>0</v>
      </c>
    </row>
    <row r="492" spans="1:72">
      <c r="A492" s="3047"/>
      <c r="B492" s="3047"/>
      <c r="C492" s="3047"/>
      <c r="D492" s="3053"/>
      <c r="E492" s="3049">
        <f t="shared" si="239"/>
        <v>0</v>
      </c>
      <c r="F492" s="3104"/>
      <c r="G492" s="3051">
        <f t="shared" si="268"/>
        <v>0</v>
      </c>
      <c r="H492" s="3052">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49">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900">
        <f t="shared" si="243"/>
        <v>0</v>
      </c>
      <c r="AW492" s="900">
        <f t="shared" si="244"/>
        <v>0</v>
      </c>
      <c r="AX492" s="900">
        <f t="shared" si="245"/>
        <v>0</v>
      </c>
      <c r="AY492" s="3096">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3">
        <f t="shared" si="292"/>
        <v>0</v>
      </c>
    </row>
    <row r="493" spans="1:72">
      <c r="A493" s="3047"/>
      <c r="B493" s="3048"/>
      <c r="C493" s="3048"/>
      <c r="D493" s="3053"/>
      <c r="E493" s="3049">
        <f t="shared" ref="E493:E519" si="293">IF($C$3="是",ROUND($A$3*G493/$B$3,2),ROUND($A$3*(G493-AT493)/$B$3,2))</f>
        <v>0</v>
      </c>
      <c r="F493" s="3050"/>
      <c r="G493" s="3051">
        <f t="shared" si="268"/>
        <v>0</v>
      </c>
      <c r="H493" s="3052">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49">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900">
        <f t="shared" ref="AV493:AV520" si="294">A493</f>
        <v>0</v>
      </c>
      <c r="AW493" s="900">
        <f t="shared" ref="AW493:AW520" si="295">B493</f>
        <v>0</v>
      </c>
      <c r="AX493" s="900">
        <f t="shared" ref="AX493:AX520" si="296">C493</f>
        <v>0</v>
      </c>
      <c r="AY493" s="3096">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3">
        <f t="shared" si="292"/>
        <v>0</v>
      </c>
    </row>
    <row r="494" spans="1:72">
      <c r="A494" s="3047"/>
      <c r="B494" s="3048"/>
      <c r="C494" s="3048"/>
      <c r="D494" s="3053"/>
      <c r="E494" s="3049">
        <f t="shared" si="293"/>
        <v>0</v>
      </c>
      <c r="F494" s="3050"/>
      <c r="G494" s="3051">
        <f t="shared" si="268"/>
        <v>0</v>
      </c>
      <c r="H494" s="3052">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49">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900">
        <f t="shared" si="294"/>
        <v>0</v>
      </c>
      <c r="AW494" s="900">
        <f t="shared" si="295"/>
        <v>0</v>
      </c>
      <c r="AX494" s="900">
        <f t="shared" si="296"/>
        <v>0</v>
      </c>
      <c r="AY494" s="3096">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3">
        <f t="shared" si="292"/>
        <v>0</v>
      </c>
    </row>
    <row r="495" spans="1:72">
      <c r="A495" s="3047"/>
      <c r="B495" s="3048"/>
      <c r="C495" s="3048"/>
      <c r="D495" s="3053"/>
      <c r="E495" s="3049">
        <f t="shared" si="293"/>
        <v>0</v>
      </c>
      <c r="F495" s="3050"/>
      <c r="G495" s="3051">
        <f t="shared" si="268"/>
        <v>0</v>
      </c>
      <c r="H495" s="3052">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49">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900">
        <f t="shared" si="294"/>
        <v>0</v>
      </c>
      <c r="AW495" s="900">
        <f t="shared" si="295"/>
        <v>0</v>
      </c>
      <c r="AX495" s="900">
        <f t="shared" si="296"/>
        <v>0</v>
      </c>
      <c r="AY495" s="3096">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3">
        <f t="shared" si="292"/>
        <v>0</v>
      </c>
    </row>
    <row r="496" spans="1:72">
      <c r="A496" s="3047"/>
      <c r="B496" s="3048"/>
      <c r="C496" s="3048"/>
      <c r="D496" s="3053"/>
      <c r="E496" s="3049">
        <f t="shared" si="293"/>
        <v>0</v>
      </c>
      <c r="F496" s="3050"/>
      <c r="G496" s="3051">
        <f t="shared" si="268"/>
        <v>0</v>
      </c>
      <c r="H496" s="3052">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49">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900">
        <f t="shared" si="294"/>
        <v>0</v>
      </c>
      <c r="AW496" s="900">
        <f t="shared" si="295"/>
        <v>0</v>
      </c>
      <c r="AX496" s="900">
        <f t="shared" si="296"/>
        <v>0</v>
      </c>
      <c r="AY496" s="3096">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3">
        <f t="shared" si="292"/>
        <v>0</v>
      </c>
    </row>
    <row r="497" spans="1:72">
      <c r="A497" s="3047"/>
      <c r="B497" s="3048"/>
      <c r="C497" s="3048"/>
      <c r="D497" s="3053"/>
      <c r="E497" s="3049">
        <f t="shared" si="293"/>
        <v>0</v>
      </c>
      <c r="F497" s="3050"/>
      <c r="G497" s="3051">
        <f t="shared" si="268"/>
        <v>0</v>
      </c>
      <c r="H497" s="3052">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49">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900">
        <f t="shared" si="294"/>
        <v>0</v>
      </c>
      <c r="AW497" s="900">
        <f t="shared" si="295"/>
        <v>0</v>
      </c>
      <c r="AX497" s="900">
        <f t="shared" si="296"/>
        <v>0</v>
      </c>
      <c r="AY497" s="3096">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3">
        <f t="shared" si="292"/>
        <v>0</v>
      </c>
    </row>
    <row r="498" spans="1:72">
      <c r="A498" s="3047"/>
      <c r="B498" s="3048"/>
      <c r="C498" s="3048"/>
      <c r="D498" s="3053"/>
      <c r="E498" s="3049">
        <f t="shared" si="293"/>
        <v>0</v>
      </c>
      <c r="F498" s="3050"/>
      <c r="G498" s="3051">
        <f t="shared" si="268"/>
        <v>0</v>
      </c>
      <c r="H498" s="3052">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49">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900">
        <f t="shared" si="294"/>
        <v>0</v>
      </c>
      <c r="AW498" s="900">
        <f t="shared" si="295"/>
        <v>0</v>
      </c>
      <c r="AX498" s="900">
        <f t="shared" si="296"/>
        <v>0</v>
      </c>
      <c r="AY498" s="3096">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3">
        <f t="shared" si="292"/>
        <v>0</v>
      </c>
    </row>
    <row r="499" spans="1:72">
      <c r="A499" s="3047"/>
      <c r="B499" s="3048"/>
      <c r="C499" s="3048"/>
      <c r="D499" s="3053"/>
      <c r="E499" s="3049">
        <f t="shared" si="293"/>
        <v>0</v>
      </c>
      <c r="F499" s="3050"/>
      <c r="G499" s="3051">
        <f t="shared" si="268"/>
        <v>0</v>
      </c>
      <c r="H499" s="3052">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49">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900">
        <f t="shared" si="294"/>
        <v>0</v>
      </c>
      <c r="AW499" s="900">
        <f t="shared" si="295"/>
        <v>0</v>
      </c>
      <c r="AX499" s="900">
        <f t="shared" si="296"/>
        <v>0</v>
      </c>
      <c r="AY499" s="3096">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3">
        <f t="shared" si="292"/>
        <v>0</v>
      </c>
    </row>
    <row r="500" spans="1:72">
      <c r="A500" s="3047"/>
      <c r="B500" s="3048"/>
      <c r="C500" s="3048"/>
      <c r="D500" s="3053"/>
      <c r="E500" s="3049">
        <f t="shared" si="293"/>
        <v>0</v>
      </c>
      <c r="F500" s="3050"/>
      <c r="G500" s="3051">
        <f t="shared" si="268"/>
        <v>0</v>
      </c>
      <c r="H500" s="3052">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49">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900">
        <f t="shared" si="294"/>
        <v>0</v>
      </c>
      <c r="AW500" s="900">
        <f t="shared" si="295"/>
        <v>0</v>
      </c>
      <c r="AX500" s="900">
        <f t="shared" si="296"/>
        <v>0</v>
      </c>
      <c r="AY500" s="3096">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3">
        <f t="shared" si="292"/>
        <v>0</v>
      </c>
    </row>
    <row r="501" spans="1:72">
      <c r="A501" s="3047"/>
      <c r="B501" s="3048"/>
      <c r="C501" s="3048"/>
      <c r="D501" s="3053"/>
      <c r="E501" s="3049">
        <f t="shared" si="293"/>
        <v>0</v>
      </c>
      <c r="F501" s="3050"/>
      <c r="G501" s="3051">
        <f t="shared" si="268"/>
        <v>0</v>
      </c>
      <c r="H501" s="3052">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49">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900">
        <f t="shared" si="294"/>
        <v>0</v>
      </c>
      <c r="AW501" s="900">
        <f t="shared" si="295"/>
        <v>0</v>
      </c>
      <c r="AX501" s="900">
        <f t="shared" si="296"/>
        <v>0</v>
      </c>
      <c r="AY501" s="3096">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3">
        <f t="shared" si="292"/>
        <v>0</v>
      </c>
    </row>
    <row r="502" spans="1:72">
      <c r="A502" s="3047"/>
      <c r="B502" s="3048"/>
      <c r="C502" s="3048"/>
      <c r="D502" s="3053"/>
      <c r="E502" s="3049">
        <f t="shared" si="293"/>
        <v>0</v>
      </c>
      <c r="F502" s="3050"/>
      <c r="G502" s="3051">
        <f t="shared" si="268"/>
        <v>0</v>
      </c>
      <c r="H502" s="3052">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49">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900">
        <f t="shared" si="294"/>
        <v>0</v>
      </c>
      <c r="AW502" s="900">
        <f t="shared" si="295"/>
        <v>0</v>
      </c>
      <c r="AX502" s="900">
        <f t="shared" si="296"/>
        <v>0</v>
      </c>
      <c r="AY502" s="3096">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3">
        <f t="shared" si="292"/>
        <v>0</v>
      </c>
    </row>
    <row r="503" spans="1:72">
      <c r="A503" s="3047"/>
      <c r="B503" s="3048"/>
      <c r="C503" s="3048"/>
      <c r="D503" s="3053"/>
      <c r="E503" s="3049">
        <f t="shared" si="293"/>
        <v>0</v>
      </c>
      <c r="F503" s="3050"/>
      <c r="G503" s="3051">
        <f t="shared" si="268"/>
        <v>0</v>
      </c>
      <c r="H503" s="3052">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49">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900">
        <f t="shared" si="294"/>
        <v>0</v>
      </c>
      <c r="AW503" s="900">
        <f t="shared" si="295"/>
        <v>0</v>
      </c>
      <c r="AX503" s="900">
        <f t="shared" si="296"/>
        <v>0</v>
      </c>
      <c r="AY503" s="3096">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3">
        <f t="shared" si="292"/>
        <v>0</v>
      </c>
    </row>
    <row r="504" spans="1:72">
      <c r="A504" s="3047"/>
      <c r="B504" s="3048"/>
      <c r="C504" s="3048"/>
      <c r="D504" s="3053"/>
      <c r="E504" s="3049">
        <f t="shared" si="293"/>
        <v>0</v>
      </c>
      <c r="F504" s="3050"/>
      <c r="G504" s="3051">
        <f t="shared" si="268"/>
        <v>0</v>
      </c>
      <c r="H504" s="3052">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49">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900">
        <f t="shared" si="294"/>
        <v>0</v>
      </c>
      <c r="AW504" s="900">
        <f t="shared" si="295"/>
        <v>0</v>
      </c>
      <c r="AX504" s="900">
        <f t="shared" si="296"/>
        <v>0</v>
      </c>
      <c r="AY504" s="3096">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3">
        <f t="shared" si="292"/>
        <v>0</v>
      </c>
    </row>
    <row r="505" spans="1:72">
      <c r="A505" s="3047"/>
      <c r="B505" s="3048"/>
      <c r="C505" s="3048"/>
      <c r="D505" s="3053"/>
      <c r="E505" s="3049">
        <f t="shared" si="293"/>
        <v>0</v>
      </c>
      <c r="F505" s="3050"/>
      <c r="G505" s="3051">
        <f t="shared" si="268"/>
        <v>0</v>
      </c>
      <c r="H505" s="3052">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49">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900">
        <f t="shared" si="294"/>
        <v>0</v>
      </c>
      <c r="AW505" s="900">
        <f t="shared" si="295"/>
        <v>0</v>
      </c>
      <c r="AX505" s="900">
        <f t="shared" si="296"/>
        <v>0</v>
      </c>
      <c r="AY505" s="3096">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3">
        <f t="shared" si="292"/>
        <v>0</v>
      </c>
    </row>
    <row r="506" spans="1:72">
      <c r="A506" s="3047"/>
      <c r="B506" s="3048"/>
      <c r="C506" s="3048"/>
      <c r="D506" s="3053"/>
      <c r="E506" s="3049">
        <f t="shared" si="293"/>
        <v>0</v>
      </c>
      <c r="F506" s="3050"/>
      <c r="G506" s="3051">
        <f t="shared" si="268"/>
        <v>0</v>
      </c>
      <c r="H506" s="3052">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49">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900">
        <f t="shared" si="294"/>
        <v>0</v>
      </c>
      <c r="AW506" s="900">
        <f t="shared" si="295"/>
        <v>0</v>
      </c>
      <c r="AX506" s="900">
        <f t="shared" si="296"/>
        <v>0</v>
      </c>
      <c r="AY506" s="3096">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3">
        <f t="shared" si="292"/>
        <v>0</v>
      </c>
    </row>
    <row r="507" spans="1:72">
      <c r="A507" s="3047"/>
      <c r="B507" s="3048"/>
      <c r="C507" s="3048"/>
      <c r="D507" s="3053"/>
      <c r="E507" s="3049">
        <f t="shared" si="293"/>
        <v>0</v>
      </c>
      <c r="F507" s="3050"/>
      <c r="G507" s="3051">
        <f t="shared" si="268"/>
        <v>0</v>
      </c>
      <c r="H507" s="3052">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49">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900">
        <f t="shared" si="294"/>
        <v>0</v>
      </c>
      <c r="AW507" s="900">
        <f t="shared" si="295"/>
        <v>0</v>
      </c>
      <c r="AX507" s="900">
        <f t="shared" si="296"/>
        <v>0</v>
      </c>
      <c r="AY507" s="3096">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3">
        <f t="shared" si="292"/>
        <v>0</v>
      </c>
    </row>
    <row r="508" spans="1:72">
      <c r="A508" s="3047"/>
      <c r="B508" s="3048"/>
      <c r="C508" s="3048"/>
      <c r="D508" s="3053"/>
      <c r="E508" s="3049">
        <f t="shared" si="293"/>
        <v>0</v>
      </c>
      <c r="F508" s="3050"/>
      <c r="G508" s="3051">
        <f t="shared" si="268"/>
        <v>0</v>
      </c>
      <c r="H508" s="3052">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49">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900">
        <f t="shared" si="294"/>
        <v>0</v>
      </c>
      <c r="AW508" s="900">
        <f t="shared" si="295"/>
        <v>0</v>
      </c>
      <c r="AX508" s="900">
        <f t="shared" si="296"/>
        <v>0</v>
      </c>
      <c r="AY508" s="3096">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3">
        <f t="shared" si="292"/>
        <v>0</v>
      </c>
    </row>
    <row r="509" spans="1:72">
      <c r="A509" s="3047"/>
      <c r="B509" s="3048"/>
      <c r="C509" s="3048"/>
      <c r="D509" s="3053"/>
      <c r="E509" s="3049">
        <f t="shared" si="293"/>
        <v>0</v>
      </c>
      <c r="F509" s="3050"/>
      <c r="G509" s="3051">
        <f t="shared" si="268"/>
        <v>0</v>
      </c>
      <c r="H509" s="3052">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49">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900">
        <f t="shared" si="294"/>
        <v>0</v>
      </c>
      <c r="AW509" s="900">
        <f t="shared" si="295"/>
        <v>0</v>
      </c>
      <c r="AX509" s="900">
        <f t="shared" si="296"/>
        <v>0</v>
      </c>
      <c r="AY509" s="3096">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3">
        <f t="shared" si="292"/>
        <v>0</v>
      </c>
    </row>
    <row r="510" spans="1:72">
      <c r="A510" s="3047"/>
      <c r="B510" s="3048"/>
      <c r="C510" s="3048"/>
      <c r="D510" s="3053"/>
      <c r="E510" s="3049">
        <f t="shared" si="293"/>
        <v>0</v>
      </c>
      <c r="F510" s="3050"/>
      <c r="G510" s="3051">
        <f t="shared" si="268"/>
        <v>0</v>
      </c>
      <c r="H510" s="3052">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49">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900">
        <f t="shared" si="294"/>
        <v>0</v>
      </c>
      <c r="AW510" s="900">
        <f t="shared" si="295"/>
        <v>0</v>
      </c>
      <c r="AX510" s="900">
        <f t="shared" si="296"/>
        <v>0</v>
      </c>
      <c r="AY510" s="3096">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3">
        <f t="shared" si="292"/>
        <v>0</v>
      </c>
    </row>
    <row r="511" spans="1:72">
      <c r="A511" s="3047"/>
      <c r="B511" s="3048"/>
      <c r="C511" s="3048"/>
      <c r="D511" s="3053"/>
      <c r="E511" s="3049">
        <f t="shared" si="293"/>
        <v>0</v>
      </c>
      <c r="F511" s="3050"/>
      <c r="G511" s="3051">
        <f t="shared" si="268"/>
        <v>0</v>
      </c>
      <c r="H511" s="3052">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49">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900">
        <f t="shared" si="294"/>
        <v>0</v>
      </c>
      <c r="AW511" s="900">
        <f t="shared" si="295"/>
        <v>0</v>
      </c>
      <c r="AX511" s="900">
        <f t="shared" si="296"/>
        <v>0</v>
      </c>
      <c r="AY511" s="3096">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3">
        <f t="shared" si="292"/>
        <v>0</v>
      </c>
    </row>
    <row r="512" spans="1:72">
      <c r="A512" s="3047"/>
      <c r="B512" s="3048"/>
      <c r="C512" s="3048"/>
      <c r="D512" s="3053"/>
      <c r="E512" s="3049">
        <f t="shared" si="293"/>
        <v>0</v>
      </c>
      <c r="F512" s="3050"/>
      <c r="G512" s="3051">
        <f t="shared" si="268"/>
        <v>0</v>
      </c>
      <c r="H512" s="3052">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49">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900">
        <f t="shared" si="294"/>
        <v>0</v>
      </c>
      <c r="AW512" s="900">
        <f t="shared" si="295"/>
        <v>0</v>
      </c>
      <c r="AX512" s="900">
        <f t="shared" si="296"/>
        <v>0</v>
      </c>
      <c r="AY512" s="3096">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3">
        <f t="shared" si="292"/>
        <v>0</v>
      </c>
    </row>
    <row r="513" spans="1:72">
      <c r="A513" s="3047"/>
      <c r="B513" s="3048"/>
      <c r="C513" s="3048"/>
      <c r="D513" s="3053"/>
      <c r="E513" s="3049">
        <f t="shared" si="293"/>
        <v>0</v>
      </c>
      <c r="F513" s="3050"/>
      <c r="G513" s="3051">
        <f t="shared" si="268"/>
        <v>0</v>
      </c>
      <c r="H513" s="3052">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49">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900">
        <f t="shared" si="294"/>
        <v>0</v>
      </c>
      <c r="AW513" s="900">
        <f t="shared" si="295"/>
        <v>0</v>
      </c>
      <c r="AX513" s="900">
        <f t="shared" si="296"/>
        <v>0</v>
      </c>
      <c r="AY513" s="3096">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3">
        <f t="shared" si="292"/>
        <v>0</v>
      </c>
    </row>
    <row r="514" spans="1:72">
      <c r="A514" s="3047"/>
      <c r="B514" s="3048"/>
      <c r="C514" s="3048"/>
      <c r="D514" s="3053"/>
      <c r="E514" s="3049">
        <f t="shared" si="293"/>
        <v>0</v>
      </c>
      <c r="F514" s="3050"/>
      <c r="G514" s="3051">
        <f t="shared" si="268"/>
        <v>0</v>
      </c>
      <c r="H514" s="3052">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49">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900">
        <f t="shared" si="294"/>
        <v>0</v>
      </c>
      <c r="AW514" s="900">
        <f t="shared" si="295"/>
        <v>0</v>
      </c>
      <c r="AX514" s="900">
        <f t="shared" si="296"/>
        <v>0</v>
      </c>
      <c r="AY514" s="3096">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3">
        <f t="shared" si="292"/>
        <v>0</v>
      </c>
    </row>
    <row r="515" spans="1:72">
      <c r="A515" s="3047"/>
      <c r="B515" s="3048"/>
      <c r="C515" s="3048"/>
      <c r="D515" s="3053"/>
      <c r="E515" s="3049">
        <f t="shared" si="293"/>
        <v>0</v>
      </c>
      <c r="F515" s="3050"/>
      <c r="G515" s="3051">
        <f t="shared" si="268"/>
        <v>0</v>
      </c>
      <c r="H515" s="3052">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49">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900">
        <f t="shared" si="294"/>
        <v>0</v>
      </c>
      <c r="AW515" s="900">
        <f t="shared" si="295"/>
        <v>0</v>
      </c>
      <c r="AX515" s="900">
        <f t="shared" si="296"/>
        <v>0</v>
      </c>
      <c r="AY515" s="3096">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3">
        <f t="shared" si="292"/>
        <v>0</v>
      </c>
    </row>
    <row r="516" spans="1:72">
      <c r="A516" s="3047"/>
      <c r="B516" s="3048"/>
      <c r="C516" s="3048"/>
      <c r="D516" s="3053"/>
      <c r="E516" s="3049">
        <f t="shared" si="293"/>
        <v>0</v>
      </c>
      <c r="F516" s="3050"/>
      <c r="G516" s="3051">
        <f t="shared" si="268"/>
        <v>0</v>
      </c>
      <c r="H516" s="3052">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49">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900">
        <f t="shared" si="294"/>
        <v>0</v>
      </c>
      <c r="AW516" s="900">
        <f t="shared" si="295"/>
        <v>0</v>
      </c>
      <c r="AX516" s="900">
        <f t="shared" si="296"/>
        <v>0</v>
      </c>
      <c r="AY516" s="3096">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3">
        <f t="shared" si="292"/>
        <v>0</v>
      </c>
    </row>
    <row r="517" spans="1:72">
      <c r="A517" s="3047"/>
      <c r="B517" s="3048"/>
      <c r="C517" s="3048"/>
      <c r="D517" s="3053"/>
      <c r="E517" s="3049">
        <f t="shared" si="293"/>
        <v>0</v>
      </c>
      <c r="F517" s="3050"/>
      <c r="G517" s="3051">
        <f t="shared" si="268"/>
        <v>0</v>
      </c>
      <c r="H517" s="3052">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49">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900">
        <f t="shared" si="294"/>
        <v>0</v>
      </c>
      <c r="AW517" s="900">
        <f t="shared" si="295"/>
        <v>0</v>
      </c>
      <c r="AX517" s="900">
        <f t="shared" si="296"/>
        <v>0</v>
      </c>
      <c r="AY517" s="3096">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3">
        <f t="shared" si="292"/>
        <v>0</v>
      </c>
    </row>
    <row r="518" spans="1:72">
      <c r="A518" s="3047"/>
      <c r="B518" s="3048"/>
      <c r="C518" s="3048"/>
      <c r="D518" s="3053"/>
      <c r="E518" s="3049">
        <f t="shared" si="293"/>
        <v>0</v>
      </c>
      <c r="F518" s="3050"/>
      <c r="G518" s="3051">
        <f t="shared" si="268"/>
        <v>0</v>
      </c>
      <c r="H518" s="3052">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49">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900">
        <f t="shared" si="294"/>
        <v>0</v>
      </c>
      <c r="AW518" s="900">
        <f t="shared" si="295"/>
        <v>0</v>
      </c>
      <c r="AX518" s="900">
        <f t="shared" si="296"/>
        <v>0</v>
      </c>
      <c r="AY518" s="3096">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3">
        <f t="shared" si="292"/>
        <v>0</v>
      </c>
    </row>
    <row r="519" spans="1:72">
      <c r="A519" s="3047"/>
      <c r="B519" s="3048"/>
      <c r="C519" s="3048"/>
      <c r="D519" s="3053"/>
      <c r="E519" s="3049">
        <f t="shared" si="293"/>
        <v>0</v>
      </c>
      <c r="F519" s="3050"/>
      <c r="G519" s="3051">
        <f t="shared" si="268"/>
        <v>0</v>
      </c>
      <c r="H519" s="3052">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49">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900">
        <f t="shared" si="294"/>
        <v>0</v>
      </c>
      <c r="AW519" s="900">
        <f t="shared" si="295"/>
        <v>0</v>
      </c>
      <c r="AX519" s="900">
        <f t="shared" si="296"/>
        <v>0</v>
      </c>
      <c r="AY519" s="3096">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3">
        <f t="shared" si="292"/>
        <v>0</v>
      </c>
    </row>
    <row r="520" spans="1:72">
      <c r="A520" s="3047"/>
      <c r="B520" s="3048"/>
      <c r="C520" s="3048"/>
      <c r="D520" s="3053"/>
      <c r="E520" s="3049">
        <f t="shared" ref="E520:E551" si="297">IF($C$3="是",ROUND($A$3*G520/$B$3,2),ROUND($A$3*(G520-AT520)/$B$3,2))</f>
        <v>0</v>
      </c>
      <c r="F520" s="3050"/>
      <c r="G520" s="3051">
        <f t="shared" si="268"/>
        <v>0</v>
      </c>
      <c r="H520" s="3052">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49">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900">
        <f t="shared" si="294"/>
        <v>0</v>
      </c>
      <c r="AW520" s="900">
        <f t="shared" si="295"/>
        <v>0</v>
      </c>
      <c r="AX520" s="900">
        <f t="shared" si="296"/>
        <v>0</v>
      </c>
      <c r="AY520" s="3096">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3">
        <f t="shared" si="292"/>
        <v>0</v>
      </c>
    </row>
    <row r="521" spans="1:72">
      <c r="A521" s="3047"/>
      <c r="B521" s="3048"/>
      <c r="C521" s="3048"/>
      <c r="D521" s="3053"/>
      <c r="E521" s="3049">
        <f t="shared" si="297"/>
        <v>0</v>
      </c>
      <c r="F521" s="3050"/>
      <c r="G521" s="3051">
        <f t="shared" si="268"/>
        <v>0</v>
      </c>
      <c r="H521" s="3052">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49">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900">
        <f t="shared" ref="AV521:AV552" si="298">A521</f>
        <v>0</v>
      </c>
      <c r="AW521" s="900">
        <f t="shared" ref="AW521:AW552" si="299">B521</f>
        <v>0</v>
      </c>
      <c r="AX521" s="900">
        <f t="shared" ref="AX521:AX552" si="300">C521</f>
        <v>0</v>
      </c>
      <c r="AY521" s="3096">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3">
        <f t="shared" si="292"/>
        <v>0</v>
      </c>
    </row>
    <row r="522" spans="1:72">
      <c r="A522" s="3047"/>
      <c r="B522" s="3048"/>
      <c r="C522" s="3048"/>
      <c r="D522" s="3053"/>
      <c r="E522" s="3049">
        <f t="shared" si="297"/>
        <v>0</v>
      </c>
      <c r="F522" s="3050"/>
      <c r="G522" s="3051">
        <f t="shared" ref="G522:G552" si="301">H522+AC522+AT522</f>
        <v>0</v>
      </c>
      <c r="H522" s="3052">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49">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900">
        <f t="shared" si="298"/>
        <v>0</v>
      </c>
      <c r="AW522" s="900">
        <f t="shared" si="299"/>
        <v>0</v>
      </c>
      <c r="AX522" s="900">
        <f t="shared" si="300"/>
        <v>0</v>
      </c>
      <c r="AY522" s="3096">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3">
        <f t="shared" ref="BT522:BT552" si="325">IF($D522="是",AR522-AS522,0)</f>
        <v>0</v>
      </c>
    </row>
    <row r="523" spans="1:72">
      <c r="A523" s="3047"/>
      <c r="B523" s="3048"/>
      <c r="C523" s="3048"/>
      <c r="D523" s="3053"/>
      <c r="E523" s="3049">
        <f t="shared" si="297"/>
        <v>0</v>
      </c>
      <c r="F523" s="3050"/>
      <c r="G523" s="3051">
        <f t="shared" si="301"/>
        <v>0</v>
      </c>
      <c r="H523" s="3052">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49">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900">
        <f t="shared" si="298"/>
        <v>0</v>
      </c>
      <c r="AW523" s="900">
        <f t="shared" si="299"/>
        <v>0</v>
      </c>
      <c r="AX523" s="900">
        <f t="shared" si="300"/>
        <v>0</v>
      </c>
      <c r="AY523" s="3096">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3">
        <f t="shared" si="325"/>
        <v>0</v>
      </c>
    </row>
    <row r="524" spans="1:72">
      <c r="A524" s="3047"/>
      <c r="B524" s="3048"/>
      <c r="C524" s="3048"/>
      <c r="D524" s="3053"/>
      <c r="E524" s="3049">
        <f t="shared" si="297"/>
        <v>0</v>
      </c>
      <c r="F524" s="3050"/>
      <c r="G524" s="3051">
        <f t="shared" si="301"/>
        <v>0</v>
      </c>
      <c r="H524" s="3052">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49">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900">
        <f t="shared" si="298"/>
        <v>0</v>
      </c>
      <c r="AW524" s="900">
        <f t="shared" si="299"/>
        <v>0</v>
      </c>
      <c r="AX524" s="900">
        <f t="shared" si="300"/>
        <v>0</v>
      </c>
      <c r="AY524" s="3096">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3">
        <f t="shared" si="325"/>
        <v>0</v>
      </c>
    </row>
    <row r="525" spans="1:72">
      <c r="A525" s="3047"/>
      <c r="B525" s="3048"/>
      <c r="C525" s="3048"/>
      <c r="D525" s="3053"/>
      <c r="E525" s="3049">
        <f t="shared" si="297"/>
        <v>0</v>
      </c>
      <c r="F525" s="3050"/>
      <c r="G525" s="3051">
        <f t="shared" si="301"/>
        <v>0</v>
      </c>
      <c r="H525" s="3052">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49">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900">
        <f t="shared" si="298"/>
        <v>0</v>
      </c>
      <c r="AW525" s="900">
        <f t="shared" si="299"/>
        <v>0</v>
      </c>
      <c r="AX525" s="900">
        <f t="shared" si="300"/>
        <v>0</v>
      </c>
      <c r="AY525" s="3096">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3">
        <f t="shared" si="325"/>
        <v>0</v>
      </c>
    </row>
    <row r="526" spans="1:72">
      <c r="A526" s="3047"/>
      <c r="B526" s="3048"/>
      <c r="C526" s="3048"/>
      <c r="D526" s="3053"/>
      <c r="E526" s="3049">
        <f t="shared" si="297"/>
        <v>0</v>
      </c>
      <c r="F526" s="3050"/>
      <c r="G526" s="3051">
        <f t="shared" si="301"/>
        <v>0</v>
      </c>
      <c r="H526" s="3052">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49">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900">
        <f t="shared" si="298"/>
        <v>0</v>
      </c>
      <c r="AW526" s="900">
        <f t="shared" si="299"/>
        <v>0</v>
      </c>
      <c r="AX526" s="900">
        <f t="shared" si="300"/>
        <v>0</v>
      </c>
      <c r="AY526" s="3096">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3">
        <f t="shared" si="325"/>
        <v>0</v>
      </c>
    </row>
    <row r="527" spans="1:72">
      <c r="A527" s="3047"/>
      <c r="B527" s="3048"/>
      <c r="C527" s="3048"/>
      <c r="D527" s="3053"/>
      <c r="E527" s="3049">
        <f t="shared" si="297"/>
        <v>0</v>
      </c>
      <c r="F527" s="3050"/>
      <c r="G527" s="3051">
        <f t="shared" si="301"/>
        <v>0</v>
      </c>
      <c r="H527" s="3052">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49">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900">
        <f t="shared" si="298"/>
        <v>0</v>
      </c>
      <c r="AW527" s="900">
        <f t="shared" si="299"/>
        <v>0</v>
      </c>
      <c r="AX527" s="900">
        <f t="shared" si="300"/>
        <v>0</v>
      </c>
      <c r="AY527" s="3096">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3">
        <f t="shared" si="325"/>
        <v>0</v>
      </c>
    </row>
    <row r="528" spans="1:72">
      <c r="A528" s="3047"/>
      <c r="B528" s="3048"/>
      <c r="C528" s="3048"/>
      <c r="D528" s="3053"/>
      <c r="E528" s="3049">
        <f t="shared" si="297"/>
        <v>0</v>
      </c>
      <c r="F528" s="3050"/>
      <c r="G528" s="3051">
        <f t="shared" si="301"/>
        <v>0</v>
      </c>
      <c r="H528" s="3052">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49">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900">
        <f t="shared" si="298"/>
        <v>0</v>
      </c>
      <c r="AW528" s="900">
        <f t="shared" si="299"/>
        <v>0</v>
      </c>
      <c r="AX528" s="900">
        <f t="shared" si="300"/>
        <v>0</v>
      </c>
      <c r="AY528" s="3096">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3">
        <f t="shared" si="325"/>
        <v>0</v>
      </c>
    </row>
    <row r="529" spans="1:72">
      <c r="A529" s="3047"/>
      <c r="B529" s="3048"/>
      <c r="C529" s="3048"/>
      <c r="D529" s="3053"/>
      <c r="E529" s="3049">
        <f t="shared" si="297"/>
        <v>0</v>
      </c>
      <c r="F529" s="3050"/>
      <c r="G529" s="3051">
        <f t="shared" si="301"/>
        <v>0</v>
      </c>
      <c r="H529" s="3052">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49">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900">
        <f t="shared" si="298"/>
        <v>0</v>
      </c>
      <c r="AW529" s="900">
        <f t="shared" si="299"/>
        <v>0</v>
      </c>
      <c r="AX529" s="900">
        <f t="shared" si="300"/>
        <v>0</v>
      </c>
      <c r="AY529" s="3096">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3">
        <f t="shared" si="325"/>
        <v>0</v>
      </c>
    </row>
    <row r="530" spans="1:72">
      <c r="A530" s="3047"/>
      <c r="B530" s="3048"/>
      <c r="C530" s="3048"/>
      <c r="D530" s="3053"/>
      <c r="E530" s="3049">
        <f t="shared" si="297"/>
        <v>0</v>
      </c>
      <c r="F530" s="3050"/>
      <c r="G530" s="3051">
        <f t="shared" si="301"/>
        <v>0</v>
      </c>
      <c r="H530" s="3052">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49">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900">
        <f t="shared" si="298"/>
        <v>0</v>
      </c>
      <c r="AW530" s="900">
        <f t="shared" si="299"/>
        <v>0</v>
      </c>
      <c r="AX530" s="900">
        <f t="shared" si="300"/>
        <v>0</v>
      </c>
      <c r="AY530" s="3096">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3">
        <f t="shared" si="325"/>
        <v>0</v>
      </c>
    </row>
    <row r="531" spans="1:72">
      <c r="A531" s="3047"/>
      <c r="B531" s="3048"/>
      <c r="C531" s="3048"/>
      <c r="D531" s="3053"/>
      <c r="E531" s="3049">
        <f t="shared" si="297"/>
        <v>0</v>
      </c>
      <c r="F531" s="3050"/>
      <c r="G531" s="3051">
        <f t="shared" si="301"/>
        <v>0</v>
      </c>
      <c r="H531" s="3052">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49">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900">
        <f t="shared" si="298"/>
        <v>0</v>
      </c>
      <c r="AW531" s="900">
        <f t="shared" si="299"/>
        <v>0</v>
      </c>
      <c r="AX531" s="900">
        <f t="shared" si="300"/>
        <v>0</v>
      </c>
      <c r="AY531" s="3096">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3">
        <f t="shared" si="325"/>
        <v>0</v>
      </c>
    </row>
    <row r="532" spans="1:72">
      <c r="A532" s="3047"/>
      <c r="B532" s="3048"/>
      <c r="C532" s="3048"/>
      <c r="D532" s="3053"/>
      <c r="E532" s="3049">
        <f t="shared" si="297"/>
        <v>0</v>
      </c>
      <c r="F532" s="3050"/>
      <c r="G532" s="3051">
        <f t="shared" si="301"/>
        <v>0</v>
      </c>
      <c r="H532" s="3052">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49">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900">
        <f t="shared" si="298"/>
        <v>0</v>
      </c>
      <c r="AW532" s="900">
        <f t="shared" si="299"/>
        <v>0</v>
      </c>
      <c r="AX532" s="900">
        <f t="shared" si="300"/>
        <v>0</v>
      </c>
      <c r="AY532" s="3096">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3">
        <f t="shared" si="325"/>
        <v>0</v>
      </c>
    </row>
    <row r="533" spans="1:72">
      <c r="A533" s="3047"/>
      <c r="B533" s="3048"/>
      <c r="C533" s="3048"/>
      <c r="D533" s="3053"/>
      <c r="E533" s="3049">
        <f t="shared" si="297"/>
        <v>0</v>
      </c>
      <c r="F533" s="3050"/>
      <c r="G533" s="3051">
        <f t="shared" si="301"/>
        <v>0</v>
      </c>
      <c r="H533" s="3052">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49">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900">
        <f t="shared" si="298"/>
        <v>0</v>
      </c>
      <c r="AW533" s="900">
        <f t="shared" si="299"/>
        <v>0</v>
      </c>
      <c r="AX533" s="900">
        <f t="shared" si="300"/>
        <v>0</v>
      </c>
      <c r="AY533" s="3096">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3">
        <f t="shared" si="325"/>
        <v>0</v>
      </c>
    </row>
    <row r="534" spans="1:72">
      <c r="A534" s="3047"/>
      <c r="B534" s="3048"/>
      <c r="C534" s="3048"/>
      <c r="D534" s="3053"/>
      <c r="E534" s="3049">
        <f t="shared" si="297"/>
        <v>0</v>
      </c>
      <c r="F534" s="3050"/>
      <c r="G534" s="3051">
        <f t="shared" si="301"/>
        <v>0</v>
      </c>
      <c r="H534" s="3052">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49">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900">
        <f t="shared" si="298"/>
        <v>0</v>
      </c>
      <c r="AW534" s="900">
        <f t="shared" si="299"/>
        <v>0</v>
      </c>
      <c r="AX534" s="900">
        <f t="shared" si="300"/>
        <v>0</v>
      </c>
      <c r="AY534" s="3096">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3">
        <f t="shared" si="325"/>
        <v>0</v>
      </c>
    </row>
    <row r="535" spans="1:72">
      <c r="A535" s="3047"/>
      <c r="B535" s="3048"/>
      <c r="C535" s="3048"/>
      <c r="D535" s="3053"/>
      <c r="E535" s="3049">
        <f t="shared" si="297"/>
        <v>0</v>
      </c>
      <c r="F535" s="3050"/>
      <c r="G535" s="3051">
        <f t="shared" si="301"/>
        <v>0</v>
      </c>
      <c r="H535" s="3052">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49">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900">
        <f t="shared" si="298"/>
        <v>0</v>
      </c>
      <c r="AW535" s="900">
        <f t="shared" si="299"/>
        <v>0</v>
      </c>
      <c r="AX535" s="900">
        <f t="shared" si="300"/>
        <v>0</v>
      </c>
      <c r="AY535" s="3096">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3">
        <f t="shared" si="325"/>
        <v>0</v>
      </c>
    </row>
    <row r="536" spans="1:72">
      <c r="A536" s="3047"/>
      <c r="B536" s="3048"/>
      <c r="C536" s="3048"/>
      <c r="D536" s="3053"/>
      <c r="E536" s="3049">
        <f t="shared" si="297"/>
        <v>0</v>
      </c>
      <c r="F536" s="3050"/>
      <c r="G536" s="3051">
        <f t="shared" si="301"/>
        <v>0</v>
      </c>
      <c r="H536" s="3052">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49">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900">
        <f t="shared" si="298"/>
        <v>0</v>
      </c>
      <c r="AW536" s="900">
        <f t="shared" si="299"/>
        <v>0</v>
      </c>
      <c r="AX536" s="900">
        <f t="shared" si="300"/>
        <v>0</v>
      </c>
      <c r="AY536" s="3096">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3">
        <f t="shared" si="325"/>
        <v>0</v>
      </c>
    </row>
    <row r="537" spans="1:72">
      <c r="A537" s="3047"/>
      <c r="B537" s="3048"/>
      <c r="C537" s="3048"/>
      <c r="D537" s="3053"/>
      <c r="E537" s="3049">
        <f t="shared" si="297"/>
        <v>0</v>
      </c>
      <c r="F537" s="3050"/>
      <c r="G537" s="3051">
        <f t="shared" si="301"/>
        <v>0</v>
      </c>
      <c r="H537" s="3052">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49">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900">
        <f t="shared" si="298"/>
        <v>0</v>
      </c>
      <c r="AW537" s="900">
        <f t="shared" si="299"/>
        <v>0</v>
      </c>
      <c r="AX537" s="900">
        <f t="shared" si="300"/>
        <v>0</v>
      </c>
      <c r="AY537" s="3096">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3">
        <f t="shared" si="325"/>
        <v>0</v>
      </c>
    </row>
    <row r="538" spans="1:72">
      <c r="A538" s="3047"/>
      <c r="B538" s="3048"/>
      <c r="C538" s="3048"/>
      <c r="D538" s="3053"/>
      <c r="E538" s="3049">
        <f t="shared" si="297"/>
        <v>0</v>
      </c>
      <c r="F538" s="3050"/>
      <c r="G538" s="3051">
        <f t="shared" si="301"/>
        <v>0</v>
      </c>
      <c r="H538" s="3052">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49">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900">
        <f t="shared" si="298"/>
        <v>0</v>
      </c>
      <c r="AW538" s="900">
        <f t="shared" si="299"/>
        <v>0</v>
      </c>
      <c r="AX538" s="900">
        <f t="shared" si="300"/>
        <v>0</v>
      </c>
      <c r="AY538" s="3096">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3">
        <f t="shared" si="325"/>
        <v>0</v>
      </c>
    </row>
    <row r="539" spans="1:72">
      <c r="A539" s="3047"/>
      <c r="B539" s="3048"/>
      <c r="C539" s="3048"/>
      <c r="D539" s="3053"/>
      <c r="E539" s="3049">
        <f t="shared" si="297"/>
        <v>0</v>
      </c>
      <c r="F539" s="3050"/>
      <c r="G539" s="3051">
        <f t="shared" si="301"/>
        <v>0</v>
      </c>
      <c r="H539" s="3052">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49">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900">
        <f t="shared" si="298"/>
        <v>0</v>
      </c>
      <c r="AW539" s="900">
        <f t="shared" si="299"/>
        <v>0</v>
      </c>
      <c r="AX539" s="900">
        <f t="shared" si="300"/>
        <v>0</v>
      </c>
      <c r="AY539" s="3096">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3">
        <f t="shared" si="325"/>
        <v>0</v>
      </c>
    </row>
    <row r="540" spans="1:72">
      <c r="A540" s="3047"/>
      <c r="B540" s="3048"/>
      <c r="C540" s="3048"/>
      <c r="D540" s="3053"/>
      <c r="E540" s="3049">
        <f t="shared" si="297"/>
        <v>0</v>
      </c>
      <c r="F540" s="3050"/>
      <c r="G540" s="3051">
        <f t="shared" si="301"/>
        <v>0</v>
      </c>
      <c r="H540" s="3052">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49">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900">
        <f t="shared" si="298"/>
        <v>0</v>
      </c>
      <c r="AW540" s="900">
        <f t="shared" si="299"/>
        <v>0</v>
      </c>
      <c r="AX540" s="900">
        <f t="shared" si="300"/>
        <v>0</v>
      </c>
      <c r="AY540" s="3096">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3">
        <f t="shared" si="325"/>
        <v>0</v>
      </c>
    </row>
    <row r="541" spans="1:72">
      <c r="A541" s="3047"/>
      <c r="B541" s="3048"/>
      <c r="C541" s="3048"/>
      <c r="D541" s="3053"/>
      <c r="E541" s="3049">
        <f t="shared" si="297"/>
        <v>0</v>
      </c>
      <c r="F541" s="3050"/>
      <c r="G541" s="3051">
        <f t="shared" si="301"/>
        <v>0</v>
      </c>
      <c r="H541" s="3052">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49">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900">
        <f t="shared" si="298"/>
        <v>0</v>
      </c>
      <c r="AW541" s="900">
        <f t="shared" si="299"/>
        <v>0</v>
      </c>
      <c r="AX541" s="900">
        <f t="shared" si="300"/>
        <v>0</v>
      </c>
      <c r="AY541" s="3096">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3">
        <f t="shared" si="325"/>
        <v>0</v>
      </c>
    </row>
    <row r="542" spans="1:72">
      <c r="A542" s="3047"/>
      <c r="B542" s="3048"/>
      <c r="C542" s="3048"/>
      <c r="D542" s="3053"/>
      <c r="E542" s="3049">
        <f t="shared" si="297"/>
        <v>0</v>
      </c>
      <c r="F542" s="3050"/>
      <c r="G542" s="3051">
        <f t="shared" si="301"/>
        <v>0</v>
      </c>
      <c r="H542" s="3052">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49">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900">
        <f t="shared" si="298"/>
        <v>0</v>
      </c>
      <c r="AW542" s="900">
        <f t="shared" si="299"/>
        <v>0</v>
      </c>
      <c r="AX542" s="900">
        <f t="shared" si="300"/>
        <v>0</v>
      </c>
      <c r="AY542" s="3096">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3">
        <f t="shared" si="325"/>
        <v>0</v>
      </c>
    </row>
    <row r="543" spans="1:72">
      <c r="A543" s="3047"/>
      <c r="B543" s="3048"/>
      <c r="C543" s="3048"/>
      <c r="D543" s="3053"/>
      <c r="E543" s="3049">
        <f t="shared" si="297"/>
        <v>0</v>
      </c>
      <c r="F543" s="3050"/>
      <c r="G543" s="3051">
        <f t="shared" si="301"/>
        <v>0</v>
      </c>
      <c r="H543" s="3052">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49">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900">
        <f t="shared" si="298"/>
        <v>0</v>
      </c>
      <c r="AW543" s="900">
        <f t="shared" si="299"/>
        <v>0</v>
      </c>
      <c r="AX543" s="900">
        <f t="shared" si="300"/>
        <v>0</v>
      </c>
      <c r="AY543" s="3096">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3">
        <f t="shared" si="325"/>
        <v>0</v>
      </c>
    </row>
    <row r="544" spans="1:72">
      <c r="A544" s="3047"/>
      <c r="B544" s="3048"/>
      <c r="C544" s="3048"/>
      <c r="D544" s="3053"/>
      <c r="E544" s="3049">
        <f t="shared" si="297"/>
        <v>0</v>
      </c>
      <c r="F544" s="3050"/>
      <c r="G544" s="3051">
        <f t="shared" si="301"/>
        <v>0</v>
      </c>
      <c r="H544" s="3052">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49">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900">
        <f t="shared" si="298"/>
        <v>0</v>
      </c>
      <c r="AW544" s="900">
        <f t="shared" si="299"/>
        <v>0</v>
      </c>
      <c r="AX544" s="900">
        <f t="shared" si="300"/>
        <v>0</v>
      </c>
      <c r="AY544" s="3096">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3">
        <f t="shared" si="325"/>
        <v>0</v>
      </c>
    </row>
    <row r="545" spans="1:72">
      <c r="A545" s="3047"/>
      <c r="B545" s="3048"/>
      <c r="C545" s="3048"/>
      <c r="D545" s="3053"/>
      <c r="E545" s="3049">
        <f t="shared" si="297"/>
        <v>0</v>
      </c>
      <c r="F545" s="3050"/>
      <c r="G545" s="3051">
        <f t="shared" si="301"/>
        <v>0</v>
      </c>
      <c r="H545" s="3052">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49">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900">
        <f t="shared" si="298"/>
        <v>0</v>
      </c>
      <c r="AW545" s="900">
        <f t="shared" si="299"/>
        <v>0</v>
      </c>
      <c r="AX545" s="900">
        <f t="shared" si="300"/>
        <v>0</v>
      </c>
      <c r="AY545" s="3096">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3">
        <f t="shared" si="325"/>
        <v>0</v>
      </c>
    </row>
    <row r="546" spans="1:72">
      <c r="A546" s="3047"/>
      <c r="B546" s="3048"/>
      <c r="C546" s="3048"/>
      <c r="D546" s="3053"/>
      <c r="E546" s="3049">
        <f t="shared" si="297"/>
        <v>0</v>
      </c>
      <c r="F546" s="3050"/>
      <c r="G546" s="3051">
        <f t="shared" si="301"/>
        <v>0</v>
      </c>
      <c r="H546" s="3052">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49">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900">
        <f t="shared" si="298"/>
        <v>0</v>
      </c>
      <c r="AW546" s="900">
        <f t="shared" si="299"/>
        <v>0</v>
      </c>
      <c r="AX546" s="900">
        <f t="shared" si="300"/>
        <v>0</v>
      </c>
      <c r="AY546" s="3096">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3">
        <f t="shared" si="325"/>
        <v>0</v>
      </c>
    </row>
    <row r="547" spans="1:72">
      <c r="A547" s="3047"/>
      <c r="B547" s="3048"/>
      <c r="C547" s="3048"/>
      <c r="D547" s="3053"/>
      <c r="E547" s="3049">
        <f t="shared" si="297"/>
        <v>0</v>
      </c>
      <c r="F547" s="3050"/>
      <c r="G547" s="3051">
        <f t="shared" si="301"/>
        <v>0</v>
      </c>
      <c r="H547" s="3052">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49">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900">
        <f t="shared" si="298"/>
        <v>0</v>
      </c>
      <c r="AW547" s="900">
        <f t="shared" si="299"/>
        <v>0</v>
      </c>
      <c r="AX547" s="900">
        <f t="shared" si="300"/>
        <v>0</v>
      </c>
      <c r="AY547" s="3096">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3">
        <f t="shared" si="325"/>
        <v>0</v>
      </c>
    </row>
    <row r="548" spans="1:72">
      <c r="A548" s="3047"/>
      <c r="B548" s="3048"/>
      <c r="C548" s="3048"/>
      <c r="D548" s="3053"/>
      <c r="E548" s="3049">
        <f t="shared" si="297"/>
        <v>0</v>
      </c>
      <c r="F548" s="3050"/>
      <c r="G548" s="3051">
        <f t="shared" si="301"/>
        <v>0</v>
      </c>
      <c r="H548" s="3052">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49">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900">
        <f t="shared" si="298"/>
        <v>0</v>
      </c>
      <c r="AW548" s="900">
        <f t="shared" si="299"/>
        <v>0</v>
      </c>
      <c r="AX548" s="900">
        <f t="shared" si="300"/>
        <v>0</v>
      </c>
      <c r="AY548" s="3096">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3">
        <f t="shared" si="325"/>
        <v>0</v>
      </c>
    </row>
    <row r="549" spans="1:72">
      <c r="A549" s="3047"/>
      <c r="B549" s="3048"/>
      <c r="C549" s="3048"/>
      <c r="D549" s="3053"/>
      <c r="E549" s="3049">
        <f t="shared" si="297"/>
        <v>0</v>
      </c>
      <c r="F549" s="3050"/>
      <c r="G549" s="3051">
        <f t="shared" si="301"/>
        <v>0</v>
      </c>
      <c r="H549" s="3052">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49">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900">
        <f t="shared" si="298"/>
        <v>0</v>
      </c>
      <c r="AW549" s="900">
        <f t="shared" si="299"/>
        <v>0</v>
      </c>
      <c r="AX549" s="900">
        <f t="shared" si="300"/>
        <v>0</v>
      </c>
      <c r="AY549" s="3096">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3">
        <f t="shared" si="325"/>
        <v>0</v>
      </c>
    </row>
    <row r="550" spans="1:72">
      <c r="A550" s="3047"/>
      <c r="B550" s="3048"/>
      <c r="C550" s="3048"/>
      <c r="D550" s="3053"/>
      <c r="E550" s="3049">
        <f t="shared" si="297"/>
        <v>0</v>
      </c>
      <c r="F550" s="3050"/>
      <c r="G550" s="3051">
        <f t="shared" si="301"/>
        <v>0</v>
      </c>
      <c r="H550" s="3052">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49">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900">
        <f t="shared" si="298"/>
        <v>0</v>
      </c>
      <c r="AW550" s="900">
        <f t="shared" si="299"/>
        <v>0</v>
      </c>
      <c r="AX550" s="900">
        <f t="shared" si="300"/>
        <v>0</v>
      </c>
      <c r="AY550" s="3096">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3">
        <f t="shared" si="325"/>
        <v>0</v>
      </c>
    </row>
    <row r="551" spans="1:72">
      <c r="A551" s="3047"/>
      <c r="B551" s="3048"/>
      <c r="C551" s="3048"/>
      <c r="D551" s="3053"/>
      <c r="E551" s="3049">
        <f t="shared" si="297"/>
        <v>0</v>
      </c>
      <c r="F551" s="3050"/>
      <c r="G551" s="3051">
        <f t="shared" si="301"/>
        <v>0</v>
      </c>
      <c r="H551" s="3052">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49">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900">
        <f t="shared" si="298"/>
        <v>0</v>
      </c>
      <c r="AW551" s="900">
        <f t="shared" si="299"/>
        <v>0</v>
      </c>
      <c r="AX551" s="900">
        <f t="shared" si="300"/>
        <v>0</v>
      </c>
      <c r="AY551" s="3096">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3">
        <f t="shared" si="325"/>
        <v>0</v>
      </c>
    </row>
    <row r="552" spans="1:72">
      <c r="A552" s="3047"/>
      <c r="B552" s="3048"/>
      <c r="C552" s="3048"/>
      <c r="D552" s="3053"/>
      <c r="E552" s="3049">
        <f t="shared" ref="E552:E587" si="326">IF($C$3="是",ROUND($A$3*G552/$B$3,2),ROUND($A$3*(G552-AT552)/$B$3,2))</f>
        <v>0</v>
      </c>
      <c r="F552" s="3050"/>
      <c r="G552" s="3051">
        <f t="shared" si="301"/>
        <v>0</v>
      </c>
      <c r="H552" s="3052">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49">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900">
        <f t="shared" si="298"/>
        <v>0</v>
      </c>
      <c r="AW552" s="900">
        <f t="shared" si="299"/>
        <v>0</v>
      </c>
      <c r="AX552" s="900">
        <f t="shared" si="300"/>
        <v>0</v>
      </c>
      <c r="AY552" s="3096">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3">
        <f t="shared" si="325"/>
        <v>0</v>
      </c>
    </row>
    <row r="553" spans="1:72">
      <c r="A553" s="3047"/>
      <c r="B553" s="3048"/>
      <c r="C553" s="3048"/>
      <c r="D553" s="3053"/>
      <c r="E553" s="3049">
        <f t="shared" si="326"/>
        <v>0</v>
      </c>
      <c r="F553" s="3050"/>
      <c r="G553" s="3051">
        <f t="shared" ref="G553:G587" si="327">H553+AC553+AT553</f>
        <v>0</v>
      </c>
      <c r="H553" s="3052">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49">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900">
        <f t="shared" ref="AV553:AV587" si="330">A553</f>
        <v>0</v>
      </c>
      <c r="AW553" s="900">
        <f t="shared" ref="AW553:AW587" si="331">B553</f>
        <v>0</v>
      </c>
      <c r="AX553" s="900">
        <f t="shared" ref="AX553:AX587" si="332">C553</f>
        <v>0</v>
      </c>
      <c r="AY553" s="3096">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3">
        <f t="shared" ref="BT553:BT587" si="354">IF($D553="是",AR553-AS553,0)</f>
        <v>0</v>
      </c>
    </row>
    <row r="554" spans="1:72">
      <c r="A554" s="3047"/>
      <c r="B554" s="3048"/>
      <c r="C554" s="3048"/>
      <c r="D554" s="3053"/>
      <c r="E554" s="3049">
        <f t="shared" si="326"/>
        <v>0</v>
      </c>
      <c r="F554" s="3050"/>
      <c r="G554" s="3051">
        <f t="shared" si="327"/>
        <v>0</v>
      </c>
      <c r="H554" s="3052">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49">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900">
        <f t="shared" si="330"/>
        <v>0</v>
      </c>
      <c r="AW554" s="900">
        <f t="shared" si="331"/>
        <v>0</v>
      </c>
      <c r="AX554" s="900">
        <f t="shared" si="332"/>
        <v>0</v>
      </c>
      <c r="AY554" s="3096">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3">
        <f t="shared" si="354"/>
        <v>0</v>
      </c>
    </row>
    <row r="555" spans="1:72">
      <c r="A555" s="3047"/>
      <c r="B555" s="3048"/>
      <c r="C555" s="3048"/>
      <c r="D555" s="3053"/>
      <c r="E555" s="3049">
        <f t="shared" si="326"/>
        <v>0</v>
      </c>
      <c r="F555" s="3050"/>
      <c r="G555" s="3051">
        <f t="shared" si="327"/>
        <v>0</v>
      </c>
      <c r="H555" s="3052">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49">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900">
        <f t="shared" si="330"/>
        <v>0</v>
      </c>
      <c r="AW555" s="900">
        <f t="shared" si="331"/>
        <v>0</v>
      </c>
      <c r="AX555" s="900">
        <f t="shared" si="332"/>
        <v>0</v>
      </c>
      <c r="AY555" s="3096">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3">
        <f t="shared" si="354"/>
        <v>0</v>
      </c>
    </row>
    <row r="556" spans="1:72">
      <c r="A556" s="3047"/>
      <c r="B556" s="3048"/>
      <c r="C556" s="3048"/>
      <c r="D556" s="3053"/>
      <c r="E556" s="3049">
        <f t="shared" si="326"/>
        <v>0</v>
      </c>
      <c r="F556" s="3050"/>
      <c r="G556" s="3051">
        <f t="shared" si="327"/>
        <v>0</v>
      </c>
      <c r="H556" s="3052">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49">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900">
        <f t="shared" si="330"/>
        <v>0</v>
      </c>
      <c r="AW556" s="900">
        <f t="shared" si="331"/>
        <v>0</v>
      </c>
      <c r="AX556" s="900">
        <f t="shared" si="332"/>
        <v>0</v>
      </c>
      <c r="AY556" s="3096">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3">
        <f t="shared" si="354"/>
        <v>0</v>
      </c>
    </row>
    <row r="557" spans="1:72">
      <c r="A557" s="3047"/>
      <c r="B557" s="3048"/>
      <c r="C557" s="3048"/>
      <c r="D557" s="3053"/>
      <c r="E557" s="3049">
        <f t="shared" si="326"/>
        <v>0</v>
      </c>
      <c r="F557" s="3050"/>
      <c r="G557" s="3051">
        <f t="shared" si="327"/>
        <v>0</v>
      </c>
      <c r="H557" s="3052">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49">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900">
        <f t="shared" si="330"/>
        <v>0</v>
      </c>
      <c r="AW557" s="900">
        <f t="shared" si="331"/>
        <v>0</v>
      </c>
      <c r="AX557" s="900">
        <f t="shared" si="332"/>
        <v>0</v>
      </c>
      <c r="AY557" s="3096">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3">
        <f t="shared" si="354"/>
        <v>0</v>
      </c>
    </row>
    <row r="558" spans="1:72">
      <c r="A558" s="3047"/>
      <c r="B558" s="3048"/>
      <c r="C558" s="3048"/>
      <c r="D558" s="3053"/>
      <c r="E558" s="3049">
        <f t="shared" si="326"/>
        <v>0</v>
      </c>
      <c r="F558" s="3050"/>
      <c r="G558" s="3051">
        <f t="shared" si="327"/>
        <v>0</v>
      </c>
      <c r="H558" s="3052">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49">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900">
        <f t="shared" si="330"/>
        <v>0</v>
      </c>
      <c r="AW558" s="900">
        <f t="shared" si="331"/>
        <v>0</v>
      </c>
      <c r="AX558" s="900">
        <f t="shared" si="332"/>
        <v>0</v>
      </c>
      <c r="AY558" s="3096">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3">
        <f t="shared" si="354"/>
        <v>0</v>
      </c>
    </row>
    <row r="559" spans="1:72">
      <c r="A559" s="3047"/>
      <c r="B559" s="3048"/>
      <c r="C559" s="3048"/>
      <c r="D559" s="3053"/>
      <c r="E559" s="3049">
        <f t="shared" si="326"/>
        <v>0</v>
      </c>
      <c r="F559" s="3050"/>
      <c r="G559" s="3051">
        <f t="shared" si="327"/>
        <v>0</v>
      </c>
      <c r="H559" s="3052">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49">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900">
        <f t="shared" si="330"/>
        <v>0</v>
      </c>
      <c r="AW559" s="900">
        <f t="shared" si="331"/>
        <v>0</v>
      </c>
      <c r="AX559" s="900">
        <f t="shared" si="332"/>
        <v>0</v>
      </c>
      <c r="AY559" s="3096">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3">
        <f t="shared" si="354"/>
        <v>0</v>
      </c>
    </row>
    <row r="560" spans="1:72">
      <c r="A560" s="3047"/>
      <c r="B560" s="3048"/>
      <c r="C560" s="3048"/>
      <c r="D560" s="3053"/>
      <c r="E560" s="3049">
        <f t="shared" si="326"/>
        <v>0</v>
      </c>
      <c r="F560" s="3050"/>
      <c r="G560" s="3051">
        <f t="shared" si="327"/>
        <v>0</v>
      </c>
      <c r="H560" s="3052">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49">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900">
        <f t="shared" si="330"/>
        <v>0</v>
      </c>
      <c r="AW560" s="900">
        <f t="shared" si="331"/>
        <v>0</v>
      </c>
      <c r="AX560" s="900">
        <f t="shared" si="332"/>
        <v>0</v>
      </c>
      <c r="AY560" s="3096">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3">
        <f t="shared" si="354"/>
        <v>0</v>
      </c>
    </row>
    <row r="561" spans="1:72">
      <c r="A561" s="3047"/>
      <c r="B561" s="3048"/>
      <c r="C561" s="3048"/>
      <c r="D561" s="3053"/>
      <c r="E561" s="3049">
        <f t="shared" si="326"/>
        <v>0</v>
      </c>
      <c r="F561" s="3050"/>
      <c r="G561" s="3051">
        <f t="shared" si="327"/>
        <v>0</v>
      </c>
      <c r="H561" s="3052">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49">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900">
        <f t="shared" si="330"/>
        <v>0</v>
      </c>
      <c r="AW561" s="900">
        <f t="shared" si="331"/>
        <v>0</v>
      </c>
      <c r="AX561" s="900">
        <f t="shared" si="332"/>
        <v>0</v>
      </c>
      <c r="AY561" s="3096">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3">
        <f t="shared" si="354"/>
        <v>0</v>
      </c>
    </row>
    <row r="562" spans="1:72">
      <c r="A562" s="3047"/>
      <c r="B562" s="3048"/>
      <c r="C562" s="3048"/>
      <c r="D562" s="3053"/>
      <c r="E562" s="3049">
        <f t="shared" si="326"/>
        <v>0</v>
      </c>
      <c r="F562" s="3050"/>
      <c r="G562" s="3051">
        <f t="shared" si="327"/>
        <v>0</v>
      </c>
      <c r="H562" s="3052">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49">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900">
        <f t="shared" si="330"/>
        <v>0</v>
      </c>
      <c r="AW562" s="900">
        <f t="shared" si="331"/>
        <v>0</v>
      </c>
      <c r="AX562" s="900">
        <f t="shared" si="332"/>
        <v>0</v>
      </c>
      <c r="AY562" s="3096">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3">
        <f t="shared" si="354"/>
        <v>0</v>
      </c>
    </row>
    <row r="563" spans="1:72">
      <c r="A563" s="3047"/>
      <c r="B563" s="3048"/>
      <c r="C563" s="3048"/>
      <c r="D563" s="3053"/>
      <c r="E563" s="3049">
        <f t="shared" si="326"/>
        <v>0</v>
      </c>
      <c r="F563" s="3050"/>
      <c r="G563" s="3051">
        <f t="shared" si="327"/>
        <v>0</v>
      </c>
      <c r="H563" s="3052">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49">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900">
        <f t="shared" si="330"/>
        <v>0</v>
      </c>
      <c r="AW563" s="900">
        <f t="shared" si="331"/>
        <v>0</v>
      </c>
      <c r="AX563" s="900">
        <f t="shared" si="332"/>
        <v>0</v>
      </c>
      <c r="AY563" s="3096">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3">
        <f t="shared" si="354"/>
        <v>0</v>
      </c>
    </row>
    <row r="564" spans="1:72">
      <c r="A564" s="3047"/>
      <c r="B564" s="3048"/>
      <c r="C564" s="3048"/>
      <c r="D564" s="3053"/>
      <c r="E564" s="3049">
        <f t="shared" si="326"/>
        <v>0</v>
      </c>
      <c r="F564" s="3050"/>
      <c r="G564" s="3051">
        <f t="shared" si="327"/>
        <v>0</v>
      </c>
      <c r="H564" s="3052">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49">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900">
        <f t="shared" si="330"/>
        <v>0</v>
      </c>
      <c r="AW564" s="900">
        <f t="shared" si="331"/>
        <v>0</v>
      </c>
      <c r="AX564" s="900">
        <f t="shared" si="332"/>
        <v>0</v>
      </c>
      <c r="AY564" s="3096">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3">
        <f t="shared" si="354"/>
        <v>0</v>
      </c>
    </row>
    <row r="565" spans="1:72">
      <c r="A565" s="3047"/>
      <c r="B565" s="3048"/>
      <c r="C565" s="3048"/>
      <c r="D565" s="3053"/>
      <c r="E565" s="3049">
        <f t="shared" si="326"/>
        <v>0</v>
      </c>
      <c r="F565" s="3050"/>
      <c r="G565" s="3051">
        <f t="shared" si="327"/>
        <v>0</v>
      </c>
      <c r="H565" s="3052">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49">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900">
        <f t="shared" si="330"/>
        <v>0</v>
      </c>
      <c r="AW565" s="900">
        <f t="shared" si="331"/>
        <v>0</v>
      </c>
      <c r="AX565" s="900">
        <f t="shared" si="332"/>
        <v>0</v>
      </c>
      <c r="AY565" s="3096">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3">
        <f t="shared" si="354"/>
        <v>0</v>
      </c>
    </row>
    <row r="566" spans="1:72">
      <c r="A566" s="3047"/>
      <c r="B566" s="3048"/>
      <c r="C566" s="3048"/>
      <c r="D566" s="3053"/>
      <c r="E566" s="3049">
        <f t="shared" si="326"/>
        <v>0</v>
      </c>
      <c r="F566" s="3050"/>
      <c r="G566" s="3051">
        <f t="shared" si="327"/>
        <v>0</v>
      </c>
      <c r="H566" s="3052">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49">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900">
        <f t="shared" si="330"/>
        <v>0</v>
      </c>
      <c r="AW566" s="900">
        <f t="shared" si="331"/>
        <v>0</v>
      </c>
      <c r="AX566" s="900">
        <f t="shared" si="332"/>
        <v>0</v>
      </c>
      <c r="AY566" s="3096">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3">
        <f t="shared" si="354"/>
        <v>0</v>
      </c>
    </row>
    <row r="567" spans="1:72">
      <c r="A567" s="3047"/>
      <c r="B567" s="3048"/>
      <c r="C567" s="3048"/>
      <c r="D567" s="3053"/>
      <c r="E567" s="3049">
        <f t="shared" si="326"/>
        <v>0</v>
      </c>
      <c r="F567" s="3050"/>
      <c r="G567" s="3051">
        <f t="shared" si="327"/>
        <v>0</v>
      </c>
      <c r="H567" s="3052">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49">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900">
        <f t="shared" si="330"/>
        <v>0</v>
      </c>
      <c r="AW567" s="900">
        <f t="shared" si="331"/>
        <v>0</v>
      </c>
      <c r="AX567" s="900">
        <f t="shared" si="332"/>
        <v>0</v>
      </c>
      <c r="AY567" s="3096">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3">
        <f t="shared" si="354"/>
        <v>0</v>
      </c>
    </row>
    <row r="568" spans="1:72">
      <c r="A568" s="3047"/>
      <c r="B568" s="3048"/>
      <c r="C568" s="3048"/>
      <c r="D568" s="3053"/>
      <c r="E568" s="3049">
        <f t="shared" si="326"/>
        <v>0</v>
      </c>
      <c r="F568" s="3050"/>
      <c r="G568" s="3051">
        <f t="shared" si="327"/>
        <v>0</v>
      </c>
      <c r="H568" s="3052">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49">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900">
        <f t="shared" si="330"/>
        <v>0</v>
      </c>
      <c r="AW568" s="900">
        <f t="shared" si="331"/>
        <v>0</v>
      </c>
      <c r="AX568" s="900">
        <f t="shared" si="332"/>
        <v>0</v>
      </c>
      <c r="AY568" s="3096">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3">
        <f t="shared" si="354"/>
        <v>0</v>
      </c>
    </row>
    <row r="569" spans="1:72">
      <c r="A569" s="3047"/>
      <c r="B569" s="3048"/>
      <c r="C569" s="3048"/>
      <c r="D569" s="3053"/>
      <c r="E569" s="3049">
        <f t="shared" si="326"/>
        <v>0</v>
      </c>
      <c r="F569" s="3050"/>
      <c r="G569" s="3051">
        <f t="shared" si="327"/>
        <v>0</v>
      </c>
      <c r="H569" s="3052">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49">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900">
        <f t="shared" si="330"/>
        <v>0</v>
      </c>
      <c r="AW569" s="900">
        <f t="shared" si="331"/>
        <v>0</v>
      </c>
      <c r="AX569" s="900">
        <f t="shared" si="332"/>
        <v>0</v>
      </c>
      <c r="AY569" s="3096">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3">
        <f t="shared" si="354"/>
        <v>0</v>
      </c>
    </row>
    <row r="570" spans="1:72">
      <c r="A570" s="3047"/>
      <c r="B570" s="3048"/>
      <c r="C570" s="3048"/>
      <c r="D570" s="3053"/>
      <c r="E570" s="3049">
        <f t="shared" si="326"/>
        <v>0</v>
      </c>
      <c r="F570" s="3050"/>
      <c r="G570" s="3051">
        <f t="shared" si="327"/>
        <v>0</v>
      </c>
      <c r="H570" s="3052">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49">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900">
        <f t="shared" si="330"/>
        <v>0</v>
      </c>
      <c r="AW570" s="900">
        <f t="shared" si="331"/>
        <v>0</v>
      </c>
      <c r="AX570" s="900">
        <f t="shared" si="332"/>
        <v>0</v>
      </c>
      <c r="AY570" s="3096">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3">
        <f t="shared" si="354"/>
        <v>0</v>
      </c>
    </row>
    <row r="571" spans="1:72">
      <c r="A571" s="3047"/>
      <c r="B571" s="3048"/>
      <c r="C571" s="3048"/>
      <c r="D571" s="3053"/>
      <c r="E571" s="3049">
        <f t="shared" si="326"/>
        <v>0</v>
      </c>
      <c r="F571" s="3050"/>
      <c r="G571" s="3051">
        <f t="shared" si="327"/>
        <v>0</v>
      </c>
      <c r="H571" s="3052">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49">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900">
        <f t="shared" si="330"/>
        <v>0</v>
      </c>
      <c r="AW571" s="900">
        <f t="shared" si="331"/>
        <v>0</v>
      </c>
      <c r="AX571" s="900">
        <f t="shared" si="332"/>
        <v>0</v>
      </c>
      <c r="AY571" s="3096">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3">
        <f t="shared" si="354"/>
        <v>0</v>
      </c>
    </row>
    <row r="572" spans="1:72">
      <c r="A572" s="3047"/>
      <c r="B572" s="3048"/>
      <c r="C572" s="3048"/>
      <c r="D572" s="3053"/>
      <c r="E572" s="3049">
        <f t="shared" si="326"/>
        <v>0</v>
      </c>
      <c r="F572" s="3050"/>
      <c r="G572" s="3051">
        <f t="shared" si="327"/>
        <v>0</v>
      </c>
      <c r="H572" s="3052">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49">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900">
        <f t="shared" si="330"/>
        <v>0</v>
      </c>
      <c r="AW572" s="900">
        <f t="shared" si="331"/>
        <v>0</v>
      </c>
      <c r="AX572" s="900">
        <f t="shared" si="332"/>
        <v>0</v>
      </c>
      <c r="AY572" s="3096">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3">
        <f t="shared" si="354"/>
        <v>0</v>
      </c>
    </row>
    <row r="573" spans="1:72">
      <c r="A573" s="3047"/>
      <c r="B573" s="3048"/>
      <c r="C573" s="3048"/>
      <c r="D573" s="3053"/>
      <c r="E573" s="3049">
        <f t="shared" si="326"/>
        <v>0</v>
      </c>
      <c r="F573" s="3050"/>
      <c r="G573" s="3051">
        <f t="shared" si="327"/>
        <v>0</v>
      </c>
      <c r="H573" s="3052">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49">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900">
        <f t="shared" si="330"/>
        <v>0</v>
      </c>
      <c r="AW573" s="900">
        <f t="shared" si="331"/>
        <v>0</v>
      </c>
      <c r="AX573" s="900">
        <f t="shared" si="332"/>
        <v>0</v>
      </c>
      <c r="AY573" s="3096">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3">
        <f t="shared" si="354"/>
        <v>0</v>
      </c>
    </row>
    <row r="574" spans="1:72">
      <c r="A574" s="3047"/>
      <c r="B574" s="3048"/>
      <c r="C574" s="3048"/>
      <c r="D574" s="3053"/>
      <c r="E574" s="3049">
        <f t="shared" si="326"/>
        <v>0</v>
      </c>
      <c r="F574" s="3050"/>
      <c r="G574" s="3051">
        <f t="shared" si="327"/>
        <v>0</v>
      </c>
      <c r="H574" s="3052">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49">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900">
        <f t="shared" si="330"/>
        <v>0</v>
      </c>
      <c r="AW574" s="900">
        <f t="shared" si="331"/>
        <v>0</v>
      </c>
      <c r="AX574" s="900">
        <f t="shared" si="332"/>
        <v>0</v>
      </c>
      <c r="AY574" s="3096">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3">
        <f t="shared" si="354"/>
        <v>0</v>
      </c>
    </row>
    <row r="575" spans="1:72">
      <c r="A575" s="3047"/>
      <c r="B575" s="3048"/>
      <c r="C575" s="3048"/>
      <c r="D575" s="3053"/>
      <c r="E575" s="3049">
        <f t="shared" si="326"/>
        <v>0</v>
      </c>
      <c r="F575" s="3050"/>
      <c r="G575" s="3051">
        <f t="shared" si="327"/>
        <v>0</v>
      </c>
      <c r="H575" s="3052">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49">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900">
        <f t="shared" si="330"/>
        <v>0</v>
      </c>
      <c r="AW575" s="900">
        <f t="shared" si="331"/>
        <v>0</v>
      </c>
      <c r="AX575" s="900">
        <f t="shared" si="332"/>
        <v>0</v>
      </c>
      <c r="AY575" s="3096">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3">
        <f t="shared" si="354"/>
        <v>0</v>
      </c>
    </row>
    <row r="576" spans="1:72">
      <c r="A576" s="3047"/>
      <c r="B576" s="3048"/>
      <c r="C576" s="3048"/>
      <c r="D576" s="3053"/>
      <c r="E576" s="3049">
        <f t="shared" si="326"/>
        <v>0</v>
      </c>
      <c r="F576" s="3050"/>
      <c r="G576" s="3051">
        <f t="shared" si="327"/>
        <v>0</v>
      </c>
      <c r="H576" s="3052">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49">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900">
        <f t="shared" si="330"/>
        <v>0</v>
      </c>
      <c r="AW576" s="900">
        <f t="shared" si="331"/>
        <v>0</v>
      </c>
      <c r="AX576" s="900">
        <f t="shared" si="332"/>
        <v>0</v>
      </c>
      <c r="AY576" s="3096">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3">
        <f t="shared" si="354"/>
        <v>0</v>
      </c>
    </row>
    <row r="577" spans="1:72">
      <c r="A577" s="3047"/>
      <c r="B577" s="3048"/>
      <c r="C577" s="3048"/>
      <c r="D577" s="3053"/>
      <c r="E577" s="3049">
        <f t="shared" si="326"/>
        <v>0</v>
      </c>
      <c r="F577" s="3050"/>
      <c r="G577" s="3051">
        <f t="shared" si="327"/>
        <v>0</v>
      </c>
      <c r="H577" s="3052">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49">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900">
        <f t="shared" si="330"/>
        <v>0</v>
      </c>
      <c r="AW577" s="900">
        <f t="shared" si="331"/>
        <v>0</v>
      </c>
      <c r="AX577" s="900">
        <f t="shared" si="332"/>
        <v>0</v>
      </c>
      <c r="AY577" s="3096">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3">
        <f t="shared" si="354"/>
        <v>0</v>
      </c>
    </row>
    <row r="578" spans="1:72">
      <c r="A578" s="3047"/>
      <c r="B578" s="3048"/>
      <c r="C578" s="3048"/>
      <c r="D578" s="3053"/>
      <c r="E578" s="3049">
        <f t="shared" si="326"/>
        <v>0</v>
      </c>
      <c r="F578" s="3050"/>
      <c r="G578" s="3051">
        <f t="shared" si="327"/>
        <v>0</v>
      </c>
      <c r="H578" s="3052">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49">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900">
        <f t="shared" si="330"/>
        <v>0</v>
      </c>
      <c r="AW578" s="900">
        <f t="shared" si="331"/>
        <v>0</v>
      </c>
      <c r="AX578" s="900">
        <f t="shared" si="332"/>
        <v>0</v>
      </c>
      <c r="AY578" s="3096">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3">
        <f t="shared" si="354"/>
        <v>0</v>
      </c>
    </row>
    <row r="579" spans="1:72">
      <c r="A579" s="3047"/>
      <c r="B579" s="3048"/>
      <c r="C579" s="3048"/>
      <c r="D579" s="3053"/>
      <c r="E579" s="3049">
        <f t="shared" si="326"/>
        <v>0</v>
      </c>
      <c r="F579" s="3050"/>
      <c r="G579" s="3051">
        <f t="shared" si="327"/>
        <v>0</v>
      </c>
      <c r="H579" s="3052">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49">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900">
        <f t="shared" si="330"/>
        <v>0</v>
      </c>
      <c r="AW579" s="900">
        <f t="shared" si="331"/>
        <v>0</v>
      </c>
      <c r="AX579" s="900">
        <f t="shared" si="332"/>
        <v>0</v>
      </c>
      <c r="AY579" s="3096">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3">
        <f t="shared" si="354"/>
        <v>0</v>
      </c>
    </row>
    <row r="580" spans="1:72">
      <c r="A580" s="3047"/>
      <c r="B580" s="3048"/>
      <c r="C580" s="3048"/>
      <c r="D580" s="3053"/>
      <c r="E580" s="3049">
        <f t="shared" si="326"/>
        <v>0</v>
      </c>
      <c r="F580" s="3050"/>
      <c r="G580" s="3051">
        <f t="shared" si="327"/>
        <v>0</v>
      </c>
      <c r="H580" s="3052">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49">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900">
        <f t="shared" si="330"/>
        <v>0</v>
      </c>
      <c r="AW580" s="900">
        <f t="shared" si="331"/>
        <v>0</v>
      </c>
      <c r="AX580" s="900">
        <f t="shared" si="332"/>
        <v>0</v>
      </c>
      <c r="AY580" s="3096">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3">
        <f t="shared" si="354"/>
        <v>0</v>
      </c>
    </row>
    <row r="581" spans="1:72">
      <c r="A581" s="3047"/>
      <c r="B581" s="3048"/>
      <c r="C581" s="3048"/>
      <c r="D581" s="3053"/>
      <c r="E581" s="3049">
        <f t="shared" si="326"/>
        <v>0</v>
      </c>
      <c r="F581" s="3050"/>
      <c r="G581" s="3051">
        <f t="shared" si="327"/>
        <v>0</v>
      </c>
      <c r="H581" s="3052">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49">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900">
        <f t="shared" si="330"/>
        <v>0</v>
      </c>
      <c r="AW581" s="900">
        <f t="shared" si="331"/>
        <v>0</v>
      </c>
      <c r="AX581" s="900">
        <f t="shared" si="332"/>
        <v>0</v>
      </c>
      <c r="AY581" s="3096">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3">
        <f t="shared" si="354"/>
        <v>0</v>
      </c>
    </row>
    <row r="582" spans="1:72">
      <c r="A582" s="3047"/>
      <c r="B582" s="3048"/>
      <c r="C582" s="3048"/>
      <c r="D582" s="3053"/>
      <c r="E582" s="3049">
        <f t="shared" si="326"/>
        <v>0</v>
      </c>
      <c r="F582" s="3050"/>
      <c r="G582" s="3051">
        <f t="shared" si="327"/>
        <v>0</v>
      </c>
      <c r="H582" s="3052">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49">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900">
        <f t="shared" si="330"/>
        <v>0</v>
      </c>
      <c r="AW582" s="900">
        <f t="shared" si="331"/>
        <v>0</v>
      </c>
      <c r="AX582" s="900">
        <f t="shared" si="332"/>
        <v>0</v>
      </c>
      <c r="AY582" s="3096">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3">
        <f t="shared" si="354"/>
        <v>0</v>
      </c>
    </row>
    <row r="583" spans="1:72">
      <c r="A583" s="3047"/>
      <c r="B583" s="3048"/>
      <c r="C583" s="3048"/>
      <c r="D583" s="3053"/>
      <c r="E583" s="3049">
        <f t="shared" si="326"/>
        <v>0</v>
      </c>
      <c r="F583" s="3050"/>
      <c r="G583" s="3051">
        <f t="shared" si="327"/>
        <v>0</v>
      </c>
      <c r="H583" s="3052">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49">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900">
        <f t="shared" si="330"/>
        <v>0</v>
      </c>
      <c r="AW583" s="900">
        <f t="shared" si="331"/>
        <v>0</v>
      </c>
      <c r="AX583" s="900">
        <f t="shared" si="332"/>
        <v>0</v>
      </c>
      <c r="AY583" s="3096">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3">
        <f t="shared" si="354"/>
        <v>0</v>
      </c>
    </row>
    <row r="584" spans="1:72">
      <c r="A584" s="3047"/>
      <c r="B584" s="3048"/>
      <c r="C584" s="3048"/>
      <c r="D584" s="3053"/>
      <c r="E584" s="3049">
        <f t="shared" si="326"/>
        <v>0</v>
      </c>
      <c r="F584" s="3050"/>
      <c r="G584" s="3051">
        <f t="shared" si="327"/>
        <v>0</v>
      </c>
      <c r="H584" s="3052">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49">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900">
        <f t="shared" si="330"/>
        <v>0</v>
      </c>
      <c r="AW584" s="900">
        <f t="shared" si="331"/>
        <v>0</v>
      </c>
      <c r="AX584" s="900">
        <f t="shared" si="332"/>
        <v>0</v>
      </c>
      <c r="AY584" s="3096">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3">
        <f t="shared" si="354"/>
        <v>0</v>
      </c>
    </row>
    <row r="585" spans="1:72">
      <c r="A585" s="3047"/>
      <c r="B585" s="3047"/>
      <c r="C585" s="3047"/>
      <c r="D585" s="3053"/>
      <c r="E585" s="3049">
        <f t="shared" si="326"/>
        <v>0</v>
      </c>
      <c r="F585" s="3104"/>
      <c r="G585" s="3051">
        <f t="shared" si="327"/>
        <v>0</v>
      </c>
      <c r="H585" s="3052">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49">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900">
        <f t="shared" si="330"/>
        <v>0</v>
      </c>
      <c r="AW585" s="900">
        <f t="shared" si="331"/>
        <v>0</v>
      </c>
      <c r="AX585" s="900">
        <f t="shared" si="332"/>
        <v>0</v>
      </c>
      <c r="AY585" s="3096">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3">
        <f t="shared" si="354"/>
        <v>0</v>
      </c>
    </row>
    <row r="586" spans="1:72">
      <c r="A586" s="3047"/>
      <c r="B586" s="3047"/>
      <c r="C586" s="3047"/>
      <c r="D586" s="3053"/>
      <c r="E586" s="3049">
        <f t="shared" si="326"/>
        <v>0</v>
      </c>
      <c r="F586" s="3104"/>
      <c r="G586" s="3051">
        <f t="shared" si="327"/>
        <v>0</v>
      </c>
      <c r="H586" s="3052">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49">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900">
        <f t="shared" si="330"/>
        <v>0</v>
      </c>
      <c r="AW586" s="900">
        <f t="shared" si="331"/>
        <v>0</v>
      </c>
      <c r="AX586" s="900">
        <f t="shared" si="332"/>
        <v>0</v>
      </c>
      <c r="AY586" s="3096">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3">
        <f t="shared" si="354"/>
        <v>0</v>
      </c>
    </row>
    <row r="587" spans="1:72">
      <c r="A587" s="3047"/>
      <c r="B587" s="3047"/>
      <c r="C587" s="3047"/>
      <c r="D587" s="3053"/>
      <c r="E587" s="3049">
        <f t="shared" si="326"/>
        <v>0</v>
      </c>
      <c r="F587" s="3104"/>
      <c r="G587" s="3051">
        <f t="shared" si="327"/>
        <v>0</v>
      </c>
      <c r="H587" s="3052">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49">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900">
        <f t="shared" si="330"/>
        <v>0</v>
      </c>
      <c r="AW587" s="900">
        <f t="shared" si="331"/>
        <v>0</v>
      </c>
      <c r="AX587" s="900">
        <f t="shared" si="332"/>
        <v>0</v>
      </c>
      <c r="AY587" s="3096">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3">
        <f t="shared" si="354"/>
        <v>0</v>
      </c>
    </row>
    <row r="588" spans="1:72" s="3016"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7" customFormat="1">
      <c r="C589" s="3109"/>
      <c r="D589" s="3109"/>
    </row>
    <row r="590" spans="1:72" s="3017"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558</v>
      </c>
      <c r="B1" s="2434"/>
      <c r="C1" s="2434"/>
      <c r="D1" s="2434"/>
      <c r="E1" s="2434"/>
      <c r="F1" s="2434"/>
      <c r="G1" s="2434"/>
      <c r="H1" s="2434"/>
      <c r="I1" s="2434"/>
      <c r="J1" s="2434"/>
      <c r="K1" s="2434"/>
      <c r="L1" s="2434"/>
      <c r="M1" s="2434"/>
      <c r="N1" s="2434"/>
      <c r="O1" s="2434"/>
      <c r="P1" s="2434"/>
    </row>
    <row r="2" spans="1:16" ht="15">
      <c r="A2" s="3550" t="s">
        <v>559</v>
      </c>
      <c r="B2" s="3550"/>
      <c r="C2" s="3550"/>
      <c r="D2" s="2276" t="s">
        <v>560</v>
      </c>
      <c r="E2" s="2930" t="s">
        <v>561</v>
      </c>
      <c r="F2" s="2931"/>
      <c r="G2" s="2932"/>
      <c r="H2" s="2933"/>
      <c r="I2" s="2583" t="s">
        <v>562</v>
      </c>
      <c r="J2" s="2931"/>
      <c r="K2" s="2931"/>
      <c r="L2" s="2931"/>
      <c r="M2" s="2931"/>
      <c r="N2" s="1029"/>
      <c r="O2" s="2931"/>
      <c r="P2" s="2931"/>
    </row>
    <row r="3" spans="1:16" ht="15">
      <c r="A3" s="3551" t="s">
        <v>563</v>
      </c>
      <c r="B3" s="3551"/>
      <c r="C3" s="3551"/>
      <c r="D3" s="2934">
        <f>'数据-基础表'!AY6</f>
        <v>0</v>
      </c>
      <c r="E3" s="2934">
        <f>'数据-基础表'!AZ5</f>
        <v>333.8</v>
      </c>
      <c r="F3" s="2931"/>
      <c r="G3" s="2935"/>
      <c r="H3" s="2386" t="s">
        <v>564</v>
      </c>
      <c r="I3" s="2994" t="e">
        <f>ROUND('数据-基础表'!B3/'数据-基础表'!A3,2)</f>
        <v>#DIV/0!</v>
      </c>
      <c r="J3" s="2931"/>
      <c r="K3" s="2931"/>
      <c r="L3" s="2931"/>
      <c r="M3" s="2931"/>
      <c r="N3" s="1029"/>
      <c r="O3" s="2931"/>
      <c r="P3" s="2931"/>
    </row>
    <row r="4" spans="1:16" ht="15">
      <c r="A4" s="3552"/>
      <c r="B4" s="3553"/>
      <c r="C4" s="3554"/>
      <c r="D4" s="2936" t="s">
        <v>560</v>
      </c>
      <c r="E4" s="2937" t="s">
        <v>561</v>
      </c>
      <c r="F4" s="2931"/>
      <c r="G4" s="2938" t="s">
        <v>565</v>
      </c>
      <c r="H4" s="2386" t="s">
        <v>566</v>
      </c>
      <c r="I4" s="2994" t="e">
        <f>ROUND(SUMIF('数据-基础表'!I9:AS9,"地上",'数据-基础表'!I5:AS5)/'数据-基础表'!A3,2)</f>
        <v>#DIV/0!</v>
      </c>
      <c r="J4" s="2931"/>
      <c r="K4" s="2931"/>
      <c r="L4" s="2931"/>
      <c r="M4" s="2931"/>
      <c r="N4" s="1029"/>
      <c r="O4" s="2931"/>
      <c r="P4" s="2931"/>
    </row>
    <row r="5" spans="1:16">
      <c r="A5" s="2939" t="s">
        <v>567</v>
      </c>
      <c r="B5" s="3555" t="s">
        <v>568</v>
      </c>
      <c r="C5" s="3555"/>
      <c r="D5" s="2940">
        <f>ROUND($D$3*E5/$E$3,2)</f>
        <v>0</v>
      </c>
      <c r="E5" s="2941">
        <f>SUMIF('数据-基础表'!$11:$11,"住宅",'数据-基础表'!$5:$5)</f>
        <v>0</v>
      </c>
      <c r="F5" s="2931"/>
      <c r="G5" s="2935"/>
      <c r="H5" s="2386" t="s">
        <v>564</v>
      </c>
      <c r="I5" s="2994" t="e">
        <f>ROUND(E31/D31,2)</f>
        <v>#DIV/0!</v>
      </c>
      <c r="J5" s="2931"/>
      <c r="K5" s="2931"/>
      <c r="L5" s="2931"/>
      <c r="M5" s="2931"/>
      <c r="N5" s="2931"/>
      <c r="O5" s="2931"/>
      <c r="P5" s="2931"/>
    </row>
    <row r="6" spans="1:16">
      <c r="A6" s="2942"/>
      <c r="B6" s="3555" t="s">
        <v>569</v>
      </c>
      <c r="C6" s="3555"/>
      <c r="D6" s="2940">
        <f>ROUND($D$3*E6/$E$3,2)</f>
        <v>0</v>
      </c>
      <c r="E6" s="2941">
        <f>E3-E5</f>
        <v>333.8</v>
      </c>
      <c r="F6" s="2931"/>
      <c r="G6" s="2943" t="s">
        <v>570</v>
      </c>
      <c r="H6" s="2944" t="s">
        <v>566</v>
      </c>
      <c r="I6" s="2995" t="e">
        <f>ROUND(F31/D31,2)</f>
        <v>#DIV/0!</v>
      </c>
      <c r="J6" s="2931"/>
      <c r="K6" s="2931"/>
      <c r="L6" s="2931"/>
      <c r="M6" s="2931"/>
      <c r="N6" s="2931"/>
      <c r="O6" s="2931"/>
      <c r="P6" s="2931"/>
    </row>
    <row r="7" spans="1:16" ht="15">
      <c r="A7" s="3541"/>
      <c r="B7" s="3542"/>
      <c r="C7" s="3543"/>
      <c r="D7" s="2936" t="s">
        <v>560</v>
      </c>
      <c r="E7" s="2945" t="s">
        <v>571</v>
      </c>
      <c r="F7" s="2931"/>
      <c r="G7" s="2946" t="s">
        <v>572</v>
      </c>
      <c r="H7" s="2947"/>
      <c r="I7" s="2996">
        <v>1</v>
      </c>
      <c r="J7" s="2931"/>
      <c r="K7" s="2931"/>
      <c r="L7" s="2931"/>
      <c r="M7" s="2931"/>
      <c r="N7" s="2931"/>
      <c r="O7" s="2931"/>
      <c r="P7" s="2931"/>
    </row>
    <row r="8" spans="1:16">
      <c r="A8" s="2939" t="s">
        <v>573</v>
      </c>
      <c r="B8" s="2948" t="s">
        <v>574</v>
      </c>
      <c r="C8" s="2940" t="s">
        <v>575</v>
      </c>
      <c r="D8" s="2940">
        <f t="shared" ref="D8:D15" si="0">ROUND($D$3*E8/$E$3,2)</f>
        <v>0</v>
      </c>
      <c r="E8" s="2949">
        <f>SUMIF('数据-基础表'!BB10:BK10,"地上",'数据-基础表'!BB5:BK5)</f>
        <v>333.8</v>
      </c>
      <c r="F8" s="2931"/>
      <c r="G8" s="2950"/>
      <c r="H8" s="2950"/>
      <c r="I8" s="2931"/>
      <c r="J8" s="2931"/>
      <c r="K8" s="2931"/>
      <c r="L8" s="2931"/>
      <c r="M8" s="2931"/>
      <c r="N8" s="2931"/>
      <c r="O8" s="2931"/>
      <c r="P8" s="2931"/>
    </row>
    <row r="9" spans="1:16">
      <c r="A9" s="2951"/>
      <c r="B9" s="2952"/>
      <c r="C9" s="2940" t="s">
        <v>576</v>
      </c>
      <c r="D9" s="2940">
        <f t="shared" si="0"/>
        <v>0</v>
      </c>
      <c r="E9" s="2953">
        <v>0</v>
      </c>
      <c r="F9" s="2931"/>
      <c r="G9" s="2950"/>
      <c r="H9" s="2950"/>
      <c r="I9" s="2931"/>
      <c r="J9" s="2931"/>
      <c r="K9" s="2931"/>
      <c r="L9" s="2931"/>
      <c r="M9" s="2931"/>
      <c r="N9" s="2931"/>
      <c r="O9" s="2931"/>
      <c r="P9" s="2931"/>
    </row>
    <row r="10" spans="1:16">
      <c r="A10" s="2951"/>
      <c r="B10" s="2952"/>
      <c r="C10" s="2940" t="s">
        <v>577</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578</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579</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580</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581</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582</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583</v>
      </c>
      <c r="D16" s="2948">
        <f>SUM(D8:D15)</f>
        <v>0</v>
      </c>
      <c r="E16" s="2954">
        <f>SUM(E8:E15)</f>
        <v>333.8</v>
      </c>
      <c r="F16" s="2931"/>
      <c r="G16" s="2950"/>
      <c r="H16" s="2955" t="s">
        <v>584</v>
      </c>
      <c r="I16" s="2997"/>
      <c r="J16" s="2434"/>
      <c r="K16" s="3544" t="s">
        <v>584</v>
      </c>
      <c r="L16" s="3545"/>
      <c r="M16" s="3545"/>
      <c r="N16" s="3545"/>
      <c r="O16" s="3545"/>
      <c r="P16" s="3546"/>
    </row>
    <row r="17" spans="1:19" ht="15">
      <c r="A17" s="2890" t="s">
        <v>585</v>
      </c>
      <c r="B17" s="2956" t="s">
        <v>586</v>
      </c>
      <c r="C17" s="2889" t="s">
        <v>587</v>
      </c>
      <c r="D17" s="2957" t="s">
        <v>560</v>
      </c>
      <c r="E17" s="2958" t="s">
        <v>561</v>
      </c>
      <c r="F17" s="2959"/>
      <c r="G17" s="2960"/>
      <c r="H17" s="2961" t="s">
        <v>588</v>
      </c>
      <c r="I17" s="2998" t="s">
        <v>589</v>
      </c>
      <c r="J17" s="2434"/>
      <c r="K17" s="3547" t="s">
        <v>590</v>
      </c>
      <c r="L17" s="3548"/>
      <c r="M17" s="3549"/>
      <c r="N17" s="3547" t="s">
        <v>591</v>
      </c>
      <c r="O17" s="3548"/>
      <c r="P17" s="3549"/>
      <c r="R17" s="3011" t="s">
        <v>592</v>
      </c>
      <c r="S17" s="2375"/>
    </row>
    <row r="18" spans="1:19" ht="15">
      <c r="A18" s="2951"/>
      <c r="B18" s="2962"/>
      <c r="C18" s="2963"/>
      <c r="D18" s="2964"/>
      <c r="E18" s="2965" t="s">
        <v>593</v>
      </c>
      <c r="F18" s="2966" t="s">
        <v>566</v>
      </c>
      <c r="G18" s="2967" t="s">
        <v>594</v>
      </c>
      <c r="H18" s="2895" t="s">
        <v>595</v>
      </c>
      <c r="I18" s="2999" t="s">
        <v>596</v>
      </c>
      <c r="J18" s="2434"/>
      <c r="K18" s="2895" t="s">
        <v>597</v>
      </c>
      <c r="L18" s="2596" t="s">
        <v>598</v>
      </c>
      <c r="M18" s="2994" t="s">
        <v>599</v>
      </c>
      <c r="N18" s="2895" t="s">
        <v>597</v>
      </c>
      <c r="O18" s="2596" t="s">
        <v>598</v>
      </c>
      <c r="P18" s="2994" t="s">
        <v>599</v>
      </c>
      <c r="R18" s="2386" t="s">
        <v>595</v>
      </c>
      <c r="S18" s="2386" t="s">
        <v>596</v>
      </c>
    </row>
    <row r="19" spans="1:19">
      <c r="A19" s="2968"/>
      <c r="B19" s="2948" t="s">
        <v>600</v>
      </c>
      <c r="C19" s="2969" t="s">
        <v>2911</v>
      </c>
      <c r="D19" s="2940">
        <f>ROUND($D$3*E19/$E$3,2)</f>
        <v>0</v>
      </c>
      <c r="E19" s="2970">
        <f t="shared" ref="E19:E26" si="1">SUM(F19:G19)</f>
        <v>333.8</v>
      </c>
      <c r="F19" s="2971">
        <f>'数据-基础表'!I13</f>
        <v>333.8</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333.8</v>
      </c>
    </row>
    <row r="20" spans="1:19">
      <c r="A20" s="2973"/>
      <c r="B20" s="2948" t="s">
        <v>600</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600</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600</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600</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600</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600</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600</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601</v>
      </c>
      <c r="D27" s="2978">
        <f>SUM(D19:D26)</f>
        <v>0</v>
      </c>
      <c r="E27" s="2979">
        <f>IF(SUM(E19:E26)='数据-基础表'!BA5,SUM(E19:E26),IF(F27="地上面积有误","面积有误","地下面积有误"))</f>
        <v>333.8</v>
      </c>
      <c r="F27" s="2978">
        <f>IF(SUM(F19:F26)=E8,SUM(F19:F26),"地上面积有误")</f>
        <v>333.8</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333.8</v>
      </c>
    </row>
    <row r="28" spans="1:19">
      <c r="A28" s="2973"/>
      <c r="B28" s="2948" t="s">
        <v>602</v>
      </c>
      <c r="C28" s="2898" t="s">
        <v>603</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602</v>
      </c>
      <c r="C29" s="2432" t="s">
        <v>604</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601</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605</v>
      </c>
      <c r="D31" s="2988">
        <f>D27+D30</f>
        <v>0</v>
      </c>
      <c r="E31" s="2988">
        <f>E27+E30</f>
        <v>333.8</v>
      </c>
      <c r="F31" s="2989">
        <f>F27+F30</f>
        <v>333.8</v>
      </c>
      <c r="G31" s="2990">
        <f>G27+G30</f>
        <v>0</v>
      </c>
      <c r="H31" s="2931"/>
      <c r="I31" s="2931"/>
      <c r="J31" s="2931"/>
      <c r="K31" s="2931"/>
      <c r="L31" s="2931"/>
      <c r="M31" s="2931"/>
      <c r="N31" s="2931"/>
      <c r="O31" s="2931"/>
      <c r="P31" s="2931"/>
    </row>
    <row r="32" spans="1:19">
      <c r="A32" s="2991"/>
      <c r="B32" s="2991" t="s">
        <v>606</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7" sqref="AM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1685"/>
      <c r="D1" s="2737"/>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59"/>
      <c r="AO1" s="2259"/>
      <c r="AP1" s="2259"/>
      <c r="AQ1" s="2259"/>
      <c r="AR1" s="2259"/>
    </row>
    <row r="2" spans="1:67" s="2727" customFormat="1" ht="15">
      <c r="A2" s="2738" t="s">
        <v>608</v>
      </c>
      <c r="B2" s="2739">
        <f>项目基本情况!D3</f>
        <v>45545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153"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89" t="s">
        <v>613</v>
      </c>
      <c r="AA4" s="2889"/>
      <c r="AB4" s="2889"/>
      <c r="AC4" s="2889"/>
      <c r="AD4" s="2889"/>
      <c r="AE4" s="2890" t="s">
        <v>614</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587</v>
      </c>
      <c r="B5" s="2747" t="s">
        <v>586</v>
      </c>
      <c r="C5" s="2748" t="s">
        <v>615</v>
      </c>
      <c r="D5" s="2749" t="s">
        <v>616</v>
      </c>
      <c r="E5" s="2750" t="s">
        <v>617</v>
      </c>
      <c r="F5" s="2751" t="s">
        <v>618</v>
      </c>
      <c r="G5" s="2750" t="s">
        <v>619</v>
      </c>
      <c r="H5" s="2750" t="s">
        <v>620</v>
      </c>
      <c r="I5" s="2750" t="s">
        <v>621</v>
      </c>
      <c r="J5" s="2841" t="s">
        <v>622</v>
      </c>
      <c r="K5" s="2842" t="s">
        <v>596</v>
      </c>
      <c r="L5" s="2843" t="s">
        <v>623</v>
      </c>
      <c r="M5" s="2844" t="s">
        <v>624</v>
      </c>
      <c r="N5" s="2845" t="s">
        <v>625</v>
      </c>
      <c r="O5" s="2843" t="s">
        <v>626</v>
      </c>
      <c r="P5" s="2846" t="s">
        <v>627</v>
      </c>
      <c r="Q5" s="1036" t="s">
        <v>628</v>
      </c>
      <c r="R5" s="2863" t="s">
        <v>629</v>
      </c>
      <c r="S5" s="2864" t="s">
        <v>630</v>
      </c>
      <c r="T5" s="2865" t="s">
        <v>631</v>
      </c>
      <c r="U5" s="2866" t="s">
        <v>632</v>
      </c>
      <c r="V5" s="2750" t="s">
        <v>633</v>
      </c>
      <c r="W5" s="2750" t="s">
        <v>634</v>
      </c>
      <c r="X5" s="716"/>
      <c r="Y5" s="1170" t="s">
        <v>635</v>
      </c>
      <c r="Z5" s="2891" t="s">
        <v>632</v>
      </c>
      <c r="AA5" s="2750" t="s">
        <v>633</v>
      </c>
      <c r="AB5" s="2750" t="s">
        <v>634</v>
      </c>
      <c r="AC5" s="716"/>
      <c r="AD5" s="716" t="s">
        <v>635</v>
      </c>
      <c r="AE5" s="2866" t="s">
        <v>636</v>
      </c>
      <c r="AF5" s="2750" t="s">
        <v>637</v>
      </c>
      <c r="AG5" s="1170" t="s">
        <v>638</v>
      </c>
      <c r="AH5" s="2866" t="s">
        <v>639</v>
      </c>
      <c r="AI5" s="2891" t="s">
        <v>640</v>
      </c>
      <c r="AJ5" s="2891" t="s">
        <v>641</v>
      </c>
      <c r="AK5" s="2750" t="s">
        <v>642</v>
      </c>
      <c r="AL5" s="2750" t="s">
        <v>643</v>
      </c>
      <c r="AM5" s="1170" t="s">
        <v>644</v>
      </c>
      <c r="AN5" s="2903" t="s">
        <v>645</v>
      </c>
      <c r="AO5" s="2921" t="s">
        <v>646</v>
      </c>
      <c r="AP5" s="2922" t="s">
        <v>647</v>
      </c>
      <c r="AQ5" s="2923" t="s">
        <v>648</v>
      </c>
      <c r="AR5" s="2923"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商业</v>
      </c>
      <c r="B6" s="2753" t="str">
        <f>IF(A6=0,"","经营性")</f>
        <v>经营性</v>
      </c>
      <c r="C6" s="2754" t="s">
        <v>1766</v>
      </c>
      <c r="D6" s="2755">
        <f>SUMIF(项目基本情况!C$12:I$12,C6,项目基本情况!C$14:I$14)</f>
        <v>40</v>
      </c>
      <c r="E6" s="2756">
        <f>IF(B6="","",SUMIF(项目基本情况!C$12:I$12,C6,项目基本情况!C$13:I$13))</f>
        <v>56132</v>
      </c>
      <c r="F6" s="2757">
        <f>SUMIF(项目基本情况!C$12:I$12,C6,项目基本情况!C$15:I$15)</f>
        <v>29</v>
      </c>
      <c r="G6" s="2758">
        <f>IF(ISERROR(ROUND(POWER(1+H6,D6-F6)*(POWER(1+H6,F6)-1)/(POWER(1+H6,D6)-1),3)),0,ROUND(POWER(1+H6,D6-F6)*(POWER(1+H6,F6)-1)/(POWER(1+H6,D6)-1),3))</f>
        <v>0.88200000000000001</v>
      </c>
      <c r="H6" s="2759">
        <v>0.05</v>
      </c>
      <c r="I6" s="2759">
        <v>5.5E-2</v>
      </c>
      <c r="J6" s="2760">
        <v>7.0000000000000007E-2</v>
      </c>
      <c r="K6" s="2847">
        <f>SUMIF('数据-汇总表'!C$19:C$33,A6,'数据-汇总表'!E$19:E$33)</f>
        <v>333.8</v>
      </c>
      <c r="L6" s="3465">
        <v>3500</v>
      </c>
      <c r="M6" s="2848">
        <f t="shared" ref="M6:M14" si="0">ROUND(K6*L6/10000,0)</f>
        <v>117</v>
      </c>
      <c r="N6" s="2849">
        <f>N18</f>
        <v>0.83</v>
      </c>
      <c r="O6" s="2848" t="str">
        <f>IF($N$5="成新度","——",ROUND(M6*N6,0))</f>
        <v>——</v>
      </c>
      <c r="P6" s="2850" t="str">
        <f>IF($N$5="成新度","——",M6-O6)</f>
        <v>——</v>
      </c>
      <c r="Q6" s="34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3468">
        <v>3</v>
      </c>
      <c r="V6" s="2871">
        <v>0.02</v>
      </c>
      <c r="W6" s="2871">
        <v>0.1</v>
      </c>
      <c r="X6" s="2872"/>
      <c r="Y6" s="2892">
        <f>N6</f>
        <v>0.83</v>
      </c>
      <c r="Z6" s="2893"/>
      <c r="AA6" s="2760"/>
      <c r="AB6" s="2760"/>
      <c r="AC6" s="2872"/>
      <c r="AD6" s="2894"/>
      <c r="AE6" s="2895">
        <f ca="1">IF(AN6="",0,SUMIF(INDIRECT("'"&amp;AN6&amp;"'"&amp;"!E:E"),$AE$5,INDIRECT("'"&amp;AN6&amp;"'"&amp;"!F:F")))</f>
        <v>29</v>
      </c>
      <c r="AF6" s="2372"/>
      <c r="AG6" s="1344">
        <f>IF(AF6="",0,AE6-AF6)</f>
        <v>0</v>
      </c>
      <c r="AH6" s="2904"/>
      <c r="AI6" s="2905">
        <v>365</v>
      </c>
      <c r="AJ6" s="2906"/>
      <c r="AK6" s="2907">
        <v>5.0000000000000001E-3</v>
      </c>
      <c r="AL6" s="2908">
        <v>1E-3</v>
      </c>
      <c r="AM6" s="2909">
        <v>0.01</v>
      </c>
      <c r="AN6" s="2910" t="s">
        <v>2894</v>
      </c>
      <c r="AO6" s="911">
        <f ca="1">SUMIF(INDIRECT("'"&amp;AN6&amp;"'"&amp;"!A:A"),"总价",INDIRECT("'"&amp;AN6&amp;"'"&amp;"!B:B"))</f>
        <v>533.05889999999999</v>
      </c>
      <c r="AP6" s="2924">
        <f>IF(C6="住宅",K6*L6,0)</f>
        <v>0</v>
      </c>
      <c r="AQ6" s="911">
        <f>ROUND($L$14*$N$14*S6/10000,0)</f>
        <v>0</v>
      </c>
      <c r="AR6" s="9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3465"/>
      <c r="M7" s="2848">
        <f t="shared" si="0"/>
        <v>0</v>
      </c>
      <c r="N7" s="2849"/>
      <c r="O7" s="2848" t="str">
        <f t="shared" ref="O7:O14" si="3">IF($N$5="成新度","——",ROUND(M7*N7,0))</f>
        <v>——</v>
      </c>
      <c r="P7" s="2850" t="str">
        <f t="shared" ref="P7:P14" si="4">IF($N$5="成新度","——",M7-O7)</f>
        <v>——</v>
      </c>
      <c r="Q7" s="2873"/>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2"/>
      <c r="Z7" s="2893"/>
      <c r="AA7" s="2760"/>
      <c r="AB7" s="2760"/>
      <c r="AC7" s="2872"/>
      <c r="AD7" s="2894"/>
      <c r="AE7" s="2895">
        <f t="shared" ref="AE7:AE13" ca="1" si="6">IF(AN7="",0,SUMIF(INDIRECT("'"&amp;AN7&amp;"'"&amp;"!E:E"),$AE$5,INDIRECT("'"&amp;AN7&amp;"'"&amp;"!F:F")))</f>
        <v>0</v>
      </c>
      <c r="AF7" s="2372"/>
      <c r="AG7" s="1344">
        <f t="shared" ref="AG7:AG13" si="7">IF(AF7="",0,AE7-AF7)</f>
        <v>0</v>
      </c>
      <c r="AH7" s="2904"/>
      <c r="AI7" s="2905"/>
      <c r="AJ7" s="2906"/>
      <c r="AK7" s="2907"/>
      <c r="AL7" s="2908"/>
      <c r="AM7" s="2909"/>
      <c r="AN7" s="2910"/>
      <c r="AO7" s="911" t="e">
        <f t="shared" ref="AO7:AO13" ca="1" si="8">SUMIF(INDIRECT("'"&amp;AN7&amp;"'"&amp;"!A:A"),"总价",INDIRECT("'"&amp;AN7&amp;"'"&amp;"!B:B"))</f>
        <v>#REF!</v>
      </c>
      <c r="AP7" s="2924">
        <f t="shared" ref="AP7:AP13" si="9">IF(C7="住宅",K7*L7,0)</f>
        <v>0</v>
      </c>
      <c r="AQ7" s="911">
        <f t="shared" ref="AQ7:AQ13" si="10">ROUND($L$14*$N$14*S7/10000,0)</f>
        <v>0</v>
      </c>
      <c r="AR7" s="9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51"/>
      <c r="M8" s="2848">
        <f t="shared" si="0"/>
        <v>0</v>
      </c>
      <c r="N8" s="2849"/>
      <c r="O8" s="2848" t="str">
        <f t="shared" si="3"/>
        <v>——</v>
      </c>
      <c r="P8" s="2850" t="str">
        <f t="shared" si="4"/>
        <v>——</v>
      </c>
      <c r="Q8" s="2873"/>
      <c r="R8" s="2867">
        <f ca="1">SUMIF('数据-汇总表'!C$19:C$33,A8,'数据-汇总表'!R$19:R$27)</f>
        <v>0</v>
      </c>
      <c r="S8" s="2868">
        <f>IF('数据-汇总表'!$I$17="按面积比例",SUMIF('数据-汇总表'!C$19:C$33,A8,'数据-汇总表'!K$19:K$33),SUMIF('数据-汇总表'!C$19:C$33,A8,'数据-汇总表'!N$19:N$33))</f>
        <v>0</v>
      </c>
      <c r="T8" s="2869">
        <f t="shared" si="5"/>
        <v>0</v>
      </c>
      <c r="U8" s="2874"/>
      <c r="V8" s="2875"/>
      <c r="W8" s="2875"/>
      <c r="X8" s="2872"/>
      <c r="Y8" s="2892"/>
      <c r="Z8" s="2893"/>
      <c r="AA8" s="2760"/>
      <c r="AB8" s="2760"/>
      <c r="AC8" s="2872"/>
      <c r="AD8" s="2894"/>
      <c r="AE8" s="2895">
        <f t="shared" ca="1" si="6"/>
        <v>0</v>
      </c>
      <c r="AF8" s="2372"/>
      <c r="AG8" s="1344">
        <f t="shared" si="7"/>
        <v>0</v>
      </c>
      <c r="AH8" s="2911"/>
      <c r="AI8" s="2905"/>
      <c r="AJ8" s="2906"/>
      <c r="AK8" s="2912"/>
      <c r="AL8" s="2913"/>
      <c r="AM8" s="2914"/>
      <c r="AN8" s="2910"/>
      <c r="AO8" s="911" t="e">
        <f t="shared" ca="1" si="8"/>
        <v>#REF!</v>
      </c>
      <c r="AP8" s="2924">
        <f t="shared" si="9"/>
        <v>0</v>
      </c>
      <c r="AQ8" s="911">
        <f t="shared" si="10"/>
        <v>0</v>
      </c>
      <c r="AR8" s="9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51"/>
      <c r="M9" s="2848">
        <f t="shared" si="0"/>
        <v>0</v>
      </c>
      <c r="N9" s="2849"/>
      <c r="O9" s="2848" t="str">
        <f t="shared" si="3"/>
        <v>——</v>
      </c>
      <c r="P9" s="2850" t="str">
        <f t="shared" si="4"/>
        <v>——</v>
      </c>
      <c r="Q9" s="2876"/>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2"/>
      <c r="Z9" s="2893"/>
      <c r="AA9" s="2760"/>
      <c r="AB9" s="2760"/>
      <c r="AC9" s="2872"/>
      <c r="AD9" s="2894"/>
      <c r="AE9" s="2895">
        <f t="shared" ca="1" si="6"/>
        <v>0</v>
      </c>
      <c r="AF9" s="2372"/>
      <c r="AG9" s="1344">
        <f t="shared" si="7"/>
        <v>0</v>
      </c>
      <c r="AH9" s="2904"/>
      <c r="AI9" s="2905"/>
      <c r="AJ9" s="2906"/>
      <c r="AK9" s="2907"/>
      <c r="AL9" s="2908"/>
      <c r="AM9" s="2909"/>
      <c r="AN9" s="2910"/>
      <c r="AO9" s="911" t="e">
        <f t="shared" ca="1" si="8"/>
        <v>#REF!</v>
      </c>
      <c r="AP9" s="2924">
        <f t="shared" si="9"/>
        <v>0</v>
      </c>
      <c r="AQ9" s="911">
        <f t="shared" si="10"/>
        <v>0</v>
      </c>
      <c r="AR9" s="9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51"/>
      <c r="M10" s="2848">
        <f t="shared" si="0"/>
        <v>0</v>
      </c>
      <c r="N10" s="2849"/>
      <c r="O10" s="2848" t="str">
        <f t="shared" si="3"/>
        <v>——</v>
      </c>
      <c r="P10" s="2850" t="str">
        <f t="shared" si="4"/>
        <v>——</v>
      </c>
      <c r="Q10" s="2876"/>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2"/>
      <c r="Z10" s="2893"/>
      <c r="AA10" s="2760"/>
      <c r="AB10" s="2760"/>
      <c r="AC10" s="2872"/>
      <c r="AD10" s="2894"/>
      <c r="AE10" s="2895">
        <f t="shared" ca="1" si="6"/>
        <v>0</v>
      </c>
      <c r="AF10" s="2372"/>
      <c r="AG10" s="1344">
        <f t="shared" si="7"/>
        <v>0</v>
      </c>
      <c r="AH10" s="2904"/>
      <c r="AI10" s="2905"/>
      <c r="AJ10" s="2906"/>
      <c r="AK10" s="2907"/>
      <c r="AL10" s="2908"/>
      <c r="AM10" s="2909"/>
      <c r="AN10" s="2910"/>
      <c r="AO10" s="911" t="e">
        <f t="shared" ca="1" si="8"/>
        <v>#REF!</v>
      </c>
      <c r="AP10" s="2924">
        <f t="shared" si="9"/>
        <v>0</v>
      </c>
      <c r="AQ10" s="911">
        <f t="shared" si="10"/>
        <v>0</v>
      </c>
      <c r="AR10" s="9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8">
        <f t="shared" si="0"/>
        <v>0</v>
      </c>
      <c r="N11" s="2849"/>
      <c r="O11" s="2848" t="str">
        <f t="shared" si="3"/>
        <v>——</v>
      </c>
      <c r="P11" s="2850" t="str">
        <f t="shared" si="4"/>
        <v>——</v>
      </c>
      <c r="Q11" s="2876"/>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0"/>
      <c r="W11" s="2760"/>
      <c r="X11" s="2872"/>
      <c r="Y11" s="2892"/>
      <c r="Z11" s="2896"/>
      <c r="AA11" s="2760"/>
      <c r="AB11" s="2760"/>
      <c r="AC11" s="2872"/>
      <c r="AD11" s="2894"/>
      <c r="AE11" s="2895">
        <f t="shared" ca="1" si="6"/>
        <v>0</v>
      </c>
      <c r="AF11" s="2372"/>
      <c r="AG11" s="1344">
        <f t="shared" si="7"/>
        <v>0</v>
      </c>
      <c r="AH11" s="2904"/>
      <c r="AI11" s="2905"/>
      <c r="AJ11" s="2906"/>
      <c r="AK11" s="2915"/>
      <c r="AL11" s="2916"/>
      <c r="AM11" s="2917"/>
      <c r="AN11" s="2910"/>
      <c r="AO11" s="911" t="e">
        <f t="shared" ca="1" si="8"/>
        <v>#REF!</v>
      </c>
      <c r="AP11" s="2924">
        <f t="shared" si="9"/>
        <v>0</v>
      </c>
      <c r="AQ11" s="911">
        <f t="shared" si="10"/>
        <v>0</v>
      </c>
      <c r="AR11" s="9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8">
        <f t="shared" si="0"/>
        <v>0</v>
      </c>
      <c r="N12" s="2849"/>
      <c r="O12" s="2848" t="str">
        <f t="shared" si="3"/>
        <v>——</v>
      </c>
      <c r="P12" s="2850" t="str">
        <f t="shared" si="4"/>
        <v>——</v>
      </c>
      <c r="Q12" s="2876"/>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0"/>
      <c r="W12" s="2760"/>
      <c r="X12" s="2872"/>
      <c r="Y12" s="2892"/>
      <c r="Z12" s="2896"/>
      <c r="AA12" s="2760"/>
      <c r="AB12" s="2760"/>
      <c r="AC12" s="2872"/>
      <c r="AD12" s="2894"/>
      <c r="AE12" s="2895">
        <f t="shared" ca="1" si="6"/>
        <v>0</v>
      </c>
      <c r="AF12" s="2372"/>
      <c r="AG12" s="1344">
        <f t="shared" si="7"/>
        <v>0</v>
      </c>
      <c r="AH12" s="2904"/>
      <c r="AI12" s="2905"/>
      <c r="AJ12" s="2906"/>
      <c r="AK12" s="2915"/>
      <c r="AL12" s="2916"/>
      <c r="AM12" s="2917"/>
      <c r="AN12" s="2910"/>
      <c r="AO12" s="911" t="e">
        <f t="shared" ca="1" si="8"/>
        <v>#REF!</v>
      </c>
      <c r="AP12" s="2924">
        <f t="shared" si="9"/>
        <v>0</v>
      </c>
      <c r="AQ12" s="911">
        <f t="shared" si="10"/>
        <v>0</v>
      </c>
      <c r="AR12" s="9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8">
        <f t="shared" si="0"/>
        <v>0</v>
      </c>
      <c r="N13" s="2853"/>
      <c r="O13" s="2848" t="str">
        <f t="shared" si="3"/>
        <v>——</v>
      </c>
      <c r="P13" s="2850" t="str">
        <f t="shared" si="4"/>
        <v>——</v>
      </c>
      <c r="Q13" s="2876"/>
      <c r="R13" s="2867">
        <f ca="1">SUMIF('数据-汇总表'!C$19:C$33,A13,'数据-汇总表'!R$19:R$27)</f>
        <v>0</v>
      </c>
      <c r="S13" s="2868">
        <f>IF('数据-汇总表'!$I$17="按面积比例",SUMIF('数据-汇总表'!C$19:C$33,A13,'数据-汇总表'!K$19:K$33),SUMIF('数据-汇总表'!C$19:C$33,A13,'数据-汇总表'!N$19:N$33))</f>
        <v>0</v>
      </c>
      <c r="T13" s="2869">
        <f t="shared" si="5"/>
        <v>0</v>
      </c>
      <c r="U13" s="2877"/>
      <c r="V13" s="2871"/>
      <c r="W13" s="2871"/>
      <c r="X13" s="2872"/>
      <c r="Y13" s="2892"/>
      <c r="Z13" s="2893"/>
      <c r="AA13" s="2760"/>
      <c r="AB13" s="2760"/>
      <c r="AC13" s="2872"/>
      <c r="AD13" s="2894"/>
      <c r="AE13" s="2895">
        <f t="shared" ca="1" si="6"/>
        <v>0</v>
      </c>
      <c r="AF13" s="2372"/>
      <c r="AG13" s="1344">
        <f t="shared" si="7"/>
        <v>0</v>
      </c>
      <c r="AH13" s="2904"/>
      <c r="AI13" s="2905"/>
      <c r="AJ13" s="2906"/>
      <c r="AK13" s="2907"/>
      <c r="AL13" s="2908"/>
      <c r="AM13" s="2909"/>
      <c r="AN13" s="2910"/>
      <c r="AO13" s="911" t="e">
        <f t="shared" ca="1" si="8"/>
        <v>#REF!</v>
      </c>
      <c r="AP13" s="2924">
        <f t="shared" si="9"/>
        <v>0</v>
      </c>
      <c r="AQ13" s="911">
        <f t="shared" si="10"/>
        <v>0</v>
      </c>
      <c r="AR13" s="9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8">
        <f t="shared" si="0"/>
        <v>0</v>
      </c>
      <c r="N14" s="2853"/>
      <c r="O14" s="2848" t="str">
        <f t="shared" si="3"/>
        <v>——</v>
      </c>
      <c r="P14" s="2850" t="str">
        <f t="shared" si="4"/>
        <v>——</v>
      </c>
      <c r="Q14" s="2878"/>
      <c r="R14" s="2867"/>
      <c r="S14" s="2868"/>
      <c r="T14" s="2869"/>
      <c r="U14" s="2879"/>
      <c r="V14" s="2880"/>
      <c r="W14" s="2880"/>
      <c r="X14" s="2881"/>
      <c r="Y14" s="2897"/>
      <c r="Z14" s="2898"/>
      <c r="AA14" s="2899"/>
      <c r="AB14" s="2899"/>
      <c r="AC14" s="2872"/>
      <c r="AD14" s="2881"/>
      <c r="AE14" s="2895"/>
      <c r="AF14" s="911"/>
      <c r="AG14" s="1344"/>
      <c r="AH14" s="2895"/>
      <c r="AI14" s="899"/>
      <c r="AJ14" s="910"/>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8"/>
      <c r="N15" s="2855"/>
      <c r="O15" s="2848"/>
      <c r="P15" s="2850"/>
      <c r="Q15" s="2878"/>
      <c r="R15" s="2867"/>
      <c r="S15" s="2868"/>
      <c r="T15" s="2869"/>
      <c r="U15" s="2879"/>
      <c r="V15" s="2880"/>
      <c r="W15" s="2880"/>
      <c r="X15" s="2881"/>
      <c r="Y15" s="2897"/>
      <c r="Z15" s="2898"/>
      <c r="AA15" s="2899"/>
      <c r="AB15" s="2899"/>
      <c r="AC15" s="2872"/>
      <c r="AD15" s="2881"/>
      <c r="AE15" s="2895"/>
      <c r="AF15" s="911"/>
      <c r="AG15" s="1344"/>
      <c r="AH15" s="2895"/>
      <c r="AI15" s="899"/>
      <c r="AJ15" s="910"/>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316"/>
      <c r="D16" s="2766"/>
      <c r="E16" s="2765"/>
      <c r="F16" s="2765"/>
      <c r="G16" s="2767">
        <f>ROUND(SUMPRODUCT(G6:G13,K6:K13)/SUMPRODUCT((G6:G13&gt;0)*(K6:K13)),3)</f>
        <v>0.88200000000000001</v>
      </c>
      <c r="H16" s="2768">
        <f>ROUND(SUMPRODUCT(H6:H13,K6:K13)/SUMPRODUCT((H6:H13&gt;0)*(K6:K13)),3)</f>
        <v>0.05</v>
      </c>
      <c r="I16" s="2856"/>
      <c r="J16" s="2856"/>
      <c r="K16" s="2857">
        <f>SUM(K6:K15)</f>
        <v>333.8</v>
      </c>
      <c r="L16" s="2858">
        <f>ROUND(M16*10000/SUM(K6:K14),0)</f>
        <v>3505</v>
      </c>
      <c r="M16" s="2858">
        <f>SUM(M6:M14)</f>
        <v>117</v>
      </c>
      <c r="N16" s="2859">
        <f>ROUND(SUMPRODUCT(M6:M14,N6:N14)/M16,3)</f>
        <v>0.83</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f>项目基本情况!G22</f>
        <v>2014</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153" t="s">
        <v>651</v>
      </c>
      <c r="B18" s="2772"/>
      <c r="C18" s="2773"/>
      <c r="D18" s="2774"/>
      <c r="E18" s="2773"/>
      <c r="F18" s="2773"/>
      <c r="G18" s="2773"/>
      <c r="H18" s="2773"/>
      <c r="I18" s="2773"/>
      <c r="J18" s="2773"/>
      <c r="K18" s="2860"/>
      <c r="L18" s="2860"/>
      <c r="M18" s="2259"/>
      <c r="N18" s="2259">
        <f>ROUND(1-(2024-N17)/60,2)</f>
        <v>0.83</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652</v>
      </c>
      <c r="B19" s="2776"/>
      <c r="C19" s="2777" t="s">
        <v>653</v>
      </c>
      <c r="D19" s="2774"/>
      <c r="E19" s="2773"/>
      <c r="F19" s="2773"/>
      <c r="G19" s="2773"/>
      <c r="H19" s="2773"/>
      <c r="I19" s="2773"/>
      <c r="J19" s="2773"/>
      <c r="K19" s="2860"/>
      <c r="L19" s="2860"/>
      <c r="M19" s="2259"/>
      <c r="N19" s="2259">
        <v>0.9</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654</v>
      </c>
      <c r="B20" s="2779">
        <v>2</v>
      </c>
      <c r="C20" s="2780" t="s">
        <v>655</v>
      </c>
      <c r="D20" s="2774"/>
      <c r="E20" s="2773"/>
      <c r="F20" s="2773"/>
      <c r="G20" s="2773"/>
      <c r="H20" s="2773"/>
      <c r="I20" s="2773"/>
      <c r="J20" s="2773"/>
      <c r="K20" s="2860"/>
      <c r="L20" s="2860"/>
      <c r="M20" s="2259"/>
      <c r="N20" s="2259">
        <f>ROUND((N18+N19)/2,2)</f>
        <v>0.87</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656</v>
      </c>
      <c r="B21" s="2779">
        <f>B20</f>
        <v>2</v>
      </c>
      <c r="C21" s="2773"/>
      <c r="D21" s="2774"/>
      <c r="E21" s="2773"/>
      <c r="F21" s="2773"/>
      <c r="G21" s="2773"/>
      <c r="H21" s="2773"/>
      <c r="I21" s="2773"/>
      <c r="J21" s="2773"/>
      <c r="K21" s="2860"/>
      <c r="L21" s="2860"/>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657</v>
      </c>
      <c r="B22" s="2782">
        <f>B19+B20</f>
        <v>2</v>
      </c>
      <c r="C22" s="2773"/>
      <c r="D22" s="2774"/>
      <c r="E22" s="2773"/>
      <c r="F22" s="2773"/>
      <c r="G22" s="2773"/>
      <c r="H22" s="2773"/>
      <c r="I22" s="2773"/>
      <c r="J22" s="2773"/>
      <c r="K22" s="2860"/>
      <c r="L22" s="2860"/>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658</v>
      </c>
      <c r="B23" s="2782">
        <f>B19+B21</f>
        <v>2</v>
      </c>
      <c r="C23" s="2773"/>
      <c r="D23" s="2774"/>
      <c r="E23" s="2773"/>
      <c r="F23" s="2773"/>
      <c r="G23" s="2773"/>
      <c r="H23" s="2773"/>
      <c r="I23" s="2773"/>
      <c r="J23" s="2773"/>
      <c r="K23" s="2860"/>
      <c r="L23" s="2860"/>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659</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660</v>
      </c>
      <c r="B26" s="2785" t="s">
        <v>661</v>
      </c>
      <c r="C26" s="2786" t="s">
        <v>662</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663</v>
      </c>
      <c r="B27" s="2788"/>
      <c r="C27" s="2789" t="s">
        <v>664</v>
      </c>
      <c r="D27" s="2790"/>
      <c r="E27" s="1029"/>
      <c r="F27" s="102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665</v>
      </c>
      <c r="B28" s="2792">
        <v>200</v>
      </c>
      <c r="C28" s="2793"/>
      <c r="D28" s="2790"/>
      <c r="E28" s="1029"/>
      <c r="F28" s="102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666</v>
      </c>
      <c r="B29" s="2795">
        <f>ROUND(B28*K6,0)</f>
        <v>66760</v>
      </c>
      <c r="C29" s="2796" t="s">
        <v>667</v>
      </c>
      <c r="D29" s="2790"/>
      <c r="E29" s="1029"/>
      <c r="F29" s="102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668</v>
      </c>
      <c r="B30" s="2798">
        <v>200</v>
      </c>
      <c r="C30" s="2793"/>
      <c r="D30" s="2790"/>
      <c r="E30" s="1029"/>
      <c r="F30" s="102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669</v>
      </c>
      <c r="B31" s="2799">
        <f>B30-B32</f>
        <v>200</v>
      </c>
      <c r="C31" s="2800"/>
      <c r="D31" s="2790"/>
      <c r="E31" s="1029"/>
      <c r="F31" s="102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670</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671</v>
      </c>
      <c r="B33" s="2803">
        <v>0.03</v>
      </c>
      <c r="C33" s="2804" t="s">
        <v>672</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673</v>
      </c>
      <c r="B34" s="2805">
        <v>0</v>
      </c>
      <c r="C34" s="2804" t="s">
        <v>674</v>
      </c>
      <c r="D34" s="2806" t="s">
        <v>675</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676</v>
      </c>
      <c r="B35" s="2792">
        <v>200</v>
      </c>
      <c r="C35" s="2804" t="s">
        <v>677</v>
      </c>
      <c r="D35" s="2790"/>
      <c r="E35" s="1029"/>
      <c r="F35" s="102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678</v>
      </c>
      <c r="B36" s="2807">
        <v>0.02</v>
      </c>
      <c r="C36" s="2804" t="s">
        <v>679</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680</v>
      </c>
      <c r="B37" s="2808">
        <v>0.02</v>
      </c>
      <c r="C37" s="2804" t="s">
        <v>681</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682</v>
      </c>
      <c r="B38" s="2805">
        <v>0.02</v>
      </c>
      <c r="C38" s="2804" t="s">
        <v>681</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683</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684</v>
      </c>
      <c r="B40" s="2812">
        <f ca="1">IF(A40="利息：取LPR",存贷款利率!G1,存贷款利率!G1+C40)</f>
        <v>3.3500000000000002E-2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685</v>
      </c>
      <c r="B41" s="2814">
        <f>B42+B43</f>
        <v>5.5000000000000007E-2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686</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687</v>
      </c>
      <c r="B43" s="2818">
        <f>B42*(B44+B45+B46)+B47</f>
        <v>5.000000000000001E-3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688</v>
      </c>
      <c r="B44" s="2820">
        <v>0.05</v>
      </c>
      <c r="C44" s="2804" t="s">
        <v>689</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690</v>
      </c>
      <c r="B45" s="2816">
        <v>0.03</v>
      </c>
      <c r="C45" s="2796" t="s">
        <v>691</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692</v>
      </c>
      <c r="B46" s="2816">
        <v>0.02</v>
      </c>
      <c r="C46" s="2796" t="s">
        <v>693</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694</v>
      </c>
      <c r="B47" s="2822"/>
      <c r="C47" s="2823" t="s">
        <v>695</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696</v>
      </c>
      <c r="B48" s="2825">
        <v>0.03</v>
      </c>
      <c r="C48" s="2796" t="s">
        <v>691</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697</v>
      </c>
      <c r="B49" s="2816">
        <v>5.0000000000000001E-4</v>
      </c>
      <c r="C49" s="2796" t="s">
        <v>698</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699</v>
      </c>
      <c r="B50" s="2827">
        <v>1.2E-2</v>
      </c>
      <c r="C50" s="102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700</v>
      </c>
      <c r="B51" s="2828">
        <v>0.12</v>
      </c>
      <c r="C51" s="102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701</v>
      </c>
      <c r="B52" s="2829">
        <f>SUMIF(A54:A63,B53,B54:B63)</f>
        <v>1.5</v>
      </c>
      <c r="C52" s="102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702</v>
      </c>
      <c r="B53" s="2830" t="s">
        <v>273</v>
      </c>
      <c r="C53" s="1029" t="s">
        <v>703</v>
      </c>
      <c r="D53" s="2831" t="s">
        <v>704</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705</v>
      </c>
      <c r="B54" s="2833"/>
      <c r="C54" s="102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706</v>
      </c>
      <c r="B55" s="2833"/>
      <c r="C55" s="102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707</v>
      </c>
      <c r="B56" s="2833"/>
      <c r="C56" s="102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708</v>
      </c>
      <c r="B57" s="2833"/>
      <c r="C57" s="102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709</v>
      </c>
      <c r="B58" s="2833"/>
      <c r="C58" s="102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710</v>
      </c>
      <c r="B59" s="2833">
        <v>1.5</v>
      </c>
      <c r="C59" s="102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711</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712</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713</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714</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657"/>
      <c r="L69" s="657"/>
    </row>
    <row r="70" spans="1:44" s="2331" customFormat="1">
      <c r="A70" s="2635"/>
      <c r="D70" s="2925"/>
      <c r="K70" s="657"/>
      <c r="L70" s="657"/>
    </row>
    <row r="71" spans="1:44" s="2331" customFormat="1">
      <c r="A71" s="2635"/>
      <c r="D71" s="2925"/>
      <c r="K71" s="657"/>
      <c r="L71" s="657"/>
    </row>
    <row r="72" spans="1:44" s="2331" customFormat="1">
      <c r="A72" s="2635"/>
      <c r="D72" s="2925"/>
      <c r="K72" s="657"/>
      <c r="L72" s="657"/>
    </row>
    <row r="73" spans="1:44" s="2331" customFormat="1">
      <c r="A73" s="2635"/>
      <c r="D73" s="2925"/>
      <c r="K73" s="657"/>
      <c r="L73" s="657"/>
    </row>
    <row r="74" spans="1:44" s="2331" customFormat="1">
      <c r="A74" s="2635"/>
      <c r="D74" s="2925"/>
      <c r="K74" s="657"/>
      <c r="L74" s="657"/>
    </row>
    <row r="75" spans="1:44" s="2331" customFormat="1">
      <c r="A75" s="2635"/>
      <c r="D75" s="2925"/>
      <c r="K75" s="657"/>
      <c r="L75" s="657"/>
    </row>
    <row r="76" spans="1:44" s="2331" customFormat="1">
      <c r="A76" s="2635"/>
      <c r="D76" s="2925"/>
      <c r="K76" s="657"/>
      <c r="L76" s="657"/>
    </row>
    <row r="77" spans="1:44" s="2331" customFormat="1">
      <c r="A77" s="2635"/>
      <c r="D77" s="2925"/>
      <c r="K77" s="657"/>
      <c r="L77" s="657"/>
    </row>
    <row r="78" spans="1:44" s="2331" customFormat="1">
      <c r="A78" s="2635"/>
      <c r="D78" s="2925"/>
      <c r="K78" s="657"/>
      <c r="L78" s="657"/>
    </row>
    <row r="79" spans="1:44" s="2331" customFormat="1">
      <c r="A79" s="2635"/>
      <c r="D79" s="2925"/>
      <c r="K79" s="657"/>
      <c r="L79" s="657"/>
    </row>
    <row r="80" spans="1:44" s="2331" customFormat="1">
      <c r="A80" s="2635"/>
      <c r="D80" s="2925"/>
      <c r="K80" s="657"/>
      <c r="L80" s="657"/>
    </row>
    <row r="81" spans="1:12" s="2331" customFormat="1">
      <c r="A81" s="2635"/>
      <c r="D81" s="2925"/>
      <c r="K81" s="657"/>
      <c r="L81" s="657"/>
    </row>
    <row r="82" spans="1:12" s="2331" customFormat="1">
      <c r="A82" s="2635"/>
      <c r="D82" s="2925"/>
      <c r="K82" s="657"/>
      <c r="L82" s="657"/>
    </row>
    <row r="83" spans="1:12" s="2331" customFormat="1">
      <c r="A83" s="2635"/>
      <c r="D83" s="2925"/>
      <c r="K83" s="657"/>
      <c r="L83" s="657"/>
    </row>
    <row r="84" spans="1:12" s="2331" customFormat="1">
      <c r="A84" s="2635"/>
      <c r="D84" s="2925"/>
      <c r="K84" s="657"/>
      <c r="L84" s="657"/>
    </row>
    <row r="85" spans="1:12" s="2331" customFormat="1">
      <c r="A85" s="2635"/>
      <c r="D85" s="2925"/>
      <c r="K85" s="657"/>
      <c r="L85" s="657"/>
    </row>
    <row r="86" spans="1:12" s="2331" customFormat="1">
      <c r="A86" s="2635"/>
      <c r="D86" s="2925"/>
      <c r="K86" s="657"/>
      <c r="L86" s="657"/>
    </row>
    <row r="87" spans="1:12" s="2331" customFormat="1">
      <c r="A87" s="2635"/>
      <c r="D87" s="2925"/>
      <c r="K87" s="657"/>
      <c r="L87" s="657"/>
    </row>
    <row r="88" spans="1:12" s="2331" customFormat="1">
      <c r="A88" s="2635"/>
      <c r="D88" s="2925"/>
      <c r="K88" s="657"/>
      <c r="L88" s="657"/>
    </row>
    <row r="89" spans="1:12" s="2331" customFormat="1">
      <c r="A89" s="2635"/>
      <c r="D89" s="2925"/>
      <c r="K89" s="657"/>
      <c r="L89" s="657"/>
    </row>
    <row r="90" spans="1:12" s="2331" customFormat="1">
      <c r="A90" s="2635"/>
      <c r="D90" s="2925"/>
      <c r="K90" s="657"/>
      <c r="L90" s="657"/>
    </row>
    <row r="91" spans="1:12" s="2331" customFormat="1">
      <c r="A91" s="2635"/>
      <c r="D91" s="2925"/>
      <c r="K91" s="657"/>
      <c r="L91" s="657"/>
    </row>
    <row r="92" spans="1:12" s="2331" customFormat="1">
      <c r="A92" s="2635"/>
      <c r="D92" s="2925"/>
      <c r="K92" s="657"/>
      <c r="L92" s="657"/>
    </row>
    <row r="93" spans="1:12" s="2331" customFormat="1">
      <c r="A93" s="2635"/>
      <c r="D93" s="2925"/>
      <c r="K93" s="657"/>
      <c r="L93" s="657"/>
    </row>
    <row r="94" spans="1:12" s="2331" customFormat="1">
      <c r="A94" s="2635"/>
      <c r="D94" s="2925"/>
      <c r="K94" s="657"/>
      <c r="L94" s="657"/>
    </row>
    <row r="95" spans="1:12" s="2331" customFormat="1">
      <c r="A95" s="2635"/>
      <c r="D95" s="2925"/>
      <c r="K95" s="657"/>
      <c r="L95" s="657"/>
    </row>
    <row r="96" spans="1:12" s="2331" customFormat="1">
      <c r="A96" s="2635"/>
      <c r="D96" s="2925"/>
      <c r="K96" s="657"/>
      <c r="L96" s="657"/>
    </row>
    <row r="97" spans="1:12" s="2331" customFormat="1">
      <c r="A97" s="2635"/>
      <c r="D97" s="2925"/>
      <c r="K97" s="657"/>
      <c r="L97" s="657"/>
    </row>
    <row r="98" spans="1:12" s="2331" customFormat="1">
      <c r="A98" s="2635"/>
      <c r="D98" s="2925"/>
      <c r="K98" s="657"/>
      <c r="L98" s="657"/>
    </row>
    <row r="99" spans="1:12" s="2331" customFormat="1">
      <c r="A99" s="2635"/>
      <c r="D99" s="2925"/>
      <c r="K99" s="657"/>
      <c r="L99" s="657"/>
    </row>
    <row r="100" spans="1:12" s="2331" customFormat="1">
      <c r="A100" s="2635"/>
      <c r="D100" s="2925"/>
      <c r="K100" s="657"/>
      <c r="L100" s="657"/>
    </row>
    <row r="101" spans="1:12" s="2331" customFormat="1">
      <c r="A101" s="2635"/>
      <c r="D101" s="2925"/>
      <c r="K101" s="657"/>
      <c r="L101" s="657"/>
    </row>
    <row r="102" spans="1:12" s="2331" customFormat="1">
      <c r="A102" s="2635"/>
      <c r="D102" s="2925"/>
      <c r="K102" s="657"/>
      <c r="L102" s="657"/>
    </row>
    <row r="103" spans="1:12" s="2331" customFormat="1">
      <c r="A103" s="2635"/>
      <c r="D103" s="2925"/>
      <c r="K103" s="657"/>
      <c r="L103" s="657"/>
    </row>
    <row r="104" spans="1:12" s="2331" customFormat="1">
      <c r="A104" s="2635"/>
      <c r="D104" s="2925"/>
      <c r="K104" s="657"/>
      <c r="L104" s="657"/>
    </row>
    <row r="105" spans="1:12" s="2331" customFormat="1">
      <c r="A105" s="2635"/>
      <c r="D105" s="2925"/>
      <c r="K105" s="657"/>
      <c r="L105" s="657"/>
    </row>
    <row r="106" spans="1:12" s="2331" customFormat="1">
      <c r="A106" s="2635"/>
      <c r="D106" s="2925"/>
      <c r="K106" s="657"/>
      <c r="L106" s="657"/>
    </row>
    <row r="107" spans="1:12" s="2331" customFormat="1">
      <c r="A107" s="2635"/>
      <c r="D107" s="2925"/>
      <c r="K107" s="657"/>
      <c r="L107" s="657"/>
    </row>
    <row r="108" spans="1:12" s="2331" customFormat="1">
      <c r="A108" s="2635"/>
      <c r="D108" s="2925"/>
      <c r="K108" s="657"/>
      <c r="L108" s="657"/>
    </row>
    <row r="109" spans="1:12" s="2331" customFormat="1">
      <c r="A109" s="2635"/>
      <c r="D109" s="2925"/>
      <c r="K109" s="657"/>
      <c r="L109" s="657"/>
    </row>
    <row r="110" spans="1:12" s="2331" customFormat="1">
      <c r="A110" s="2635"/>
      <c r="D110" s="2925"/>
      <c r="K110" s="657"/>
      <c r="L110" s="657"/>
    </row>
    <row r="111" spans="1:12" s="2331" customFormat="1">
      <c r="A111" s="2635"/>
      <c r="D111" s="2925"/>
      <c r="K111" s="657"/>
      <c r="L111" s="657"/>
    </row>
    <row r="112" spans="1:12" s="2331" customFormat="1">
      <c r="A112" s="2635"/>
      <c r="D112" s="2925"/>
      <c r="K112" s="657"/>
      <c r="L112" s="657"/>
    </row>
    <row r="113" spans="1:12" s="2331" customFormat="1">
      <c r="A113" s="2635"/>
      <c r="D113" s="2925"/>
      <c r="K113" s="657"/>
      <c r="L113" s="657"/>
    </row>
    <row r="114" spans="1:12" s="2331" customFormat="1">
      <c r="A114" s="2635"/>
      <c r="D114" s="2925"/>
      <c r="K114" s="657"/>
      <c r="L114" s="657"/>
    </row>
    <row r="115" spans="1:12" s="2331" customFormat="1">
      <c r="A115" s="2635"/>
      <c r="D115" s="2925"/>
      <c r="K115" s="657"/>
      <c r="L115" s="657"/>
    </row>
    <row r="116" spans="1:12" s="2331" customFormat="1">
      <c r="A116" s="2635"/>
      <c r="D116" s="2925"/>
      <c r="K116" s="657"/>
      <c r="L116" s="657"/>
    </row>
    <row r="117" spans="1:12" s="2331" customFormat="1">
      <c r="A117" s="2635"/>
      <c r="D117" s="2925"/>
      <c r="K117" s="657"/>
      <c r="L117" s="657"/>
    </row>
    <row r="118" spans="1:12" s="2331" customFormat="1">
      <c r="A118" s="2635"/>
      <c r="D118" s="2925"/>
      <c r="K118" s="657"/>
      <c r="L118" s="657"/>
    </row>
    <row r="119" spans="1:12" s="2331" customFormat="1">
      <c r="A119" s="2635"/>
      <c r="D119" s="2925"/>
      <c r="K119" s="657"/>
      <c r="L119" s="657"/>
    </row>
    <row r="120" spans="1:12" s="2331" customFormat="1">
      <c r="A120" s="2635"/>
      <c r="D120" s="2925"/>
      <c r="K120" s="657"/>
      <c r="L120" s="657"/>
    </row>
    <row r="121" spans="1:12" s="2331" customFormat="1">
      <c r="A121" s="2635"/>
      <c r="D121" s="2925"/>
      <c r="K121" s="657"/>
      <c r="L121" s="657"/>
    </row>
    <row r="122" spans="1:12" s="2331" customFormat="1">
      <c r="A122" s="2635"/>
      <c r="D122" s="2925"/>
      <c r="K122" s="657"/>
      <c r="L122" s="657"/>
    </row>
    <row r="123" spans="1:12" s="2331" customFormat="1">
      <c r="A123" s="2635"/>
      <c r="D123" s="2925"/>
      <c r="K123" s="657"/>
      <c r="L123" s="657"/>
    </row>
    <row r="124" spans="1:12" s="2331" customFormat="1">
      <c r="A124" s="2635"/>
      <c r="D124" s="2925"/>
      <c r="K124" s="657"/>
      <c r="L124" s="657"/>
    </row>
    <row r="125" spans="1:12" s="2331" customFormat="1">
      <c r="A125" s="2635"/>
      <c r="D125" s="2925"/>
      <c r="K125" s="657"/>
      <c r="L125" s="657"/>
    </row>
    <row r="126" spans="1:12" s="2331" customFormat="1">
      <c r="A126" s="2635"/>
      <c r="D126" s="2925"/>
      <c r="K126" s="657"/>
      <c r="L126" s="657"/>
    </row>
    <row r="127" spans="1:12" s="2331" customFormat="1">
      <c r="A127" s="2635"/>
      <c r="D127" s="2925"/>
      <c r="K127" s="657"/>
      <c r="L127" s="657"/>
    </row>
    <row r="128" spans="1:12" s="2331" customFormat="1">
      <c r="A128" s="2635"/>
      <c r="D128" s="2925"/>
      <c r="K128" s="657"/>
      <c r="L128" s="657"/>
    </row>
    <row r="129" spans="1:12" s="2331" customFormat="1">
      <c r="A129" s="2635"/>
      <c r="D129" s="2925"/>
      <c r="K129" s="657"/>
      <c r="L129" s="657"/>
    </row>
    <row r="130" spans="1:12" s="2331" customFormat="1">
      <c r="A130" s="2635"/>
      <c r="D130" s="2925"/>
      <c r="K130" s="657"/>
      <c r="L130" s="657"/>
    </row>
    <row r="131" spans="1:12" s="2331" customFormat="1">
      <c r="A131" s="2635"/>
      <c r="D131" s="2925"/>
      <c r="K131" s="657"/>
      <c r="L131" s="657"/>
    </row>
    <row r="132" spans="1:12" s="2331" customFormat="1">
      <c r="A132" s="2635"/>
      <c r="D132" s="2925"/>
      <c r="K132" s="657"/>
      <c r="L132" s="657"/>
    </row>
    <row r="133" spans="1:12" s="2331" customFormat="1">
      <c r="A133" s="2635"/>
      <c r="D133" s="2925"/>
      <c r="K133" s="657"/>
      <c r="L133" s="657"/>
    </row>
    <row r="134" spans="1:12" s="2730" customFormat="1">
      <c r="A134" s="2926"/>
      <c r="D134" s="2927"/>
      <c r="K134" s="559"/>
      <c r="L134" s="559"/>
    </row>
    <row r="135" spans="1:12" s="2730" customFormat="1">
      <c r="A135" s="2926"/>
      <c r="D135" s="2927"/>
      <c r="K135" s="559"/>
      <c r="L135" s="559"/>
    </row>
    <row r="136" spans="1:12" s="2730" customFormat="1">
      <c r="A136" s="2926"/>
      <c r="D136" s="2927"/>
      <c r="K136" s="559"/>
      <c r="L136" s="559"/>
    </row>
    <row r="137" spans="1:12" s="2730" customFormat="1">
      <c r="A137" s="2926"/>
      <c r="D137" s="2927"/>
      <c r="K137" s="559"/>
      <c r="L137" s="559"/>
    </row>
    <row r="138" spans="1:12" s="2730" customFormat="1">
      <c r="A138" s="2926"/>
      <c r="D138" s="2927"/>
      <c r="K138" s="559"/>
      <c r="L138" s="559"/>
    </row>
    <row r="139" spans="1:12" s="2730" customFormat="1">
      <c r="A139" s="2926"/>
      <c r="D139" s="2927"/>
      <c r="K139" s="559"/>
      <c r="L139" s="559"/>
    </row>
    <row r="140" spans="1:12" s="2730" customFormat="1">
      <c r="A140" s="2926"/>
      <c r="D140" s="2927"/>
      <c r="K140" s="559"/>
      <c r="L140" s="559"/>
    </row>
    <row r="141" spans="1:12" s="2730" customFormat="1">
      <c r="A141" s="2926"/>
      <c r="D141" s="2927"/>
      <c r="K141" s="559"/>
      <c r="L141" s="559"/>
    </row>
    <row r="142" spans="1:12" s="2730" customFormat="1">
      <c r="A142" s="2926"/>
      <c r="D142" s="2927"/>
      <c r="K142" s="559"/>
      <c r="L142" s="559"/>
    </row>
    <row r="143" spans="1:12" s="2730" customFormat="1">
      <c r="A143" s="2926"/>
      <c r="D143" s="2927"/>
      <c r="K143" s="559"/>
      <c r="L143" s="559"/>
    </row>
    <row r="144" spans="1:12" s="2730" customFormat="1">
      <c r="A144" s="2926"/>
      <c r="D144" s="2927"/>
      <c r="K144" s="559"/>
      <c r="L144" s="559"/>
    </row>
    <row r="145" spans="1:12" s="2730" customFormat="1">
      <c r="A145" s="2926"/>
      <c r="D145" s="2927"/>
      <c r="K145" s="559"/>
      <c r="L145" s="559"/>
    </row>
    <row r="146" spans="1:12" s="2730" customFormat="1">
      <c r="A146" s="2926"/>
      <c r="D146" s="2927"/>
      <c r="K146" s="559"/>
      <c r="L146" s="559"/>
    </row>
    <row r="147" spans="1:12" s="2730" customFormat="1">
      <c r="A147" s="2926"/>
      <c r="D147" s="2927"/>
      <c r="K147" s="559"/>
      <c r="L147" s="559"/>
    </row>
    <row r="148" spans="1:12" s="2730" customFormat="1">
      <c r="A148" s="2926"/>
      <c r="D148" s="2927"/>
      <c r="K148" s="559"/>
      <c r="L148" s="559"/>
    </row>
    <row r="149" spans="1:12" s="2730" customFormat="1">
      <c r="A149" s="2926"/>
      <c r="D149" s="2927"/>
      <c r="K149" s="559"/>
      <c r="L149" s="559"/>
    </row>
    <row r="150" spans="1:12" s="2730" customFormat="1">
      <c r="A150" s="2926"/>
      <c r="D150" s="2927"/>
      <c r="K150" s="559"/>
      <c r="L150" s="559"/>
    </row>
    <row r="151" spans="1:12" s="2730" customFormat="1">
      <c r="A151" s="2926"/>
      <c r="D151" s="2927"/>
      <c r="K151" s="559"/>
      <c r="L151" s="559"/>
    </row>
    <row r="152" spans="1:12" s="2730" customFormat="1">
      <c r="A152" s="2926"/>
      <c r="D152" s="2927"/>
      <c r="K152" s="559"/>
      <c r="L152" s="559"/>
    </row>
    <row r="153" spans="1:12" s="2730" customFormat="1">
      <c r="A153" s="2926"/>
      <c r="D153" s="2927"/>
      <c r="K153" s="559"/>
      <c r="L153" s="559"/>
    </row>
    <row r="154" spans="1:12" s="2730" customFormat="1">
      <c r="A154" s="2926"/>
      <c r="D154" s="2927"/>
      <c r="K154" s="559"/>
      <c r="L154" s="559"/>
    </row>
    <row r="155" spans="1:12" s="2730" customFormat="1">
      <c r="A155" s="2926"/>
      <c r="D155" s="2927"/>
      <c r="K155" s="559"/>
      <c r="L155" s="559"/>
    </row>
    <row r="156" spans="1:12" s="2730" customFormat="1">
      <c r="A156" s="2926"/>
      <c r="D156" s="2927"/>
      <c r="K156" s="559"/>
      <c r="L156" s="559"/>
    </row>
    <row r="157" spans="1:12" s="2730" customFormat="1">
      <c r="A157" s="2926"/>
      <c r="D157" s="2927"/>
      <c r="K157" s="559"/>
      <c r="L157" s="559"/>
    </row>
    <row r="158" spans="1:12" s="2730" customFormat="1">
      <c r="A158" s="2926"/>
      <c r="D158" s="2927"/>
      <c r="K158" s="559"/>
      <c r="L158" s="559"/>
    </row>
    <row r="159" spans="1:12" s="2730" customFormat="1">
      <c r="A159" s="2926"/>
      <c r="D159" s="2927"/>
      <c r="K159" s="559"/>
      <c r="L159" s="559"/>
    </row>
    <row r="160" spans="1:12" s="2730" customFormat="1">
      <c r="A160" s="2926"/>
      <c r="D160" s="2927"/>
      <c r="K160" s="559"/>
      <c r="L160" s="559"/>
    </row>
    <row r="161" spans="1:12" s="2730" customFormat="1">
      <c r="A161" s="2926"/>
      <c r="D161" s="2927"/>
      <c r="K161" s="559"/>
      <c r="L161" s="559"/>
    </row>
    <row r="162" spans="1:12" s="2730" customFormat="1">
      <c r="A162" s="2926"/>
      <c r="D162" s="2927"/>
      <c r="K162" s="559"/>
      <c r="L162" s="559"/>
    </row>
    <row r="163" spans="1:12" s="2730" customFormat="1">
      <c r="A163" s="2926"/>
      <c r="D163" s="2927"/>
      <c r="K163" s="559"/>
      <c r="L163" s="559"/>
    </row>
    <row r="164" spans="1:12" s="2730" customFormat="1">
      <c r="A164" s="2926"/>
      <c r="D164" s="2927"/>
      <c r="K164" s="559"/>
      <c r="L164" s="559"/>
    </row>
    <row r="165" spans="1:12" s="2730" customFormat="1">
      <c r="A165" s="2926"/>
      <c r="D165" s="2927"/>
      <c r="K165" s="559"/>
      <c r="L165" s="559"/>
    </row>
    <row r="166" spans="1:12" s="2730" customFormat="1">
      <c r="A166" s="2926"/>
      <c r="D166" s="2927"/>
      <c r="K166" s="559"/>
      <c r="L166" s="559"/>
    </row>
    <row r="167" spans="1:12" s="2730" customFormat="1">
      <c r="A167" s="2926"/>
      <c r="D167" s="2927"/>
      <c r="K167" s="559"/>
      <c r="L167" s="559"/>
    </row>
    <row r="168" spans="1:12" s="2730" customFormat="1">
      <c r="A168" s="2926"/>
      <c r="D168" s="2927"/>
      <c r="K168" s="559"/>
      <c r="L168" s="559"/>
    </row>
    <row r="169" spans="1:12" s="2730" customFormat="1">
      <c r="A169" s="2926"/>
      <c r="D169" s="2927"/>
      <c r="K169" s="559"/>
      <c r="L169" s="559"/>
    </row>
    <row r="170" spans="1:12" s="2730" customFormat="1">
      <c r="A170" s="2926"/>
      <c r="D170" s="2927"/>
      <c r="K170" s="559"/>
      <c r="L170" s="559"/>
    </row>
    <row r="171" spans="1:12" s="2730" customFormat="1">
      <c r="A171" s="2926"/>
      <c r="D171" s="2927"/>
      <c r="K171" s="559"/>
      <c r="L171" s="559"/>
    </row>
    <row r="172" spans="1:12" s="2730" customFormat="1">
      <c r="A172" s="2926"/>
      <c r="D172" s="2927"/>
      <c r="K172" s="559"/>
      <c r="L172" s="559"/>
    </row>
    <row r="173" spans="1:12" s="2730" customFormat="1">
      <c r="A173" s="2926"/>
      <c r="D173" s="2927"/>
      <c r="K173" s="559"/>
      <c r="L173" s="559"/>
    </row>
    <row r="174" spans="1:12" s="2730" customFormat="1">
      <c r="A174" s="2926"/>
      <c r="D174" s="2927"/>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56" t="s">
        <v>715</v>
      </c>
      <c r="B1" s="3557"/>
      <c r="C1" s="3557"/>
      <c r="D1" s="3557"/>
      <c r="E1" s="3557"/>
      <c r="F1" s="3557"/>
      <c r="G1" s="3557"/>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48"/>
      <c r="I2" s="2248"/>
      <c r="J2" s="2248"/>
      <c r="K2" s="2248"/>
      <c r="L2" s="2248"/>
      <c r="M2" s="2248"/>
      <c r="N2" s="2248"/>
      <c r="O2" s="2248"/>
      <c r="P2" s="2248"/>
      <c r="Q2" s="2248"/>
      <c r="R2" s="2248"/>
    </row>
    <row r="3" spans="1:29" ht="48">
      <c r="A3" s="2671" t="s">
        <v>718</v>
      </c>
      <c r="B3" s="2672" t="s">
        <v>719</v>
      </c>
      <c r="C3" s="2673" t="s">
        <v>720</v>
      </c>
      <c r="D3" s="2674"/>
      <c r="E3" s="2675" t="s">
        <v>718</v>
      </c>
      <c r="F3" s="2676" t="s">
        <v>721</v>
      </c>
      <c r="G3" s="2677" t="s">
        <v>722</v>
      </c>
      <c r="H3" s="2248"/>
      <c r="I3" s="2248"/>
      <c r="J3" s="2248"/>
      <c r="K3" s="2248"/>
      <c r="L3" s="2248"/>
      <c r="M3" s="2248"/>
      <c r="N3" s="2248"/>
      <c r="O3" s="2248"/>
      <c r="P3" s="2248"/>
      <c r="Q3" s="2248"/>
      <c r="R3" s="2248"/>
    </row>
    <row r="4" spans="1:29" ht="36.75">
      <c r="A4" s="2675"/>
      <c r="B4" s="1649" t="s">
        <v>723</v>
      </c>
      <c r="C4" s="2678" t="s">
        <v>724</v>
      </c>
      <c r="D4" s="2674"/>
      <c r="E4" s="2679"/>
      <c r="F4" s="2242" t="s">
        <v>725</v>
      </c>
      <c r="G4" s="2680" t="s">
        <v>726</v>
      </c>
      <c r="H4" s="2248"/>
      <c r="I4" s="2248"/>
      <c r="J4" s="2248"/>
      <c r="K4" s="2248"/>
      <c r="L4" s="2248"/>
      <c r="M4" s="2248"/>
      <c r="N4" s="2248"/>
      <c r="O4" s="2248"/>
      <c r="P4" s="2248"/>
      <c r="Q4" s="2248"/>
      <c r="R4" s="2248"/>
    </row>
    <row r="5" spans="1:29" ht="36.75">
      <c r="A5" s="2675"/>
      <c r="B5" s="1649" t="s">
        <v>727</v>
      </c>
      <c r="C5" s="2678" t="s">
        <v>728</v>
      </c>
      <c r="D5" s="2674"/>
      <c r="E5" s="2679"/>
      <c r="F5" s="1649" t="s">
        <v>549</v>
      </c>
      <c r="G5" s="2680" t="s">
        <v>729</v>
      </c>
      <c r="H5" s="2248"/>
      <c r="I5" s="2248"/>
      <c r="J5" s="2248"/>
      <c r="K5" s="2248"/>
      <c r="L5" s="2248"/>
      <c r="M5" s="2248"/>
      <c r="N5" s="2248"/>
      <c r="O5" s="2248"/>
      <c r="P5" s="2248"/>
      <c r="Q5" s="2248"/>
      <c r="R5" s="2248"/>
    </row>
    <row r="6" spans="1:29" ht="36">
      <c r="A6" s="2675"/>
      <c r="B6" s="1649" t="s">
        <v>725</v>
      </c>
      <c r="C6" s="2680" t="s">
        <v>726</v>
      </c>
      <c r="D6" s="2674"/>
      <c r="E6" s="2679"/>
      <c r="F6" s="1649" t="s">
        <v>730</v>
      </c>
      <c r="G6" s="2680" t="s">
        <v>731</v>
      </c>
      <c r="H6" s="2248"/>
      <c r="I6" s="2248"/>
      <c r="J6" s="2248"/>
      <c r="K6" s="2248"/>
      <c r="L6" s="2248"/>
      <c r="M6" s="2248"/>
      <c r="N6" s="2248"/>
      <c r="O6" s="2248"/>
      <c r="P6" s="2248"/>
      <c r="Q6" s="2248"/>
      <c r="R6" s="2248"/>
    </row>
    <row r="7" spans="1:29" ht="24">
      <c r="A7" s="2675"/>
      <c r="B7" s="1649" t="s">
        <v>549</v>
      </c>
      <c r="C7" s="2680" t="s">
        <v>729</v>
      </c>
      <c r="D7" s="2681"/>
      <c r="E7" s="2682"/>
      <c r="F7" s="2683" t="s">
        <v>732</v>
      </c>
      <c r="G7" s="2684" t="s">
        <v>733</v>
      </c>
      <c r="H7" s="2248"/>
      <c r="I7" s="2248"/>
      <c r="J7" s="2248"/>
      <c r="K7" s="2248"/>
      <c r="L7" s="2248"/>
      <c r="M7" s="2248"/>
      <c r="N7" s="2248"/>
      <c r="O7" s="2248"/>
      <c r="P7" s="2248"/>
      <c r="Q7" s="2248"/>
      <c r="R7" s="2248"/>
    </row>
    <row r="8" spans="1:29">
      <c r="A8" s="2675"/>
      <c r="B8" s="1649" t="s">
        <v>730</v>
      </c>
      <c r="C8" s="2680" t="s">
        <v>731</v>
      </c>
      <c r="D8" s="2681"/>
      <c r="E8" s="2681"/>
      <c r="F8" s="1771"/>
      <c r="G8" s="1771"/>
      <c r="H8" s="2248"/>
      <c r="I8" s="2248"/>
      <c r="J8" s="2248"/>
      <c r="K8" s="2248"/>
      <c r="L8" s="2248"/>
      <c r="M8" s="2248"/>
      <c r="N8" s="2248"/>
      <c r="O8" s="2248"/>
      <c r="P8" s="2248"/>
      <c r="Q8" s="2248"/>
      <c r="R8" s="2248"/>
    </row>
    <row r="9" spans="1:29" ht="24">
      <c r="A9" s="2675"/>
      <c r="B9" s="1649" t="s">
        <v>734</v>
      </c>
      <c r="C9" s="2678" t="s">
        <v>735</v>
      </c>
      <c r="D9" s="2674"/>
      <c r="E9" s="2681"/>
      <c r="F9" s="1771"/>
      <c r="G9" s="1771"/>
      <c r="H9" s="2248"/>
      <c r="I9" s="2248"/>
      <c r="J9" s="2248"/>
      <c r="K9" s="2248"/>
      <c r="L9" s="2248"/>
      <c r="M9" s="2248"/>
      <c r="N9" s="2248"/>
      <c r="O9" s="2248"/>
      <c r="P9" s="2248"/>
      <c r="Q9" s="2248"/>
      <c r="R9" s="2248"/>
    </row>
    <row r="10" spans="1:29" s="2657" customFormat="1">
      <c r="A10" s="2685"/>
      <c r="B10" s="2686" t="s">
        <v>736</v>
      </c>
      <c r="C10" s="2687"/>
      <c r="D10" s="2674"/>
      <c r="E10" s="2674"/>
      <c r="F10" s="1771"/>
      <c r="G10" s="1771"/>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1649" t="s">
        <v>549</v>
      </c>
      <c r="G19" s="2707" t="str">
        <f>G5</f>
        <v>估价对象所在区域公共配套设施齐备情况</v>
      </c>
    </row>
    <row r="20" spans="1:18" ht="25.5">
      <c r="A20" s="2702"/>
      <c r="B20" s="2706" t="s">
        <v>739</v>
      </c>
      <c r="C20" s="2704" t="str">
        <f>C9</f>
        <v>区域自然环境：；人文环境；综合评价环境状况一般</v>
      </c>
      <c r="D20" s="2681"/>
      <c r="E20" s="2705"/>
      <c r="F20" s="1649" t="s">
        <v>730</v>
      </c>
      <c r="G20" s="2707" t="str">
        <f>G6</f>
        <v>估价对象所在区域基础设施水平</v>
      </c>
    </row>
    <row r="21" spans="1:18" ht="25.5">
      <c r="A21" s="2702"/>
      <c r="B21" s="1649" t="s">
        <v>549</v>
      </c>
      <c r="C21" s="2707" t="str">
        <f>C7</f>
        <v>估价对象所在区域公共配套设施齐备情况</v>
      </c>
      <c r="D21" s="2674"/>
      <c r="E21" s="2705"/>
      <c r="F21" s="2706" t="s">
        <v>740</v>
      </c>
      <c r="G21" s="2709"/>
    </row>
    <row r="22" spans="1:18" ht="13.5" customHeight="1">
      <c r="A22" s="2702"/>
      <c r="B22" s="1649" t="s">
        <v>730</v>
      </c>
      <c r="C22" s="2707" t="str">
        <f>C8</f>
        <v>估价对象所在区域基础设施水平</v>
      </c>
      <c r="D22" s="2674"/>
      <c r="E22" s="2705"/>
      <c r="F22" s="2706" t="s">
        <v>736</v>
      </c>
      <c r="G22" s="2708"/>
    </row>
    <row r="23" spans="1:18" s="2248" customFormat="1">
      <c r="A23" s="2702"/>
      <c r="B23" s="2706" t="s">
        <v>740</v>
      </c>
      <c r="C23" s="2709"/>
      <c r="D23" s="2635"/>
      <c r="E23" s="2710"/>
      <c r="F23" s="2711" t="s">
        <v>498</v>
      </c>
      <c r="G23" s="2712"/>
      <c r="H23" s="2662"/>
      <c r="I23" s="2663"/>
      <c r="J23" s="2662"/>
      <c r="K23" s="2662"/>
      <c r="L23" s="2663"/>
      <c r="M23" s="2662"/>
      <c r="N23" s="2662"/>
      <c r="O23" s="2663"/>
      <c r="P23" s="2662"/>
      <c r="Q23" s="2662"/>
      <c r="R23" s="2664"/>
    </row>
    <row r="24" spans="1:18" s="2248"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333.8</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45545</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663.42750000000001</v>
      </c>
      <c r="C5" s="2641" t="e">
        <f ca="1">IF(B5=D14,结果表!H102,ROUND(B5*10000/$B$1,0))</f>
        <v>#N/A</v>
      </c>
      <c r="D5" s="2641" t="e">
        <f ca="1">ROUND(B5*10000/$B$2,0)</f>
        <v>#DIV/0!</v>
      </c>
      <c r="E5" s="2642"/>
      <c r="F5" s="2643"/>
      <c r="G5" s="2643"/>
      <c r="H5" s="2644"/>
      <c r="I5" s="2644"/>
      <c r="J5" s="2644"/>
      <c r="K5" s="2644"/>
    </row>
    <row r="6" spans="1:11" ht="16.5">
      <c r="A6" s="2641" t="s">
        <v>749</v>
      </c>
      <c r="B6" s="2641">
        <f ca="1">SUM(G14:G23)</f>
        <v>663.42750000000001</v>
      </c>
      <c r="C6" s="2641" t="e">
        <f ca="1">IF(B6=G14,结果表!H108,ROUND(B6*10000/$B$1,0))</f>
        <v>#N/A</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'数据-基础表'!I13</f>
        <v>333.8</v>
      </c>
      <c r="C14" s="2653"/>
      <c r="D14" s="2653">
        <f ca="1">'结果表 (2)'!D108/10000</f>
        <v>663.42750000000001</v>
      </c>
      <c r="E14" s="2653">
        <f ca="1">ROUND(D14*10000/B14,0)</f>
        <v>19875</v>
      </c>
      <c r="F14" s="2653" t="e">
        <f ca="1">ROUND(D14*10000/C14,0)</f>
        <v>#DIV/0!</v>
      </c>
      <c r="G14" s="2653">
        <f ca="1">D14</f>
        <v>663.42750000000001</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C1" sqref="C1"/>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c r="A1" s="2360" t="s">
        <v>771</v>
      </c>
      <c r="B1" s="2361"/>
      <c r="C1" s="2362" t="s">
        <v>2891</v>
      </c>
      <c r="D1" s="2361"/>
      <c r="E1" s="2361"/>
      <c r="F1" s="2363" t="s">
        <v>772</v>
      </c>
      <c r="G1" s="2364"/>
      <c r="H1" s="2365" t="str">
        <f>IF(G1="现房","——","估价对象范围")</f>
        <v>估价对象范围</v>
      </c>
      <c r="I1" s="2497"/>
    </row>
    <row r="2" spans="1:12" ht="21.75" customHeight="1">
      <c r="A2" s="3632" t="str">
        <f>项目基本情况!S2</f>
        <v>北京市房地产</v>
      </c>
      <c r="B2" s="3633"/>
      <c r="C2" s="3633"/>
      <c r="D2" s="3633"/>
      <c r="E2" s="3633"/>
      <c r="F2" s="3633"/>
      <c r="G2" s="3633"/>
      <c r="H2" s="3633"/>
      <c r="I2" s="3634"/>
    </row>
    <row r="3" spans="1:12" ht="12.75">
      <c r="A3" s="3635" t="s">
        <v>773</v>
      </c>
      <c r="B3" s="3636"/>
      <c r="C3" s="3636"/>
      <c r="D3" s="3636"/>
      <c r="E3" s="3636"/>
      <c r="F3" s="3636"/>
      <c r="G3" s="3636"/>
      <c r="H3" s="3636"/>
      <c r="I3" s="3636"/>
    </row>
    <row r="4" spans="1:12" ht="14.25">
      <c r="A4" s="2366" t="s">
        <v>774</v>
      </c>
      <c r="B4" s="2367" t="s">
        <v>775</v>
      </c>
      <c r="C4" s="2368" t="s">
        <v>2896</v>
      </c>
      <c r="D4" s="2368" t="s">
        <v>2892</v>
      </c>
      <c r="E4" s="3637" t="s">
        <v>776</v>
      </c>
      <c r="F4" s="3638"/>
      <c r="G4" s="3638"/>
      <c r="H4" s="3638"/>
      <c r="I4" s="3639"/>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59" t="s">
        <v>777</v>
      </c>
      <c r="B5" s="3567">
        <v>25</v>
      </c>
      <c r="C5" s="3649"/>
      <c r="D5" s="3570"/>
      <c r="E5" s="1648" t="s">
        <v>778</v>
      </c>
      <c r="F5" s="2373"/>
      <c r="G5" s="2373"/>
      <c r="H5" s="2373"/>
      <c r="I5" s="2242"/>
    </row>
    <row r="6" spans="1:12" ht="12.75">
      <c r="A6" s="3559"/>
      <c r="B6" s="3567"/>
      <c r="C6" s="3650"/>
      <c r="D6" s="3570"/>
      <c r="E6" s="1648" t="s">
        <v>779</v>
      </c>
      <c r="F6" s="2373"/>
      <c r="G6" s="2373"/>
      <c r="H6" s="2373"/>
      <c r="I6" s="2242"/>
    </row>
    <row r="7" spans="1:12" ht="12.75">
      <c r="A7" s="3559"/>
      <c r="B7" s="3567"/>
      <c r="C7" s="3651"/>
      <c r="D7" s="3570"/>
      <c r="E7" s="1648" t="s">
        <v>780</v>
      </c>
      <c r="F7" s="2373"/>
      <c r="G7" s="2373"/>
      <c r="H7" s="2373"/>
      <c r="I7" s="2242"/>
    </row>
    <row r="8" spans="1:12" ht="12.75">
      <c r="A8" s="3559" t="s">
        <v>781</v>
      </c>
      <c r="B8" s="3567">
        <v>15</v>
      </c>
      <c r="C8" s="3649"/>
      <c r="D8" s="3570"/>
      <c r="E8" s="1648" t="s">
        <v>782</v>
      </c>
      <c r="F8" s="2373"/>
      <c r="G8" s="2373"/>
      <c r="H8" s="2373"/>
      <c r="I8" s="2242"/>
    </row>
    <row r="9" spans="1:12" ht="12.75">
      <c r="A9" s="3559"/>
      <c r="B9" s="3567"/>
      <c r="C9" s="3651"/>
      <c r="D9" s="3570"/>
      <c r="E9" s="1648" t="s">
        <v>783</v>
      </c>
      <c r="F9" s="2373"/>
      <c r="G9" s="2373"/>
      <c r="H9" s="2373"/>
      <c r="I9" s="2242"/>
    </row>
    <row r="10" spans="1:12" ht="12.75">
      <c r="A10" s="3559" t="s">
        <v>784</v>
      </c>
      <c r="B10" s="3567">
        <v>15</v>
      </c>
      <c r="C10" s="3649"/>
      <c r="D10" s="3570"/>
      <c r="E10" s="1648" t="s">
        <v>785</v>
      </c>
      <c r="F10" s="2373"/>
      <c r="G10" s="2373"/>
      <c r="H10" s="2373"/>
      <c r="I10" s="2242"/>
    </row>
    <row r="11" spans="1:12" ht="12.75">
      <c r="A11" s="3559"/>
      <c r="B11" s="3567"/>
      <c r="C11" s="3651"/>
      <c r="D11" s="3570"/>
      <c r="E11" s="1648" t="s">
        <v>786</v>
      </c>
      <c r="F11" s="2373"/>
      <c r="G11" s="2373"/>
      <c r="H11" s="2373"/>
      <c r="I11" s="2242"/>
    </row>
    <row r="12" spans="1:12" ht="12.75">
      <c r="A12" s="3559" t="s">
        <v>787</v>
      </c>
      <c r="B12" s="3567">
        <v>15</v>
      </c>
      <c r="C12" s="3649"/>
      <c r="D12" s="3570"/>
      <c r="E12" s="1648" t="s">
        <v>788</v>
      </c>
      <c r="F12" s="2373"/>
      <c r="G12" s="2373"/>
      <c r="H12" s="2373"/>
      <c r="I12" s="2242"/>
    </row>
    <row r="13" spans="1:12" ht="12.75">
      <c r="A13" s="3559"/>
      <c r="B13" s="3567"/>
      <c r="C13" s="3651"/>
      <c r="D13" s="3570"/>
      <c r="E13" s="1648" t="s">
        <v>789</v>
      </c>
      <c r="F13" s="2373"/>
      <c r="G13" s="2373"/>
      <c r="H13" s="2373"/>
      <c r="I13" s="2242"/>
    </row>
    <row r="14" spans="1:12" ht="12.75">
      <c r="A14" s="3559" t="s">
        <v>790</v>
      </c>
      <c r="B14" s="3567">
        <v>30</v>
      </c>
      <c r="C14" s="3649">
        <v>4</v>
      </c>
      <c r="D14" s="3570">
        <v>6</v>
      </c>
      <c r="E14" s="1648" t="s">
        <v>791</v>
      </c>
      <c r="F14" s="2373"/>
      <c r="G14" s="2373"/>
      <c r="H14" s="2373"/>
      <c r="I14" s="2242"/>
    </row>
    <row r="15" spans="1:12" ht="12.75">
      <c r="A15" s="3559"/>
      <c r="B15" s="3567"/>
      <c r="C15" s="3650"/>
      <c r="D15" s="3570"/>
      <c r="E15" s="1648" t="s">
        <v>792</v>
      </c>
      <c r="F15" s="2373"/>
      <c r="G15" s="2373"/>
      <c r="H15" s="2373"/>
      <c r="I15" s="2242"/>
    </row>
    <row r="16" spans="1:12" ht="12.75">
      <c r="A16" s="3559"/>
      <c r="B16" s="3567"/>
      <c r="C16" s="3651"/>
      <c r="D16" s="3570"/>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c r="A18" s="2377" t="s">
        <v>797</v>
      </c>
      <c r="B18" s="2378"/>
      <c r="C18" s="2379">
        <f>ROUND(C17/SUM(C17:D17),2)</f>
        <v>0.4</v>
      </c>
      <c r="D18" s="2379">
        <f>1-C18</f>
        <v>0.6</v>
      </c>
      <c r="E18" s="3640" t="s">
        <v>798</v>
      </c>
      <c r="F18" s="3641"/>
      <c r="G18" s="3641"/>
      <c r="H18" s="3641"/>
      <c r="I18" s="3641"/>
      <c r="K18" s="1608" t="s">
        <v>455</v>
      </c>
      <c r="L18" s="1608">
        <f>IF(C1="",'数据-汇总表'!E3,SUMIF(项目类型,C1,'数据-汇总表'!E17:E26)+SUMIF(项目类型,C1,'数据-汇总表'!I17:I26))</f>
        <v>0</v>
      </c>
      <c r="M18" s="1608">
        <f>IF(C1="",'数据-汇总表'!E3,SUMIF(项目类型,C1,'数据-汇总表'!E17:E26))</f>
        <v>0</v>
      </c>
    </row>
    <row r="19" spans="1:36" ht="15">
      <c r="A19" s="2380" t="s">
        <v>799</v>
      </c>
      <c r="B19" s="2381" t="s">
        <v>800</v>
      </c>
      <c r="C19" s="2382" t="e">
        <f ca="1">SUMIF(INDIRECT("'"&amp;C4&amp;"'"&amp;"!A:A"),结果表!B19,INDIRECT("'"&amp;C4&amp;"'"&amp;"!B:B"))</f>
        <v>#N/A</v>
      </c>
      <c r="D19" s="1055" t="e">
        <f ca="1">SUMIF(INDIRECT("'"&amp;D4&amp;"'"&amp;"!A:A"),结果表!B19,INDIRECT("'"&amp;D4&amp;"'"&amp;"!B:B"))</f>
        <v>#N/A</v>
      </c>
      <c r="E19" s="2380" t="s">
        <v>801</v>
      </c>
      <c r="F19" s="2381" t="s">
        <v>800</v>
      </c>
      <c r="G19" s="2383" t="e">
        <f ca="1">ROUND(C19*$C$18+D19*$D$18,0)</f>
        <v>#N/A</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t="e">
        <f ca="1">SUMIF(INDIRECT("'"&amp;C4&amp;"'"&amp;"!A:A"),结果表!B20,INDIRECT("'"&amp;C4&amp;"'"&amp;"!B:B"))</f>
        <v>#N/A</v>
      </c>
      <c r="D20" s="1344">
        <f ca="1">SUMIF(INDIRECT("'"&amp;D4&amp;"'"&amp;"!A:A"),结果表!B20,INDIRECT("'"&amp;D4&amp;"'"&amp;"!B:B"))</f>
        <v>0</v>
      </c>
      <c r="E20" s="2385"/>
      <c r="F20" s="2386" t="s">
        <v>803</v>
      </c>
      <c r="G20" s="2387" t="e">
        <f ca="1">ROUND(C20*$C$18+D20*$D$18,0)</f>
        <v>#N/A</v>
      </c>
      <c r="H20" s="1764" t="s">
        <v>804</v>
      </c>
      <c r="I20" s="604"/>
    </row>
    <row r="21" spans="1:36" ht="15" customHeight="1">
      <c r="A21" s="2323"/>
      <c r="B21" s="2388" t="s">
        <v>805</v>
      </c>
      <c r="C21" s="2389" t="e">
        <f ca="1">ROUND(C19*10000/L19,0)</f>
        <v>#N/A</v>
      </c>
      <c r="D21" s="2390" t="e">
        <f ca="1">ROUND(D19*10000/L19,0)</f>
        <v>#N/A</v>
      </c>
      <c r="E21" s="2323"/>
      <c r="F21" s="2388" t="s">
        <v>805</v>
      </c>
      <c r="G21" s="2391" t="e">
        <f ca="1">ROUND(G19*10000/L19,0)</f>
        <v>#N/A</v>
      </c>
      <c r="H21" s="2392" t="s">
        <v>804</v>
      </c>
      <c r="I21" s="604"/>
    </row>
    <row r="22" spans="1:36" ht="14.25">
      <c r="A22" s="2393" t="s">
        <v>806</v>
      </c>
      <c r="B22" s="2394"/>
      <c r="C22" s="2395"/>
      <c r="D22" s="2396" t="e">
        <f ca="1">IF(C19&lt;D19,D19/C19-1,C19/D19-1)</f>
        <v>#N/A</v>
      </c>
      <c r="E22" s="604"/>
      <c r="F22" s="604"/>
      <c r="G22" s="604"/>
      <c r="H22" s="604"/>
      <c r="I22" s="604"/>
    </row>
    <row r="23" spans="1:36" ht="12.75">
      <c r="A23" s="2361"/>
      <c r="B23" s="2361"/>
      <c r="C23" s="2361"/>
      <c r="D23" s="2361"/>
      <c r="E23" s="604"/>
      <c r="F23" s="604"/>
      <c r="G23" s="604"/>
      <c r="H23" s="604"/>
      <c r="I23" s="604"/>
    </row>
    <row r="24" spans="1:36" ht="14.25">
      <c r="A24" s="3560" t="s">
        <v>807</v>
      </c>
      <c r="B24" s="2381" t="s">
        <v>800</v>
      </c>
      <c r="C24" s="2383">
        <f>IF(B30=0,0,D30)</f>
        <v>0</v>
      </c>
      <c r="D24" s="2397"/>
      <c r="E24" s="604"/>
      <c r="F24" s="604"/>
      <c r="G24" s="604"/>
      <c r="H24" s="604"/>
      <c r="I24" s="604"/>
    </row>
    <row r="25" spans="1:36" ht="14.25">
      <c r="A25" s="3561"/>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4.25">
      <c r="A30" s="2401" t="s">
        <v>812</v>
      </c>
      <c r="B30" s="2401"/>
      <c r="C30" s="2401"/>
      <c r="D30" s="2401"/>
      <c r="E30" s="2403" t="s">
        <v>813</v>
      </c>
      <c r="F30" s="604"/>
      <c r="G30" s="604"/>
      <c r="H30" s="604"/>
      <c r="I30" s="604"/>
    </row>
    <row r="31" spans="1:36" s="2355" customFormat="1" ht="26.45" customHeigh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815</v>
      </c>
      <c r="B32" s="2407"/>
      <c r="C32" s="2408" t="e">
        <f ca="1">IF(D32="总价",G19-C24,G20-C25)</f>
        <v>#N/A</v>
      </c>
      <c r="D32" s="2409" t="s">
        <v>2856</v>
      </c>
      <c r="E32" s="604"/>
      <c r="F32" s="604"/>
      <c r="G32" s="604"/>
      <c r="H32" s="604"/>
      <c r="I32" s="604"/>
    </row>
    <row r="33" spans="1:15" ht="15">
      <c r="A33" s="2264" t="s">
        <v>816</v>
      </c>
      <c r="B33" s="2410"/>
      <c r="C33" s="2411" t="s">
        <v>2858</v>
      </c>
      <c r="D33" s="2412"/>
      <c r="E33" s="2413" t="s">
        <v>817</v>
      </c>
      <c r="F33" s="2414" t="str">
        <f>IF(D32="楼面单价","取值（单价）","取值（总价）")</f>
        <v>取值（单价）</v>
      </c>
      <c r="G33" s="604"/>
      <c r="H33" s="604"/>
      <c r="I33" s="604"/>
    </row>
    <row r="34" spans="1:15" ht="15">
      <c r="A34" s="2415"/>
      <c r="B34" s="2416" t="s">
        <v>818</v>
      </c>
      <c r="C34" s="2417">
        <f>IF(C33="自定义",F34,C32-C35)</f>
        <v>0</v>
      </c>
      <c r="D34" s="2418" t="e">
        <f ca="1">IF(C33="自定义",ROUND(C34/C32,3),IF(C33="收益比率",SUMIF(INDIRECT("'"&amp;D33&amp;"'"&amp;"!b:b"),"土地收益比率",INDIRECT("'"&amp;D33&amp;"'"&amp;"!c:c")),SUMIF(INDIRECT("'"&amp;D33&amp;"'"&amp;"!b:b"),"土地成本比率",INDIRECT("'"&amp;D33&amp;"'"&amp;"!c:c"))))</f>
        <v>#N/A</v>
      </c>
      <c r="E34" s="2419" t="s">
        <v>819</v>
      </c>
      <c r="F34" s="2420"/>
      <c r="G34" s="604"/>
      <c r="H34" s="604"/>
      <c r="I34" s="604"/>
    </row>
    <row r="35" spans="1:15" ht="15">
      <c r="A35" s="2421"/>
      <c r="B35" s="2422" t="s">
        <v>820</v>
      </c>
      <c r="C35" s="2423">
        <f>IF(C33="自定义",F35,ROUND(C32*D35,0))</f>
        <v>0</v>
      </c>
      <c r="D35" s="2424" t="e">
        <f ca="1">IF(C33="自定义",ROUND(C35/C32,3),IF(C33="收益比率",SUMIF(INDIRECT("'"&amp;D33&amp;"'"&amp;"!b:b"),"建筑物收益比率",INDIRECT("'"&amp;D33&amp;"'"&amp;"!c:c")),SUMIF(INDIRECT("'"&amp;D33&amp;"'"&amp;"!b:b"),"建筑物成本比率",INDIRECT("'"&amp;D33&amp;"'"&amp;"!c:c"))))</f>
        <v>#N/A</v>
      </c>
      <c r="E35" s="2425" t="s">
        <v>821</v>
      </c>
      <c r="F35" s="2426"/>
      <c r="G35" s="604"/>
      <c r="H35" s="604"/>
      <c r="I35" s="604"/>
    </row>
    <row r="36" spans="1:15" ht="15">
      <c r="A36" s="3562" t="s">
        <v>822</v>
      </c>
      <c r="B36" s="2427" t="s">
        <v>823</v>
      </c>
      <c r="C36" s="2428"/>
      <c r="D36" s="2429"/>
      <c r="E36" s="2430"/>
      <c r="F36" s="2431"/>
      <c r="G36" s="604"/>
      <c r="H36" s="604"/>
      <c r="I36" s="604"/>
    </row>
    <row r="37" spans="1:15" ht="15">
      <c r="A37" s="3563"/>
      <c r="B37" s="2432" t="s">
        <v>824</v>
      </c>
      <c r="C37" s="2433"/>
      <c r="D37" s="2434"/>
      <c r="E37" s="2434"/>
      <c r="F37" s="2431"/>
      <c r="G37" s="604"/>
      <c r="H37" s="604"/>
      <c r="I37" s="604"/>
    </row>
    <row r="38" spans="1:15" ht="15">
      <c r="A38" s="3564"/>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4.25">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c r="A45" s="3642" t="s">
        <v>833</v>
      </c>
      <c r="B45" s="3643"/>
      <c r="C45" s="3644"/>
      <c r="D45" s="1607" t="e">
        <f ca="1">ROUND(H101*F45,0)</f>
        <v>#N/A</v>
      </c>
      <c r="E45" s="2453" t="s">
        <v>834</v>
      </c>
      <c r="F45" s="2454">
        <v>1</v>
      </c>
      <c r="G45" s="2455" t="s">
        <v>835</v>
      </c>
      <c r="H45" s="604"/>
      <c r="I45" s="604"/>
      <c r="J45" s="3631" t="s">
        <v>836</v>
      </c>
      <c r="K45" s="3631"/>
      <c r="L45" s="3631"/>
      <c r="M45" s="3631"/>
      <c r="N45" s="3631"/>
      <c r="O45" s="3631"/>
    </row>
    <row r="46" spans="1:15" ht="14.25" customHeight="1">
      <c r="A46" s="3645" t="s">
        <v>837</v>
      </c>
      <c r="B46" s="3646"/>
      <c r="C46" s="3646"/>
      <c r="D46" s="3646"/>
      <c r="E46" s="3646"/>
      <c r="F46" s="3646"/>
      <c r="G46" s="3647"/>
      <c r="H46" s="2456"/>
      <c r="I46" s="605"/>
      <c r="J46" s="1936">
        <v>1</v>
      </c>
      <c r="K46" s="3621" t="s">
        <v>838</v>
      </c>
      <c r="L46" s="3621"/>
      <c r="M46" s="3648"/>
      <c r="N46" s="3648"/>
      <c r="O46" s="3648"/>
    </row>
    <row r="47" spans="1:15" ht="12" customHeight="1">
      <c r="A47" s="2457" t="s">
        <v>839</v>
      </c>
      <c r="B47" s="2458"/>
      <c r="C47" s="2459"/>
      <c r="D47" s="1658" t="s">
        <v>840</v>
      </c>
      <c r="E47" s="1608" t="s">
        <v>841</v>
      </c>
      <c r="F47" s="2460" t="s">
        <v>842</v>
      </c>
      <c r="G47" s="2461" t="s">
        <v>843</v>
      </c>
      <c r="H47" s="2462"/>
      <c r="I47" s="605"/>
      <c r="J47" s="1936">
        <v>2</v>
      </c>
      <c r="K47" s="3621" t="s">
        <v>844</v>
      </c>
      <c r="L47" s="3621"/>
      <c r="M47" s="3628">
        <f>'数据-取费表'!B2</f>
        <v>45545</v>
      </c>
      <c r="N47" s="3628"/>
      <c r="O47" s="3628"/>
    </row>
    <row r="48" spans="1:15" ht="25.5">
      <c r="A48" s="3629" t="s">
        <v>845</v>
      </c>
      <c r="B48" s="3623"/>
      <c r="C48" s="3623"/>
      <c r="D48" s="1762" t="e">
        <f ca="1">IF(H48="情况1",0,IF(H48="情况2",D52,IF(H48="情况3",D53,IF(H48="情况4",D54))))</f>
        <v>#N/A</v>
      </c>
      <c r="E48" s="1662" t="str">
        <f>IF(H48="情况4","(销售额-原购置价)×税（费）率","销售额×税（费）率")</f>
        <v>(销售额-原购置价)×税（费）率</v>
      </c>
      <c r="F48" s="2464">
        <f>IF(H48="情况1","免征",'数据-取费表'!B41)</f>
        <v>5.5000000000000007E-2</v>
      </c>
      <c r="G48" s="2465" t="s">
        <v>846</v>
      </c>
      <c r="H48" s="2466" t="s">
        <v>2850</v>
      </c>
      <c r="I48" s="2456"/>
      <c r="J48" s="1936">
        <v>3</v>
      </c>
      <c r="K48" s="3621" t="s">
        <v>847</v>
      </c>
      <c r="L48" s="3621"/>
      <c r="M48" s="3630" t="e">
        <f ca="1">H101</f>
        <v>#N/A</v>
      </c>
      <c r="N48" s="3630"/>
      <c r="O48" s="3630"/>
    </row>
    <row r="49" spans="1:35" ht="25.5" customHeight="1">
      <c r="A49" s="2463" t="s">
        <v>848</v>
      </c>
      <c r="B49" s="3597" t="s">
        <v>849</v>
      </c>
      <c r="C49" s="3597"/>
      <c r="D49" s="2467">
        <v>0</v>
      </c>
      <c r="E49" s="1668" t="s">
        <v>850</v>
      </c>
      <c r="F49" s="2468" t="s">
        <v>124</v>
      </c>
      <c r="G49" s="3624"/>
      <c r="H49" s="2469" t="s">
        <v>851</v>
      </c>
      <c r="I49" s="2506"/>
      <c r="J49" s="1936">
        <v>4</v>
      </c>
      <c r="K49" s="3621" t="str">
        <f>IF(项目基本情况!E8="房地产抵押价值","房地产抵押价值","抵押担保权已注销时的房地产抵押价值")</f>
        <v>房地产抵押价值</v>
      </c>
      <c r="L49" s="3621"/>
      <c r="M49" s="3630" t="e">
        <f ca="1">IF(项目基本情况!E8="房地产抵押价值",H107,H109)</f>
        <v>#N/A</v>
      </c>
      <c r="N49" s="3630"/>
      <c r="O49" s="3630"/>
    </row>
    <row r="50" spans="1:35" ht="25.5" customHeight="1">
      <c r="A50" s="2470"/>
      <c r="B50" s="3597" t="s">
        <v>852</v>
      </c>
      <c r="C50" s="3597"/>
      <c r="D50" s="2471"/>
      <c r="E50" s="1683"/>
      <c r="F50" s="2468"/>
      <c r="G50" s="3625"/>
      <c r="H50" s="2472" t="s">
        <v>853</v>
      </c>
      <c r="I50" s="2506"/>
      <c r="J50" s="3631" t="s">
        <v>854</v>
      </c>
      <c r="K50" s="3631"/>
      <c r="L50" s="3631"/>
      <c r="M50" s="3631"/>
      <c r="N50" s="3631"/>
      <c r="O50" s="3631"/>
    </row>
    <row r="51" spans="1:35" ht="20.45" customHeight="1">
      <c r="A51" s="2473"/>
      <c r="B51" s="3597" t="s">
        <v>855</v>
      </c>
      <c r="C51" s="3597"/>
      <c r="D51" s="1658"/>
      <c r="E51" s="1672"/>
      <c r="F51" s="2468"/>
      <c r="G51" s="3626"/>
      <c r="H51" s="2472" t="s">
        <v>856</v>
      </c>
      <c r="I51" s="2506"/>
      <c r="J51" s="2505" t="s">
        <v>857</v>
      </c>
      <c r="K51" s="3621" t="s">
        <v>858</v>
      </c>
      <c r="L51" s="3621"/>
      <c r="M51" s="2505" t="s">
        <v>859</v>
      </c>
      <c r="N51" s="2505" t="s">
        <v>860</v>
      </c>
      <c r="O51" s="2505" t="s">
        <v>861</v>
      </c>
    </row>
    <row r="52" spans="1:35" ht="24" customHeight="1">
      <c r="A52" s="2474" t="s">
        <v>862</v>
      </c>
      <c r="B52" s="3597" t="s">
        <v>863</v>
      </c>
      <c r="C52" s="3597"/>
      <c r="D52" s="1658" t="e">
        <f ca="1">ROUND(D45*'数据-取费表'!B41/(1+'数据-取费表'!C42),0)</f>
        <v>#N/A</v>
      </c>
      <c r="E52" s="1662" t="s">
        <v>864</v>
      </c>
      <c r="F52" s="2475">
        <f>'数据-取费表'!B41</f>
        <v>5.5000000000000007E-2</v>
      </c>
      <c r="G52" s="2476"/>
      <c r="H52" s="1777"/>
      <c r="I52" s="2507"/>
      <c r="J52" s="1936">
        <v>1</v>
      </c>
      <c r="K52" s="3617" t="s">
        <v>865</v>
      </c>
      <c r="L52" s="3617"/>
      <c r="M52" s="2508" t="e">
        <f ca="1">D48</f>
        <v>#N/A</v>
      </c>
      <c r="N52" s="1936" t="str">
        <f>E48</f>
        <v>(销售额-原购置价)×税（费）率</v>
      </c>
      <c r="O52" s="2509">
        <f>F48</f>
        <v>5.5000000000000007E-2</v>
      </c>
    </row>
    <row r="53" spans="1:35" ht="12" customHeight="1">
      <c r="A53" s="2474" t="s">
        <v>866</v>
      </c>
      <c r="B53" s="3596" t="s">
        <v>867</v>
      </c>
      <c r="C53" s="3613"/>
      <c r="D53" s="1658" t="e">
        <f ca="1">ROUND(D45*'数据-取费表'!B41/(1+'数据-取费表'!C42),0)</f>
        <v>#N/A</v>
      </c>
      <c r="E53" s="1662" t="s">
        <v>864</v>
      </c>
      <c r="F53" s="2475">
        <f>'数据-取费表'!B41</f>
        <v>5.5000000000000007E-2</v>
      </c>
      <c r="G53" s="2476"/>
      <c r="H53" s="1777"/>
      <c r="I53" s="2507"/>
      <c r="J53" s="1936">
        <v>2</v>
      </c>
      <c r="K53" s="3617" t="s">
        <v>868</v>
      </c>
      <c r="L53" s="3617"/>
      <c r="M53" s="2508" t="e">
        <f t="shared" ref="M53:O54" ca="1" si="0">D55</f>
        <v>#N/A</v>
      </c>
      <c r="N53" s="1936" t="str">
        <f t="shared" si="0"/>
        <v>销售额×税（费）率</v>
      </c>
      <c r="O53" s="2509">
        <f t="shared" si="0"/>
        <v>5.0000000000000001E-4</v>
      </c>
    </row>
    <row r="54" spans="1:35" ht="12" customHeight="1">
      <c r="A54" s="2474" t="s">
        <v>869</v>
      </c>
      <c r="B54" s="3596" t="s">
        <v>870</v>
      </c>
      <c r="C54" s="3613"/>
      <c r="D54" s="1658" t="e">
        <f ca="1">C68</f>
        <v>#N/A</v>
      </c>
      <c r="E54" s="1672" t="s">
        <v>871</v>
      </c>
      <c r="F54" s="2475">
        <f>'数据-取费表'!B41</f>
        <v>5.5000000000000007E-2</v>
      </c>
      <c r="G54" s="2476"/>
      <c r="H54" s="2477"/>
      <c r="I54" s="2507"/>
      <c r="J54" s="1936">
        <v>3</v>
      </c>
      <c r="K54" s="3617" t="s">
        <v>872</v>
      </c>
      <c r="L54" s="3617"/>
      <c r="M54" s="2508" t="e">
        <f ca="1">D58</f>
        <v>#N/A</v>
      </c>
      <c r="N54" s="1936" t="str">
        <f t="shared" si="0"/>
        <v>增值额×税（费）率</v>
      </c>
      <c r="O54" s="2510" t="str">
        <f t="shared" si="0"/>
        <v>——</v>
      </c>
    </row>
    <row r="55" spans="1:35" ht="24" customHeight="1">
      <c r="A55" s="3622" t="s">
        <v>873</v>
      </c>
      <c r="B55" s="3623"/>
      <c r="C55" s="3623"/>
      <c r="D55" s="1762" t="e">
        <f ca="1">IF(H55="个人住宅",0,ROUND(D45*I55,0))</f>
        <v>#N/A</v>
      </c>
      <c r="E55" s="1662" t="s">
        <v>874</v>
      </c>
      <c r="F55" s="2475">
        <f>IF(H55="正常",I55,"免征")</f>
        <v>5.0000000000000001E-4</v>
      </c>
      <c r="G55" s="2476"/>
      <c r="H55" s="2466" t="s">
        <v>2851</v>
      </c>
      <c r="I55" s="2511">
        <f>'数据-取费表'!B49</f>
        <v>5.0000000000000001E-4</v>
      </c>
      <c r="J55" s="1936" t="str">
        <f>IF(H59="非个人房产","",4)</f>
        <v/>
      </c>
      <c r="K55" s="3617" t="str">
        <f>IF(H59="非个人房产","——","个人所得税")</f>
        <v>——</v>
      </c>
      <c r="L55" s="3617"/>
      <c r="M55" s="2512" t="str">
        <f>D59</f>
        <v>——</v>
      </c>
      <c r="N55" s="1917" t="str">
        <f>E59</f>
        <v>——</v>
      </c>
      <c r="O55" s="2513" t="str">
        <f>F59</f>
        <v>——</v>
      </c>
    </row>
    <row r="56" spans="1:35" ht="24.75">
      <c r="A56" s="3622" t="s">
        <v>875</v>
      </c>
      <c r="B56" s="3623"/>
      <c r="C56" s="3623"/>
      <c r="D56" s="1762" t="e">
        <f ca="1">IF(H56="个人住宅",D57,D58)</f>
        <v>#N/A</v>
      </c>
      <c r="E56" s="1662" t="s">
        <v>876</v>
      </c>
      <c r="F56" s="2475" t="str">
        <f>IF(H56="正常",F58,"免征")</f>
        <v>——</v>
      </c>
      <c r="G56" s="2478" t="s">
        <v>877</v>
      </c>
      <c r="H56" s="2479" t="s">
        <v>2851</v>
      </c>
      <c r="I56" s="2488"/>
      <c r="J56" s="1936" t="str">
        <f>IF(项目基本情况!K6="上海银行",IF(J55="",4,J55+1),"")</f>
        <v/>
      </c>
      <c r="K56" s="3611" t="str">
        <f>IF(项目基本情况!K6="上海银行","其他处置费用","")</f>
        <v/>
      </c>
      <c r="L56" s="3627"/>
      <c r="M56" s="2508" t="str">
        <f>IF(项目基本情况!K6="上海银行",M69,"")</f>
        <v/>
      </c>
      <c r="N56" s="3611" t="str">
        <f>IF(项目基本情况!K6="上海银行","包含处置中涉及的律师、诉讼、拍卖、评估等费用","")</f>
        <v/>
      </c>
      <c r="O56" s="3612"/>
    </row>
    <row r="57" spans="1:35" ht="12.75">
      <c r="A57" s="2474" t="s">
        <v>848</v>
      </c>
      <c r="B57" s="3596" t="s">
        <v>878</v>
      </c>
      <c r="C57" s="3613"/>
      <c r="D57" s="2467">
        <v>0</v>
      </c>
      <c r="E57" s="1668" t="s">
        <v>850</v>
      </c>
      <c r="F57" s="1608"/>
      <c r="G57" s="2476"/>
      <c r="H57" s="2480"/>
      <c r="I57" s="2488"/>
      <c r="J57" s="3617">
        <f>IF(AND(J55="",J56=""),4,IF(项目基本情况!K6="上海银行",结果表!J56+1,结果表!J55+1))</f>
        <v>4</v>
      </c>
      <c r="K57" s="3617" t="s">
        <v>879</v>
      </c>
      <c r="L57" s="2514" t="s">
        <v>880</v>
      </c>
      <c r="M57" s="2515"/>
      <c r="N57" s="2516">
        <f ca="1">SUMIF(M52:M56,"&lt;9e307")</f>
        <v>0</v>
      </c>
      <c r="O57" s="2517"/>
      <c r="P57" s="2518" t="e">
        <f ca="1">N57/M49</f>
        <v>#N/A</v>
      </c>
    </row>
    <row r="58" spans="1:35" ht="24.75">
      <c r="A58" s="2474" t="s">
        <v>862</v>
      </c>
      <c r="B58" s="3596" t="s">
        <v>881</v>
      </c>
      <c r="C58" s="3597"/>
      <c r="D58" s="1762" t="e">
        <f ca="1">IF(H58="转让取得",C81,C97)</f>
        <v>#N/A</v>
      </c>
      <c r="E58" s="1662" t="s">
        <v>876</v>
      </c>
      <c r="F58" s="1608" t="s">
        <v>124</v>
      </c>
      <c r="G58" s="2476"/>
      <c r="H58" s="2479" t="s">
        <v>2852</v>
      </c>
      <c r="I58" s="2488"/>
      <c r="J58" s="3617"/>
      <c r="K58" s="3617"/>
      <c r="L58" s="2514" t="s">
        <v>882</v>
      </c>
      <c r="M58" s="2519"/>
      <c r="N58" s="2520" t="str">
        <f ca="1">NUMBERSTRING(INT(N57*10000),2)&amp;"元整"</f>
        <v>零元整</v>
      </c>
      <c r="O58" s="2521"/>
    </row>
    <row r="59" spans="1:35" ht="24">
      <c r="A59" s="3614" t="s">
        <v>883</v>
      </c>
      <c r="B59" s="3615"/>
      <c r="C59" s="3615"/>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18">
        <f>J57+1</f>
        <v>5</v>
      </c>
      <c r="K59" s="3617" t="s">
        <v>885</v>
      </c>
      <c r="L59" s="1936" t="s">
        <v>880</v>
      </c>
      <c r="M59" s="2523"/>
      <c r="N59" s="2524" t="e">
        <f ca="1">M49-N57</f>
        <v>#N/A</v>
      </c>
      <c r="O59" s="2525"/>
    </row>
    <row r="60" spans="1:35" ht="12" customHeight="1">
      <c r="A60" s="2486"/>
      <c r="B60" s="2361"/>
      <c r="C60" s="2361"/>
      <c r="D60" s="2361"/>
      <c r="E60" s="2487"/>
      <c r="F60" s="2488"/>
      <c r="G60" s="2488"/>
      <c r="H60" s="2489"/>
      <c r="I60" s="604"/>
      <c r="J60" s="3619"/>
      <c r="K60" s="3617"/>
      <c r="L60" s="2514" t="s">
        <v>882</v>
      </c>
      <c r="M60" s="2519"/>
      <c r="N60" s="2520" t="e">
        <f ca="1">NUMBERSTRING(INT(N59*10000),2)&amp;"元整"</f>
        <v>#N/A</v>
      </c>
      <c r="O60" s="2521"/>
    </row>
    <row r="61" spans="1:35" ht="12.75">
      <c r="A61" s="3616" t="s">
        <v>886</v>
      </c>
      <c r="B61" s="3616"/>
      <c r="C61" s="3616"/>
      <c r="D61" s="3616"/>
      <c r="E61" s="3616"/>
      <c r="F61" s="2488"/>
      <c r="G61" s="2488"/>
      <c r="H61" s="2489"/>
      <c r="I61" s="604"/>
      <c r="J61" s="1936">
        <f>J59+1</f>
        <v>6</v>
      </c>
      <c r="K61" s="3617" t="s">
        <v>887</v>
      </c>
      <c r="L61" s="3617"/>
      <c r="M61" s="2526"/>
      <c r="N61" s="2527" t="e">
        <f ca="1">ROUND(N59*10000/'数据-汇总表'!E3,0)</f>
        <v>#N/A</v>
      </c>
      <c r="O61" s="2528"/>
    </row>
    <row r="62" spans="1:35" ht="12.75">
      <c r="A62" s="3594" t="s">
        <v>888</v>
      </c>
      <c r="B62" s="3595"/>
      <c r="C62" s="1888"/>
      <c r="D62" s="1888" t="s">
        <v>889</v>
      </c>
      <c r="E62" s="2490" t="s">
        <v>843</v>
      </c>
      <c r="F62" s="2488"/>
      <c r="G62" s="2488"/>
      <c r="H62" s="2489"/>
      <c r="I62" s="604"/>
    </row>
    <row r="63" spans="1:35" ht="12.75">
      <c r="A63" s="2491" t="s">
        <v>890</v>
      </c>
      <c r="B63" s="1946" t="s">
        <v>891</v>
      </c>
      <c r="C63" s="2492" t="e">
        <f ca="1">ROUND((C64+C65)/(1+'数据-取费表'!C42),0)</f>
        <v>#N/A</v>
      </c>
      <c r="D63" s="1946"/>
      <c r="E63" s="2493"/>
      <c r="F63" s="2488"/>
      <c r="G63" s="2488"/>
      <c r="H63" s="2489"/>
      <c r="I63" s="604"/>
      <c r="J63" s="3620" t="s">
        <v>892</v>
      </c>
      <c r="K63" s="2529" t="s">
        <v>893</v>
      </c>
      <c r="L63" s="2529" t="e">
        <f ca="1">IF(M49&gt;10000,M49*0.5%,IF(AND(M49&gt;1000,M49&lt;=10000),M49*1%,IF(AND(M49&gt;100,M49&lt;=1000),M49*3%,IF(AND(M49&gt;10,M49&lt;=100),M49*5%,M49*8%))))</f>
        <v>#N/A</v>
      </c>
      <c r="M63" s="1608" t="e">
        <f ca="1">ROUND(L63,1)</f>
        <v>#N/A</v>
      </c>
      <c r="N63" s="2530"/>
      <c r="Z63" s="2358"/>
      <c r="AI63" s="2359"/>
    </row>
    <row r="64" spans="1:35" ht="14.25" customHeight="1">
      <c r="A64" s="2494" t="s">
        <v>894</v>
      </c>
      <c r="B64" s="1874" t="s">
        <v>895</v>
      </c>
      <c r="C64" s="2495" t="e">
        <f ca="1">D45</f>
        <v>#N/A</v>
      </c>
      <c r="D64" s="1874" t="s">
        <v>124</v>
      </c>
      <c r="E64" s="2496"/>
      <c r="F64" s="2488"/>
      <c r="G64" s="2488"/>
      <c r="H64" s="2489"/>
      <c r="I64" s="604"/>
      <c r="J64" s="3620"/>
      <c r="K64" s="2529" t="s">
        <v>896</v>
      </c>
      <c r="L64" s="2529"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8"/>
      <c r="AI64" s="2359"/>
    </row>
    <row r="65" spans="1:35" ht="14.25" customHeight="1">
      <c r="A65" s="2494" t="s">
        <v>898</v>
      </c>
      <c r="B65" s="1874" t="s">
        <v>899</v>
      </c>
      <c r="C65" s="2532"/>
      <c r="D65" s="1874"/>
      <c r="E65" s="2496"/>
      <c r="F65" s="2488"/>
      <c r="G65" s="2488"/>
      <c r="H65" s="2489"/>
      <c r="I65" s="604"/>
      <c r="J65" s="3620"/>
      <c r="K65" s="2529" t="s">
        <v>900</v>
      </c>
      <c r="L65" s="2529" t="e">
        <f ca="1">IF(M49&gt;1000,M49*0.1%,IF(AND(M49&gt;500,M49&lt;=1000),M49*0.5%,IF(AND(M49&gt;50,M49&lt;=500),M49*1%,IF(AND(M49&gt;1,M49&lt;=50),M49*1.5%))))</f>
        <v>#N/A</v>
      </c>
      <c r="M65" s="1608" t="e">
        <f t="shared" ca="1" si="1"/>
        <v>#N/A</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620"/>
      <c r="K66" s="2529" t="s">
        <v>904</v>
      </c>
      <c r="L66" s="2529" t="e">
        <f ca="1">M49*0.5%</f>
        <v>#N/A</v>
      </c>
      <c r="M66" s="1608" t="e">
        <f ca="1">IF(L66&gt;0.5,0.5,ROUND(L66,0))</f>
        <v>#N/A</v>
      </c>
      <c r="N66" s="1777" t="s">
        <v>905</v>
      </c>
      <c r="Z66" s="2358"/>
      <c r="AI66" s="2359"/>
    </row>
    <row r="67" spans="1:35" ht="14.25" customHeight="1">
      <c r="A67" s="2491" t="s">
        <v>906</v>
      </c>
      <c r="B67" s="2533" t="s">
        <v>907</v>
      </c>
      <c r="C67" s="2536" t="e">
        <f ca="1">C63-C66</f>
        <v>#N/A</v>
      </c>
      <c r="D67" s="1874" t="s">
        <v>124</v>
      </c>
      <c r="E67" s="2496"/>
      <c r="F67" s="2488"/>
      <c r="G67" s="2488"/>
      <c r="H67" s="2489"/>
      <c r="I67" s="604"/>
      <c r="J67" s="3620"/>
      <c r="K67" s="2529" t="s">
        <v>908</v>
      </c>
      <c r="L67" s="2529"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0"/>
      <c r="Z67" s="2358"/>
      <c r="AI67" s="2359"/>
    </row>
    <row r="68" spans="1:35" ht="14.25" customHeight="1">
      <c r="A68" s="2537" t="s">
        <v>909</v>
      </c>
      <c r="B68" s="2538" t="s">
        <v>910</v>
      </c>
      <c r="C68" s="2539" t="e">
        <f ca="1">IF(C67&lt;=0,0,ROUND(C67*D68,0))</f>
        <v>#N/A</v>
      </c>
      <c r="D68" s="2131">
        <f>'数据-取费表'!B41</f>
        <v>5.5000000000000007E-2</v>
      </c>
      <c r="E68" s="2540"/>
      <c r="F68" s="2488"/>
      <c r="G68" s="2488"/>
      <c r="H68" s="2489"/>
      <c r="I68" s="604"/>
      <c r="J68" s="3620"/>
      <c r="K68" s="2529" t="s">
        <v>911</v>
      </c>
      <c r="L68" s="2529" t="e">
        <f ca="1">IF(M49&gt;10000,M49*0.5%,IF(AND(M49&gt;5000,M49&lt;=10000),M49*1%,IF(AND(M49&gt;1000,M49&lt;=5000),M49*2%,IF(AND(M49&gt;200,M49&lt;=1000),M49*3%,M49*5%))))</f>
        <v>#N/A</v>
      </c>
      <c r="M68" s="1608" t="e">
        <f ca="1">ROUND(L68,1)</f>
        <v>#N/A</v>
      </c>
      <c r="N68" s="2530"/>
      <c r="Z68" s="2358"/>
      <c r="AI68" s="2359"/>
    </row>
    <row r="69" spans="1:35" s="2356" customFormat="1" ht="16.5" customHeight="1">
      <c r="A69" s="2541"/>
      <c r="B69" s="2542"/>
      <c r="C69" s="2543"/>
      <c r="D69" s="2050"/>
      <c r="E69" s="2544"/>
      <c r="F69" s="2487"/>
      <c r="G69" s="2487"/>
      <c r="H69" s="2447"/>
      <c r="I69" s="2361"/>
      <c r="J69" s="3620"/>
      <c r="K69" s="2529" t="s">
        <v>912</v>
      </c>
      <c r="L69" s="2529"/>
      <c r="M69" s="1608" t="e">
        <f ca="1">ROUND(SUM(M63:M68),0)</f>
        <v>#N/A</v>
      </c>
      <c r="N69" s="2607" t="e">
        <f ca="1">M69/M49</f>
        <v>#N/A</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4.25">
      <c r="A70" s="3592" t="s">
        <v>913</v>
      </c>
      <c r="B70" s="3593"/>
      <c r="C70" s="3593"/>
      <c r="D70" s="3593"/>
      <c r="E70" s="3593"/>
      <c r="F70" s="3593"/>
      <c r="G70" s="3593"/>
      <c r="H70" s="359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4" t="s">
        <v>888</v>
      </c>
      <c r="B71" s="3595"/>
      <c r="C71" s="1888"/>
      <c r="D71" s="188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t="e">
        <f ca="1">ROUND(D45/(1+'数据-取费表'!C42),0)</f>
        <v>#N/A</v>
      </c>
      <c r="D72" s="1874" t="s">
        <v>124</v>
      </c>
      <c r="E72" s="1639"/>
      <c r="F72" s="1640"/>
      <c r="G72" s="164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t="e">
        <f ca="1">C74+C78</f>
        <v>#N/A</v>
      </c>
      <c r="D73" s="1874" t="s">
        <v>124</v>
      </c>
      <c r="E73" s="1639"/>
      <c r="F73" s="1640"/>
      <c r="G73" s="164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1639"/>
      <c r="F74" s="1640"/>
      <c r="G74" s="164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96" t="s">
        <v>923</v>
      </c>
      <c r="F76" s="3597"/>
      <c r="G76" s="3597"/>
      <c r="H76" s="3598"/>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1762" t="s">
        <v>926</v>
      </c>
      <c r="F77" s="2557"/>
      <c r="G77" s="2558" t="s">
        <v>2854</v>
      </c>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t="e">
        <f ca="1">ROUND(D45*D78/(1+'数据-取费表'!C42),0)</f>
        <v>#N/A</v>
      </c>
      <c r="D78" s="2560">
        <f>'数据-取费表'!B43</f>
        <v>5.000000000000001E-3</v>
      </c>
      <c r="E78" s="3574" t="s">
        <v>928</v>
      </c>
      <c r="F78" s="3575"/>
      <c r="G78" s="3575"/>
      <c r="H78" s="3576"/>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t="e">
        <f ca="1">C72-C73</f>
        <v>#N/A</v>
      </c>
      <c r="D79" s="1874" t="s">
        <v>124</v>
      </c>
      <c r="E79" s="1639"/>
      <c r="F79" s="1640"/>
      <c r="G79" s="164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t="e">
        <f ca="1">IF(C79&lt;=0,0,C79/C73)</f>
        <v>#N/A</v>
      </c>
      <c r="D80" s="1874" t="s">
        <v>124</v>
      </c>
      <c r="E80" s="1762" t="e">
        <f ca="1">IF(C80&gt;=200%,"增值额超过扣除项目金额200%",IF(C80&gt;=100%,"增值额超过扣除项目金额100%，未超过200%",IF(C80&gt;=50%,"增值额超过扣除项目金额50%，未超过100%",IF(C80&lt;50%,"增值额未超过扣除项目金额50%"))))</f>
        <v>#N/A</v>
      </c>
      <c r="F80" s="1640"/>
      <c r="G80" s="164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931</v>
      </c>
      <c r="B81" s="2538" t="s">
        <v>932</v>
      </c>
      <c r="C81" s="2565" t="e">
        <f ca="1">ROUND(IF(C79&lt;=0,0,IF(C80&gt;=200%,C79*60%-C73*35%,IF(C80&gt;=100%,C79*50%-C73*15%,IF(C80&gt;=50%,C79*40%-C73*5%,IF(C80&lt;50%,C79*30%,0))))),0)</f>
        <v>#N/A</v>
      </c>
      <c r="D81" s="2566" t="s">
        <v>124</v>
      </c>
      <c r="E81" s="2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92" t="s">
        <v>933</v>
      </c>
      <c r="B83" s="3593"/>
      <c r="C83" s="3593"/>
      <c r="D83" s="3593"/>
      <c r="E83" s="3593"/>
      <c r="F83" s="3593"/>
      <c r="G83" s="3593"/>
      <c r="H83" s="3593"/>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4" t="s">
        <v>888</v>
      </c>
      <c r="B84" s="3595"/>
      <c r="C84" s="1888"/>
      <c r="D84" s="188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t="e">
        <f ca="1">ROUND(D45/(1+'数据-取费表'!C42),0)</f>
        <v>#N/A</v>
      </c>
      <c r="D85" s="1874" t="s">
        <v>124</v>
      </c>
      <c r="E85" s="1639"/>
      <c r="F85" s="1640"/>
      <c r="G85" s="164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t="e">
        <f ca="1">IF(H88="仅含出让金",C87+C90+C91+C92+C93+C94,C87+C91+C92+C93+C94)</f>
        <v>#N/A</v>
      </c>
      <c r="D86" s="2575"/>
      <c r="E86" s="1639"/>
      <c r="F86" s="1640"/>
      <c r="G86" s="164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2561"/>
      <c r="F87" s="2562"/>
      <c r="G87" s="2562"/>
      <c r="H87" s="2563"/>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2562"/>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2562"/>
      <c r="G89" s="2562"/>
      <c r="H89" s="2563"/>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2562"/>
      <c r="G90" s="3606" t="s">
        <v>941</v>
      </c>
      <c r="H90" s="3607"/>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574" t="s">
        <v>945</v>
      </c>
      <c r="F91" s="3575"/>
      <c r="G91" s="3575"/>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574" t="s">
        <v>948</v>
      </c>
      <c r="F92" s="3575"/>
      <c r="G92" s="3575"/>
      <c r="H92" s="3576"/>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t="e">
        <f ca="1">ROUND(D45*D93/(1+'数据-取费表'!C42),0)</f>
        <v>#N/A</v>
      </c>
      <c r="D93" s="2560">
        <f>'数据-取费表'!B43</f>
        <v>5.000000000000001E-3</v>
      </c>
      <c r="E93" s="3574" t="s">
        <v>928</v>
      </c>
      <c r="F93" s="3575"/>
      <c r="G93" s="3575"/>
      <c r="H93" s="3576"/>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577" t="s">
        <v>953</v>
      </c>
      <c r="F94" s="3578"/>
      <c r="G94" s="3578"/>
      <c r="H94" s="3579"/>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t="e">
        <f ca="1">ROUND(C85-C86,0)</f>
        <v>#N/A</v>
      </c>
      <c r="D95" s="1874" t="s">
        <v>124</v>
      </c>
      <c r="E95" s="1639"/>
      <c r="F95" s="1640"/>
      <c r="G95" s="164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#N/A</v>
      </c>
      <c r="D96" s="1874" t="s">
        <v>124</v>
      </c>
      <c r="E96" s="1762" t="e">
        <f ca="1">IF(C96&gt;=200%,"增值额超过扣除项目金额200%",IF(C96&gt;=100%,"增值额超过扣除项目金额100%，未超过200%",IF(C96&gt;=50%,"增值额超过扣除项目金额50%，未超过100%",IF(C96&lt;50%,"增值额未超过扣除项目金额50%"))))</f>
        <v>#N/A</v>
      </c>
      <c r="F96" s="1640"/>
      <c r="G96" s="164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931</v>
      </c>
      <c r="B97" s="2538" t="s">
        <v>932</v>
      </c>
      <c r="C97" s="2565" t="e">
        <f ca="1">ROUND(IF(C95&lt;=0,0,IF(C96&gt;=200%,C95*60%-C86*35%,IF(C96&gt;=100%,C95*50%-C86*15%,IF(C96&gt;=50%,C95*40%-C86*5%,IF(C96&lt;50%,C95*30%,0))))),0)</f>
        <v>#N/A</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c r="A99" s="2449" t="s">
        <v>954</v>
      </c>
      <c r="B99" s="2361"/>
      <c r="C99" s="2361"/>
      <c r="D99" s="2361"/>
      <c r="E99" s="2487"/>
      <c r="F99" s="2487"/>
      <c r="G99" s="2487"/>
      <c r="H99" s="2447"/>
      <c r="I99" s="604"/>
    </row>
    <row r="100" spans="1:35" ht="18.75" customHeight="1">
      <c r="A100" s="3552" t="s">
        <v>955</v>
      </c>
      <c r="B100" s="3553"/>
      <c r="C100" s="3553"/>
      <c r="D100" s="3580"/>
      <c r="E100" s="3553" t="s">
        <v>956</v>
      </c>
      <c r="F100" s="3553"/>
      <c r="G100" s="3553"/>
      <c r="H100" s="3580"/>
      <c r="I100" s="604"/>
    </row>
    <row r="101" spans="1:35" ht="18.75" customHeight="1">
      <c r="A101" s="3581" t="s">
        <v>957</v>
      </c>
      <c r="B101" s="3582"/>
      <c r="C101" s="2584" t="str">
        <f>C4</f>
        <v>成本法-120</v>
      </c>
      <c r="D101" s="2585" t="str">
        <f>D4</f>
        <v>收益法-120</v>
      </c>
      <c r="E101" s="3605" t="s">
        <v>958</v>
      </c>
      <c r="F101" s="3600"/>
      <c r="G101" s="2587" t="s">
        <v>959</v>
      </c>
      <c r="H101" s="2588" t="e">
        <f ca="1">H118</f>
        <v>#N/A</v>
      </c>
      <c r="I101" s="604"/>
    </row>
    <row r="102" spans="1:35" ht="18.75" customHeight="1">
      <c r="A102" s="3565" t="s">
        <v>960</v>
      </c>
      <c r="B102" s="2589" t="s">
        <v>959</v>
      </c>
      <c r="C102" s="2584" t="e">
        <f ca="1">IF(D32="楼面单价",ROUND(C19,0),C19)</f>
        <v>#N/A</v>
      </c>
      <c r="D102" s="2585" t="e">
        <f ca="1">IF(D32="楼面单价",ROUND(D19,0),D19)</f>
        <v>#N/A</v>
      </c>
      <c r="E102" s="3605"/>
      <c r="F102" s="3600"/>
      <c r="G102" s="2587" t="s">
        <v>99</v>
      </c>
      <c r="H102" s="2476" t="e">
        <f ca="1">I118</f>
        <v>#N/A</v>
      </c>
      <c r="I102" s="604"/>
    </row>
    <row r="103" spans="1:35" ht="42.75" customHeight="1">
      <c r="A103" s="3565"/>
      <c r="B103" s="2589" t="s">
        <v>99</v>
      </c>
      <c r="C103" s="2590" t="e">
        <f ca="1">C20</f>
        <v>#N/A</v>
      </c>
      <c r="D103" s="2591">
        <f ca="1">D20</f>
        <v>0</v>
      </c>
      <c r="E103" s="3583" t="s">
        <v>961</v>
      </c>
      <c r="F103" s="3584"/>
      <c r="G103" s="2592" t="s">
        <v>102</v>
      </c>
      <c r="H103" s="2588">
        <f>IF(D36="正常操作",H104+H105+H106,H105+H106)</f>
        <v>0</v>
      </c>
      <c r="I103" s="604"/>
    </row>
    <row r="104" spans="1:35" ht="18.75" customHeight="1">
      <c r="A104" s="3565" t="s">
        <v>962</v>
      </c>
      <c r="B104" s="2593" t="s">
        <v>959</v>
      </c>
      <c r="C104" s="2594" t="e">
        <f ca="1">H118</f>
        <v>#N/A</v>
      </c>
      <c r="D104" s="2595"/>
      <c r="E104" s="2432" t="s">
        <v>963</v>
      </c>
      <c r="F104" s="2596"/>
      <c r="G104" s="2592" t="s">
        <v>102</v>
      </c>
      <c r="H104" s="2597">
        <f>IF(D36="同一抵押权人同一抵押物续贷",C36&amp;"（续贷，未扣减，详见特别提示）",C36)</f>
        <v>0</v>
      </c>
      <c r="I104" s="604"/>
    </row>
    <row r="105" spans="1:35" ht="18.75" customHeight="1">
      <c r="A105" s="3566"/>
      <c r="B105" s="2598" t="s">
        <v>99</v>
      </c>
      <c r="C105" s="2599" t="e">
        <f ca="1">I118</f>
        <v>#N/A</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599" t="str">
        <f>IF(项目基本情况!E8="已注销","——","3.房地产抵押价值")</f>
        <v>3.房地产抵押价值</v>
      </c>
      <c r="F107" s="3600"/>
      <c r="G107" s="2587" t="s">
        <v>959</v>
      </c>
      <c r="H107" s="2588" t="e">
        <f ca="1">IF(E107="——","——",H101-H103)</f>
        <v>#N/A</v>
      </c>
      <c r="I107" s="604"/>
    </row>
    <row r="108" spans="1:35" ht="18.75" customHeight="1">
      <c r="A108" s="604"/>
      <c r="B108" s="604"/>
      <c r="C108" s="604"/>
      <c r="D108" s="604" t="e">
        <f ca="1">ROUND(H108*B118,0)</f>
        <v>#N/A</v>
      </c>
      <c r="E108" s="3599"/>
      <c r="F108" s="3600"/>
      <c r="G108" s="2587" t="s">
        <v>99</v>
      </c>
      <c r="H108" s="2476" t="e">
        <f ca="1">IF(H107=H101,H102,ROUND(H107*10000/'数据-汇总表'!E3,0))</f>
        <v>#N/A</v>
      </c>
      <c r="I108" s="604"/>
    </row>
    <row r="109" spans="1:35" ht="18.75" customHeight="1">
      <c r="A109" s="604"/>
      <c r="B109" s="604"/>
      <c r="C109" s="604"/>
      <c r="D109" s="604"/>
      <c r="E109" s="3599" t="str">
        <f>IF(项目基本情况!E8="已注销及未注销","4.抵押担保权已注销时的房地产抵押价值",IF(项目基本情况!E8="已注销","3.抵押担保权已注销时的房地产抵押价值","——"))</f>
        <v>——</v>
      </c>
      <c r="F109" s="3600"/>
      <c r="G109" s="2587" t="s">
        <v>959</v>
      </c>
      <c r="H109" s="2603" t="str">
        <f>IF(E109="——","——",H101-H105-H106)</f>
        <v>——</v>
      </c>
      <c r="I109" s="604"/>
    </row>
    <row r="110" spans="1:35" ht="18.75" customHeight="1">
      <c r="A110" s="604"/>
      <c r="B110" s="604"/>
      <c r="C110" s="604"/>
      <c r="D110" s="604"/>
      <c r="E110" s="3599"/>
      <c r="F110" s="3600"/>
      <c r="G110" s="2587" t="s">
        <v>99</v>
      </c>
      <c r="H110" s="2476" t="str">
        <f>IF(H109="——","——",ROUND(H109*10000/'数据-汇总表'!E3,0))</f>
        <v>——</v>
      </c>
      <c r="I110" s="604"/>
    </row>
    <row r="111" spans="1:35" ht="18.75" customHeight="1">
      <c r="A111" s="604"/>
      <c r="B111" s="604"/>
      <c r="C111" s="604"/>
      <c r="D111" s="604"/>
      <c r="E111" s="3601" t="str">
        <f>IF(项目基本情况!E9="抵押净值",IF(OR(项目基本情况!E8="已注销",项目基本情况!E8="房地产抵押价值"),"4.抵押净值","5.抵押净值"),"——")</f>
        <v>——</v>
      </c>
      <c r="F111" s="3602"/>
      <c r="G111" s="2587" t="s">
        <v>959</v>
      </c>
      <c r="H111" s="2588" t="str">
        <f>IF(E111="——","——",N59)</f>
        <v>——</v>
      </c>
      <c r="I111" s="604"/>
    </row>
    <row r="112" spans="1:35" ht="18.75" customHeight="1">
      <c r="A112" s="604"/>
      <c r="B112" s="604"/>
      <c r="C112" s="604"/>
      <c r="D112" s="604"/>
      <c r="E112" s="3603"/>
      <c r="F112" s="3604"/>
      <c r="G112" s="2604" t="s">
        <v>99</v>
      </c>
      <c r="H112" s="2605" t="str">
        <f>IF(E111="——","——",N61)</f>
        <v>——</v>
      </c>
      <c r="I112" s="604"/>
    </row>
    <row r="113" spans="1:27" ht="18.75" customHeight="1">
      <c r="A113" s="604"/>
      <c r="B113" s="604"/>
      <c r="C113" s="604"/>
      <c r="D113" s="604"/>
      <c r="E113" s="3585" t="s">
        <v>965</v>
      </c>
      <c r="F113" s="3585"/>
      <c r="G113" s="3585"/>
      <c r="H113" s="3585"/>
      <c r="I113" s="604"/>
    </row>
    <row r="114" spans="1:27" ht="3.75" customHeight="1">
      <c r="A114" s="2361"/>
      <c r="B114" s="2361"/>
      <c r="C114" s="2361"/>
      <c r="D114" s="2361"/>
      <c r="E114" s="2486"/>
      <c r="F114" s="2486"/>
      <c r="G114" s="2486"/>
      <c r="H114" s="2486"/>
      <c r="I114" s="2361"/>
    </row>
    <row r="115" spans="1:27" ht="18.75" customHeight="1">
      <c r="A115" s="3586" t="s">
        <v>967</v>
      </c>
      <c r="B115" s="3587"/>
      <c r="C115" s="3587"/>
      <c r="D115" s="3587"/>
      <c r="E115" s="3587"/>
      <c r="F115" s="3587"/>
      <c r="G115" s="3587"/>
      <c r="H115" s="3587"/>
      <c r="I115" s="3588"/>
    </row>
    <row r="116" spans="1:27" ht="27" customHeight="1">
      <c r="A116" s="3559" t="s">
        <v>968</v>
      </c>
      <c r="B116" s="3568" t="s">
        <v>969</v>
      </c>
      <c r="C116" s="3568" t="s">
        <v>970</v>
      </c>
      <c r="D116" s="3589" t="s">
        <v>971</v>
      </c>
      <c r="E116" s="3590"/>
      <c r="F116" s="3591" t="s">
        <v>972</v>
      </c>
      <c r="G116" s="3591"/>
      <c r="H116" s="3559" t="s">
        <v>973</v>
      </c>
      <c r="I116" s="3559"/>
    </row>
    <row r="117" spans="1:27" ht="18.75" customHeight="1">
      <c r="A117" s="3559"/>
      <c r="B117" s="3569"/>
      <c r="C117" s="3569"/>
      <c r="D117" s="2371" t="s">
        <v>974</v>
      </c>
      <c r="E117" s="2371" t="s">
        <v>803</v>
      </c>
      <c r="F117" s="2371" t="s">
        <v>974</v>
      </c>
      <c r="G117" s="2371" t="s">
        <v>803</v>
      </c>
      <c r="H117" s="2371" t="s">
        <v>974</v>
      </c>
      <c r="I117" s="2371" t="s">
        <v>803</v>
      </c>
    </row>
    <row r="118" spans="1:27" ht="24.75" customHeight="1">
      <c r="A118" s="2606" t="str">
        <f>项目基本情况!S2</f>
        <v>北京市房地产</v>
      </c>
      <c r="B118" s="2371">
        <f>M18</f>
        <v>0</v>
      </c>
      <c r="C118" s="2371">
        <f>M19</f>
        <v>0</v>
      </c>
      <c r="D118" s="2371">
        <f>ROUND(IF(D32="总价",C34,E118*B118/10000),0)</f>
        <v>0</v>
      </c>
      <c r="E118" s="2371">
        <f>ROUND(IF(C33="自定义",IF(D32="楼面单价",C34,D118*10000/B118),I118-G118),0)</f>
        <v>0</v>
      </c>
      <c r="F118" s="2371">
        <f>ROUND(IF(D32="总价",C35,G118*B118/10000),0)</f>
        <v>0</v>
      </c>
      <c r="G118" s="2371">
        <f>ROUND(IF(D32="楼面单价",C35,F118*10000/B118),0)</f>
        <v>0</v>
      </c>
      <c r="H118" s="2371" t="e">
        <f ca="1">ROUND(IF(D32="总价",C32,I118*B118/10000),0)</f>
        <v>#N/A</v>
      </c>
      <c r="I118" s="2371" t="e">
        <f ca="1">ROUND(IF(D32="楼面单价",C32,H118*10000/B118),0)</f>
        <v>#N/A</v>
      </c>
    </row>
    <row r="119" spans="1:27" ht="18.75" customHeight="1">
      <c r="A119" s="3559" t="s">
        <v>975</v>
      </c>
      <c r="B119" s="3559"/>
      <c r="C119" s="3559"/>
      <c r="D119" s="3571" t="str">
        <f>NUMBERSTRING(INT(D118*10000),2)&amp;"元整"</f>
        <v>零元整</v>
      </c>
      <c r="E119" s="3573"/>
      <c r="F119" s="3571" t="str">
        <f>NUMBERSTRING(INT(F118*10000),2)&amp;"元整"</f>
        <v>零元整</v>
      </c>
      <c r="G119" s="3573"/>
      <c r="H119" s="3571" t="e">
        <f ca="1">NUMBERSTRING(INT(H118*10000),2)&amp;"元整"</f>
        <v>#N/A</v>
      </c>
      <c r="I119" s="3573"/>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71" t="s">
        <v>975</v>
      </c>
      <c r="B121" s="3572"/>
      <c r="C121" s="3573"/>
      <c r="D121" s="3571" t="str">
        <f>IF(D120=0,"零元整",NUMBERSTRING(INT(D120*10000),2)&amp;"元整")</f>
        <v>零元整</v>
      </c>
      <c r="E121" s="3572"/>
      <c r="F121" s="3572"/>
      <c r="G121" s="3572"/>
      <c r="H121" s="3572"/>
      <c r="I121" s="3573"/>
      <c r="AA121" s="561"/>
    </row>
    <row r="122" spans="1:27" ht="18.75" customHeight="1">
      <c r="A122" s="3602" t="str">
        <f>IF(项目基本情况!B9="房地产市场价值","",MID(E107,3,LEN(E107)-2))</f>
        <v>房地产抵押价值</v>
      </c>
      <c r="B122" s="3602"/>
      <c r="C122" s="3602"/>
      <c r="D122" s="3608" t="e">
        <f ca="1">H107</f>
        <v>#N/A</v>
      </c>
      <c r="E122" s="3609"/>
      <c r="F122" s="3609"/>
      <c r="G122" s="3609"/>
      <c r="H122" s="3609"/>
      <c r="I122" s="3610"/>
      <c r="AA122" s="561"/>
    </row>
    <row r="123" spans="1:27" ht="18.75" customHeight="1">
      <c r="A123" s="3559" t="s">
        <v>975</v>
      </c>
      <c r="B123" s="3559"/>
      <c r="C123" s="3559"/>
      <c r="D123" s="3571" t="e">
        <f ca="1">NUMBERSTRING(INT(D122*10000),2)&amp;"元整"</f>
        <v>#N/A</v>
      </c>
      <c r="E123" s="3572"/>
      <c r="F123" s="3572"/>
      <c r="G123" s="3572"/>
      <c r="H123" s="3572"/>
      <c r="I123" s="3573"/>
      <c r="AA123" s="561"/>
    </row>
    <row r="124" spans="1:27" ht="18.75" customHeight="1">
      <c r="A124" s="3602" t="str">
        <f>IF(项目基本情况!B9="房地产市场价值","",MID(E109,3,LEN(E109)-2))</f>
        <v/>
      </c>
      <c r="B124" s="3602"/>
      <c r="C124" s="3602"/>
      <c r="D124" s="3608" t="str">
        <f>H109</f>
        <v>——</v>
      </c>
      <c r="E124" s="3609"/>
      <c r="F124" s="3609"/>
      <c r="G124" s="3609"/>
      <c r="H124" s="3609"/>
      <c r="I124" s="3610"/>
      <c r="AA124" s="561"/>
    </row>
    <row r="125" spans="1:27" ht="18.75" customHeight="1">
      <c r="A125" s="3559" t="s">
        <v>975</v>
      </c>
      <c r="B125" s="3559"/>
      <c r="C125" s="3559"/>
      <c r="D125" s="3571" t="e">
        <f>NUMBERSTRING(INT(D124*10000),2)&amp;"元整"</f>
        <v>#VALUE!</v>
      </c>
      <c r="E125" s="3572"/>
      <c r="F125" s="3572"/>
      <c r="G125" s="3572"/>
      <c r="H125" s="3572"/>
      <c r="I125" s="3573"/>
      <c r="AA125" s="561"/>
    </row>
    <row r="126" spans="1:27" ht="18.75" customHeight="1">
      <c r="A126" s="3602" t="str">
        <f>IF(项目基本情况!B9="房地产市场价值","",MID(E111,3,LEN(E111)-2))</f>
        <v/>
      </c>
      <c r="B126" s="3602"/>
      <c r="C126" s="3602"/>
      <c r="D126" s="3608" t="str">
        <f>H111</f>
        <v>——</v>
      </c>
      <c r="E126" s="3609"/>
      <c r="F126" s="3609"/>
      <c r="G126" s="3609"/>
      <c r="H126" s="3609"/>
      <c r="I126" s="3610"/>
      <c r="AA126" s="561"/>
    </row>
    <row r="127" spans="1:27" ht="18.75" customHeight="1">
      <c r="A127" s="3559" t="s">
        <v>975</v>
      </c>
      <c r="B127" s="3559"/>
      <c r="C127" s="3559"/>
      <c r="D127" s="3571" t="e">
        <f>NUMBERSTRING(INT(D126*10000),2)&amp;"元整"</f>
        <v>#VALUE!</v>
      </c>
      <c r="E127" s="3572"/>
      <c r="F127" s="3572"/>
      <c r="G127" s="3572"/>
      <c r="H127" s="3572"/>
      <c r="I127" s="3573"/>
      <c r="AA127" s="561"/>
    </row>
    <row r="128" spans="1:27" ht="21.75" customHeight="1">
      <c r="A128" s="3558" t="s">
        <v>113</v>
      </c>
      <c r="B128" s="3558"/>
      <c r="C128" s="3558"/>
      <c r="D128" s="3558"/>
      <c r="E128" s="3558"/>
      <c r="F128" s="3558"/>
      <c r="G128" s="3558"/>
      <c r="H128" s="3558"/>
      <c r="I128" s="3558"/>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0"/>
      <c r="C1" s="378"/>
      <c r="D1" s="378"/>
      <c r="E1" s="378"/>
      <c r="F1" s="378"/>
      <c r="G1" s="2342">
        <f>MATCH(B1,'数据-取费表'!A6:A16,0)+5</f>
        <v>7</v>
      </c>
    </row>
    <row r="2" spans="1:9" s="368" customFormat="1" ht="18" customHeight="1">
      <c r="A2" s="380" t="s">
        <v>984</v>
      </c>
      <c r="B2" s="381">
        <f ca="1">IF(D2="——",C52,C52-E2)</f>
        <v>90582</v>
      </c>
      <c r="C2" s="379" t="s">
        <v>985</v>
      </c>
      <c r="D2" s="2344" t="s">
        <v>124</v>
      </c>
      <c r="E2" s="2345" t="e">
        <f ca="1">SUMIF(INDIRECT("'"&amp;G2&amp;"'"&amp;"!A:A"),"承租人权益价值",INDIRECT("'"&amp;G2&amp;"'"&amp;"!c:c"))</f>
        <v>#REF!</v>
      </c>
      <c r="F2" s="2346" t="s">
        <v>985</v>
      </c>
      <c r="G2" s="2347"/>
    </row>
    <row r="3" spans="1:9" s="368" customFormat="1" ht="18" customHeight="1">
      <c r="A3" s="383" t="s">
        <v>986</v>
      </c>
      <c r="B3" s="384">
        <f ca="1">ROUND(B2*10000/(IF(B1="",'数据-汇总表'!E3,INDIRECT("'数据-取费表'!k"&amp;$G$1))),0)</f>
        <v>2713661</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67288</v>
      </c>
      <c r="D5" s="390" t="s">
        <v>991</v>
      </c>
      <c r="E5" s="391" t="s">
        <v>992</v>
      </c>
      <c r="F5" s="391" t="s">
        <v>889</v>
      </c>
      <c r="G5" s="392"/>
    </row>
    <row r="6" spans="1:9" s="370" customFormat="1" ht="13.5" customHeight="1">
      <c r="A6" s="393" t="s">
        <v>993</v>
      </c>
      <c r="B6" s="394" t="s">
        <v>994</v>
      </c>
      <c r="C6" s="395">
        <f>基准地价修正!B2</f>
        <v>512</v>
      </c>
      <c r="D6" s="396"/>
      <c r="E6" s="397"/>
      <c r="F6" s="397"/>
      <c r="G6" s="398"/>
    </row>
    <row r="7" spans="1:9" s="370" customFormat="1" ht="13.5" customHeight="1">
      <c r="A7" s="393" t="s">
        <v>995</v>
      </c>
      <c r="B7" s="394" t="s">
        <v>996</v>
      </c>
      <c r="C7" s="399">
        <f>ROUND(C6*F7,0)</f>
        <v>16</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66760</v>
      </c>
      <c r="D8" s="401"/>
      <c r="E8" s="399"/>
      <c r="F8" s="400"/>
      <c r="G8" s="2348"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2" t="s">
        <v>1002</v>
      </c>
      <c r="H9" s="2353"/>
      <c r="I9" s="2354" t="s">
        <v>1003</v>
      </c>
    </row>
    <row r="10" spans="1:9" s="370" customFormat="1" ht="13.5" customHeight="1">
      <c r="A10" s="403" t="s">
        <v>1004</v>
      </c>
      <c r="B10" s="404" t="s">
        <v>1005</v>
      </c>
      <c r="C10" s="405">
        <f ca="1">ROUND(D10*E10/10000,0)</f>
        <v>7</v>
      </c>
      <c r="D10" s="406">
        <f ca="1">IF(B1="",'数据-汇总表'!E6,IF(INDIRECT("'数据-取费表'!c"&amp;$G$1)="住宅",INDIRECT("'数据-取费表'!s"&amp;$G$1),INDIRECT("'数据-取费表'!k"&amp;$G$1)+INDIRECT("'数据-取费表'!s"&amp;$G$1)))</f>
        <v>333.8</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333.8</v>
      </c>
      <c r="E19" s="390">
        <f>'数据-取费表'!B31</f>
        <v>200</v>
      </c>
      <c r="F19" s="415"/>
      <c r="G19" s="2348" t="s">
        <v>1024</v>
      </c>
    </row>
    <row r="20" spans="1:7" s="370" customFormat="1" ht="13.5" customHeight="1">
      <c r="A20" s="388" t="s">
        <v>1025</v>
      </c>
      <c r="B20" s="389" t="s">
        <v>1026</v>
      </c>
      <c r="C20" s="416">
        <f>ROUND((C5+C19)*F20,0)</f>
        <v>1346</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4629</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4584</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45</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10295</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ROUND((C5+C19+C20)*F27*'数据-取费表'!B21/'数据-取费表'!B20,0)</f>
        <v>10295</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90441</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130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117</v>
      </c>
      <c r="D34" s="396"/>
      <c r="E34" s="399"/>
      <c r="F34" s="445">
        <f ca="1">IF('数据-取费表'!B24=0,1,IF(B1="",'数据-取费表'!N16,INDIRECT("'数据-取费表'!n"&amp;$G$1)))</f>
        <v>1</v>
      </c>
      <c r="G34" s="398" t="s">
        <v>1055</v>
      </c>
    </row>
    <row r="35" spans="1:7" ht="13.5" customHeight="1">
      <c r="A35" s="424" t="s">
        <v>995</v>
      </c>
      <c r="B35" s="394" t="s">
        <v>1056</v>
      </c>
      <c r="C35" s="399">
        <f ca="1">ROUND(C34*F35,0)</f>
        <v>4</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7</v>
      </c>
      <c r="D37" s="396">
        <f ca="1">D19</f>
        <v>333.8</v>
      </c>
      <c r="E37" s="437">
        <f>'数据-取费表'!B35</f>
        <v>200</v>
      </c>
      <c r="F37" s="446"/>
      <c r="G37" s="448" t="s">
        <v>1061</v>
      </c>
    </row>
    <row r="38" spans="1:7" ht="13.5" customHeight="1">
      <c r="A38" s="424" t="s">
        <v>1062</v>
      </c>
      <c r="B38" s="394" t="s">
        <v>925</v>
      </c>
      <c r="C38" s="399">
        <f ca="1">ROUND(C34*F38,0)</f>
        <v>2</v>
      </c>
      <c r="D38" s="399"/>
      <c r="E38" s="399"/>
      <c r="F38" s="446">
        <f>'数据-取费表'!B36</f>
        <v>0.02</v>
      </c>
      <c r="G38" s="398" t="s">
        <v>1057</v>
      </c>
    </row>
    <row r="39" spans="1:7" s="370" customFormat="1" ht="13.5" customHeight="1">
      <c r="A39" s="388" t="s">
        <v>1022</v>
      </c>
      <c r="B39" s="389" t="s">
        <v>1026</v>
      </c>
      <c r="C39" s="416">
        <f ca="1">ROUND(C33*F20,0)</f>
        <v>3</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4</v>
      </c>
      <c r="D42" s="426"/>
      <c r="E42" s="426"/>
      <c r="F42" s="427"/>
      <c r="G42" s="3652" t="s">
        <v>1066</v>
      </c>
    </row>
    <row r="43" spans="1:7" ht="13.5" customHeight="1">
      <c r="A43" s="424" t="s">
        <v>995</v>
      </c>
      <c r="B43" s="394" t="s">
        <v>1036</v>
      </c>
      <c r="C43" s="426">
        <f ca="1">ROUND(IF('数据-取费表'!B22&lt;=1,C39*F22*'数据-取费表'!B21/2,C39*(POWER((1+F22),'数据-取费表'!B21/2)-1)),0)</f>
        <v>0</v>
      </c>
      <c r="D43" s="426"/>
      <c r="E43" s="426"/>
      <c r="F43" s="427"/>
      <c r="G43" s="3653"/>
    </row>
    <row r="44" spans="1:7" ht="13.5" customHeight="1">
      <c r="A44" s="424" t="s">
        <v>997</v>
      </c>
      <c r="B44" s="394" t="s">
        <v>1038</v>
      </c>
      <c r="C44" s="426">
        <f ca="1">ROUND(IF('数据-取费表'!B22&lt;=1,C40*F22*'数据-取费表'!B21/2,C40*(POWER((1+F22),'数据-取费表'!B21/2)-1)),4)</f>
        <v>6.9999999999999999E-4</v>
      </c>
      <c r="D44" s="426"/>
      <c r="E44" s="426"/>
      <c r="F44" s="427"/>
      <c r="G44" s="3654"/>
    </row>
    <row r="45" spans="1:7" s="370" customFormat="1" ht="13.5" customHeight="1">
      <c r="A45" s="388" t="s">
        <v>1032</v>
      </c>
      <c r="B45" s="432" t="s">
        <v>1043</v>
      </c>
      <c r="C45" s="433">
        <f ca="1">C46</f>
        <v>20</v>
      </c>
      <c r="D45" s="419">
        <f ca="1">C47</f>
        <v>3.0000000000000001E-3</v>
      </c>
      <c r="E45" s="420" t="s">
        <v>1064</v>
      </c>
      <c r="F45" s="434">
        <f ca="1">F27</f>
        <v>0.15</v>
      </c>
      <c r="G45" s="435" t="s">
        <v>1067</v>
      </c>
    </row>
    <row r="46" spans="1:7" s="370" customFormat="1" ht="13.5" customHeight="1">
      <c r="A46" s="424" t="s">
        <v>993</v>
      </c>
      <c r="B46" s="436" t="s">
        <v>1068</v>
      </c>
      <c r="C46" s="437">
        <f ca="1">ROUND((C33+C39)*F27,0)</f>
        <v>20</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1">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170</v>
      </c>
      <c r="D49" s="416"/>
      <c r="E49" s="416"/>
      <c r="F49" s="451"/>
      <c r="G49" s="421" t="s">
        <v>1072</v>
      </c>
    </row>
    <row r="50" spans="1:7" s="372" customFormat="1" ht="24">
      <c r="A50" s="388" t="s">
        <v>1073</v>
      </c>
      <c r="B50" s="389" t="s">
        <v>1074</v>
      </c>
      <c r="C50" s="416"/>
      <c r="D50" s="416"/>
      <c r="E50" s="416"/>
      <c r="F50" s="451">
        <f>IF('数据-取费表'!B24=0,'数据-取费表'!N16,1)</f>
        <v>0.83</v>
      </c>
      <c r="G50" s="435" t="s">
        <v>1075</v>
      </c>
    </row>
    <row r="51" spans="1:7" ht="16.5" customHeight="1">
      <c r="A51" s="388" t="s">
        <v>1076</v>
      </c>
      <c r="B51" s="389" t="s">
        <v>1077</v>
      </c>
      <c r="C51" s="416">
        <f ca="1">ROUND(C49*F50,0)</f>
        <v>141</v>
      </c>
      <c r="D51" s="416"/>
      <c r="E51" s="416"/>
      <c r="F51" s="451"/>
      <c r="G51" s="421" t="s">
        <v>1078</v>
      </c>
    </row>
    <row r="52" spans="1:7" s="369" customFormat="1" ht="15.75">
      <c r="A52" s="452" t="s">
        <v>1079</v>
      </c>
      <c r="B52" s="453"/>
      <c r="C52" s="454">
        <f ca="1">C31+C51</f>
        <v>90582</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69" t="str">
        <f>项目基本情况!B1</f>
        <v>北京市房地产抵押价值预评估</v>
      </c>
      <c r="C37" s="3469"/>
      <c r="D37" s="3469"/>
      <c r="E37" s="3469"/>
      <c r="F37" s="3469"/>
      <c r="G37" s="3469"/>
      <c r="H37" s="3469"/>
      <c r="I37" s="3469"/>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崔锴（注册号：1120100036)、（注册号：0)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4" customWidth="1"/>
    <col min="3" max="3" width="10.375" style="2255" customWidth="1"/>
    <col min="4" max="4" width="9.875" style="2254" customWidth="1"/>
    <col min="5" max="5" width="9.5" style="657"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6" t="s">
        <v>1089</v>
      </c>
      <c r="B1" s="1685"/>
      <c r="C1" s="2256"/>
      <c r="D1" s="2257"/>
      <c r="E1" s="2258"/>
      <c r="F1" s="2258"/>
      <c r="G1" s="2259"/>
      <c r="H1" s="2258"/>
      <c r="I1" s="2258"/>
      <c r="J1" s="2258"/>
      <c r="K1" s="2327">
        <f>MATCH(C1,'数据-取费表'!A6:A16,0)+5</f>
        <v>7</v>
      </c>
    </row>
    <row r="2" spans="1:33" ht="18" customHeight="1">
      <c r="A2" s="380" t="s">
        <v>984</v>
      </c>
      <c r="B2" s="384">
        <f ca="1">C32</f>
        <v>76094</v>
      </c>
      <c r="C2" s="2260" t="s">
        <v>1090</v>
      </c>
      <c r="D2" s="2260"/>
      <c r="E2" s="2258"/>
      <c r="F2" s="2258"/>
      <c r="G2" s="2258"/>
      <c r="H2" s="2258"/>
      <c r="I2" s="2258"/>
      <c r="J2" s="2258"/>
      <c r="K2" s="2258"/>
    </row>
    <row r="3" spans="1:33" ht="18" customHeight="1">
      <c r="A3" s="383" t="s">
        <v>986</v>
      </c>
      <c r="B3" s="384">
        <f ca="1">ROUND(B2*10000/IF(C1="",'数据-汇总表'!E3,INDIRECT("'数据-取费表'!K"&amp;$K$1)),0)</f>
        <v>2279629</v>
      </c>
      <c r="C3" s="2260" t="s">
        <v>1091</v>
      </c>
      <c r="D3" s="2260"/>
      <c r="E3" s="2258"/>
      <c r="F3" s="2258"/>
      <c r="G3" s="2258"/>
      <c r="H3" s="2258"/>
      <c r="I3" s="2258"/>
      <c r="J3" s="2258"/>
      <c r="K3" s="2258"/>
    </row>
    <row r="4" spans="1:33" s="2245" customFormat="1" ht="16.5" customHeight="1">
      <c r="A4" s="2261" t="s">
        <v>1092</v>
      </c>
      <c r="B4" s="2262"/>
      <c r="C4" s="2263">
        <f>SUM(C8:K8)</f>
        <v>0</v>
      </c>
      <c r="D4" s="2262"/>
      <c r="E4" s="2262"/>
      <c r="F4" s="2262"/>
      <c r="G4" s="2262"/>
      <c r="H4" s="2262"/>
      <c r="I4" s="2262"/>
      <c r="J4" s="2262"/>
      <c r="K4" s="2328"/>
    </row>
    <row r="5" spans="1:33" s="2246" customFormat="1" ht="15">
      <c r="A5" s="2264" t="s">
        <v>1093</v>
      </c>
      <c r="B5" s="2265" t="s">
        <v>1094</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894</v>
      </c>
      <c r="B6" s="1648" t="s">
        <v>1095</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898</v>
      </c>
      <c r="B7" s="1648"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943</v>
      </c>
      <c r="B8" s="2271" t="s">
        <v>1096</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1097</v>
      </c>
      <c r="B9" s="2262"/>
      <c r="C9" s="2262"/>
      <c r="D9" s="2262"/>
      <c r="E9" s="2262"/>
      <c r="F9" s="2262"/>
      <c r="G9" s="2262"/>
      <c r="H9" s="2262"/>
      <c r="I9" s="2262"/>
      <c r="J9" s="2262"/>
      <c r="K9" s="2328"/>
    </row>
    <row r="10" spans="1:33" s="2248" customFormat="1" ht="13.5" customHeight="1">
      <c r="A10" s="2264" t="s">
        <v>1093</v>
      </c>
      <c r="B10" s="2274" t="s">
        <v>1094</v>
      </c>
      <c r="C10" s="2275" t="s">
        <v>1098</v>
      </c>
      <c r="D10" s="2276" t="s">
        <v>1099</v>
      </c>
      <c r="E10" s="2276" t="s">
        <v>1100</v>
      </c>
      <c r="F10" s="2276" t="s">
        <v>1101</v>
      </c>
      <c r="G10" s="2274"/>
      <c r="H10" s="2277"/>
      <c r="I10" s="2277"/>
      <c r="J10" s="2277"/>
      <c r="K10" s="2334"/>
    </row>
    <row r="11" spans="1:33" s="2249" customFormat="1" ht="13.5" customHeight="1">
      <c r="A11" s="2278" t="s">
        <v>1000</v>
      </c>
      <c r="B11" s="2279" t="s">
        <v>1102</v>
      </c>
      <c r="C11" s="2280">
        <f ca="1">IF(C1="",'数据-取费表'!P16,INDIRECT("'数据-取费表'!p"&amp;$K$1)+INDIRECT("'数据-取费表'!ar"&amp;$K$1))</f>
        <v>0</v>
      </c>
      <c r="D11" s="2281"/>
      <c r="E11" s="1651"/>
      <c r="F11" s="2282">
        <f ca="1">1-IF('数据-取费表'!B24=0,1,IF(C1="",'数据-取费表'!N16,INDIRECT("'数据-取费表'!n"&amp;$K$1)))</f>
        <v>0</v>
      </c>
      <c r="G11" s="2274"/>
      <c r="H11" s="2277"/>
      <c r="I11" s="2277"/>
      <c r="J11" s="2277"/>
      <c r="K11" s="2334"/>
    </row>
    <row r="12" spans="1:33" s="2249" customFormat="1" ht="13.5" customHeight="1">
      <c r="A12" s="2278" t="s">
        <v>1004</v>
      </c>
      <c r="B12" s="2279" t="s">
        <v>1103</v>
      </c>
      <c r="C12" s="615">
        <f ca="1">ROUND(C11*F12,0)</f>
        <v>0</v>
      </c>
      <c r="D12" s="2281"/>
      <c r="E12" s="1651"/>
      <c r="F12" s="2282">
        <f>'数据-取费表'!B33</f>
        <v>0.03</v>
      </c>
      <c r="G12" s="2274" t="s">
        <v>1104</v>
      </c>
      <c r="H12" s="2277"/>
      <c r="I12" s="2277"/>
      <c r="J12" s="2277"/>
      <c r="K12" s="2334"/>
    </row>
    <row r="13" spans="1:33" s="2249" customFormat="1" ht="13.5" customHeight="1">
      <c r="A13" s="2278" t="s">
        <v>1105</v>
      </c>
      <c r="B13" s="2279" t="s">
        <v>1106</v>
      </c>
      <c r="C13" s="615">
        <f ca="1">ROUND(IF(C1="",SUMIF('数据-取费表'!C:C,"住宅",'数据-取费表'!P:P)*F13,IF(INDIRECT("'数据-取费表'!c"&amp;$K$1)="住宅",INDIRECT("'数据-取费表'!P"&amp;$K$1)*F13,0)),0)</f>
        <v>0</v>
      </c>
      <c r="D13" s="2283"/>
      <c r="E13" s="1651"/>
      <c r="F13" s="2282">
        <f>'数据-取费表'!B34</f>
        <v>0</v>
      </c>
      <c r="G13" s="2274" t="s">
        <v>1107</v>
      </c>
      <c r="H13" s="2277"/>
      <c r="I13" s="2277"/>
      <c r="J13" s="2277"/>
      <c r="K13" s="2334"/>
    </row>
    <row r="14" spans="1:33" s="2250" customFormat="1" ht="13.5" customHeight="1">
      <c r="A14" s="2278" t="s">
        <v>1108</v>
      </c>
      <c r="B14" s="2279" t="s">
        <v>1109</v>
      </c>
      <c r="C14" s="615">
        <f ca="1">ROUND(D14*E14*F11/10000,0)</f>
        <v>0</v>
      </c>
      <c r="D14" s="2283">
        <f ca="1">IF(C1="",'数据-汇总表'!E3,INDIRECT("'数据-取费表'!K"&amp;$K$1)+INDIRECT("'数据-取费表'!S"&amp;$K$1))</f>
        <v>333.8</v>
      </c>
      <c r="E14" s="615">
        <f>'数据-取费表'!B35</f>
        <v>200</v>
      </c>
      <c r="F14" s="2284"/>
      <c r="G14" s="2274" t="s">
        <v>1110</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1111</v>
      </c>
      <c r="B15" s="2279" t="s">
        <v>1112</v>
      </c>
      <c r="C15" s="2285">
        <f ca="1">ROUND(C11*F15,0)</f>
        <v>0</v>
      </c>
      <c r="D15" s="2286"/>
      <c r="E15" s="2285"/>
      <c r="F15" s="2282">
        <f>'数据-取费表'!B36</f>
        <v>0.02</v>
      </c>
      <c r="G15" s="1648" t="s">
        <v>1113</v>
      </c>
      <c r="H15" s="1763"/>
      <c r="I15" s="1763"/>
      <c r="J15" s="1763"/>
      <c r="K15" s="1764"/>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917</v>
      </c>
      <c r="B16" s="2279" t="s">
        <v>1114</v>
      </c>
      <c r="C16" s="2285">
        <f ca="1">SUM(C11:C15)</f>
        <v>0</v>
      </c>
      <c r="D16" s="2286"/>
      <c r="E16" s="2285"/>
      <c r="F16" s="2282"/>
      <c r="G16" s="1648"/>
      <c r="H16" s="2287"/>
      <c r="I16" s="1763"/>
      <c r="J16" s="1763"/>
      <c r="K16" s="1764"/>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921</v>
      </c>
      <c r="B17" s="2279" t="s">
        <v>1115</v>
      </c>
      <c r="C17" s="615">
        <f ca="1">ROUND(D17*E17/10000,0)</f>
        <v>0</v>
      </c>
      <c r="D17" s="2283">
        <f ca="1">D14</f>
        <v>333.8</v>
      </c>
      <c r="E17" s="615">
        <f>'数据-取费表'!B32</f>
        <v>0</v>
      </c>
      <c r="F17" s="2286"/>
      <c r="G17" s="1648" t="s">
        <v>1116</v>
      </c>
      <c r="H17" s="2287"/>
      <c r="I17" s="1763"/>
      <c r="J17" s="1763"/>
      <c r="K17" s="1764"/>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1117</v>
      </c>
      <c r="B18" s="2279" t="s">
        <v>1118</v>
      </c>
      <c r="C18" s="615">
        <f ca="1">C19+C20-IF(C1="",'数据-取费表'!B29,IF(G18="已全部缴纳",C19+C20,H18))</f>
        <v>-66753</v>
      </c>
      <c r="D18" s="2283"/>
      <c r="E18" s="615"/>
      <c r="F18" s="2284"/>
      <c r="G18" s="2288"/>
      <c r="H18" s="2289"/>
      <c r="I18" s="2335" t="s">
        <v>1119</v>
      </c>
      <c r="J18" s="1763"/>
      <c r="K18" s="1764"/>
    </row>
    <row r="19" spans="1:33" s="2249" customFormat="1" ht="13.5" customHeight="1">
      <c r="A19" s="2278" t="s">
        <v>1000</v>
      </c>
      <c r="B19" s="2279" t="s">
        <v>442</v>
      </c>
      <c r="C19" s="615">
        <f ca="1">ROUND(D19*E19/10000,0)</f>
        <v>0</v>
      </c>
      <c r="D19" s="2283">
        <f ca="1">IF(C1="",'数据-汇总表'!E5,IF(INDIRECT("'数据-取费表'!c"&amp;$K$1)="住宅",INDIRECT("'数据-取费表'!k"&amp;$K$1),0))</f>
        <v>0</v>
      </c>
      <c r="E19" s="615">
        <f>'数据-取费表'!B27</f>
        <v>0</v>
      </c>
      <c r="F19" s="2284"/>
      <c r="G19" s="1762"/>
      <c r="H19" s="2290"/>
      <c r="I19" s="2291"/>
      <c r="J19" s="2291"/>
      <c r="K19" s="2336"/>
    </row>
    <row r="20" spans="1:33" s="2249" customFormat="1" ht="13.5" customHeight="1">
      <c r="A20" s="2278" t="s">
        <v>1004</v>
      </c>
      <c r="B20" s="2279" t="s">
        <v>1120</v>
      </c>
      <c r="C20" s="615">
        <f ca="1">ROUND(D20*E20/10000,0)</f>
        <v>7</v>
      </c>
      <c r="D20" s="2283">
        <f ca="1">IF(C1="",'数据-汇总表'!E6,IF(INDIRECT("'数据-取费表'!c"&amp;$K$1)="住宅",INDIRECT("'数据-取费表'!s"&amp;$K$1),INDIRECT("'数据-取费表'!k"&amp;$K$1)+INDIRECT("'数据-取费表'!s"&amp;$K$1)))</f>
        <v>333.8</v>
      </c>
      <c r="E20" s="615">
        <f>'数据-取费表'!B28</f>
        <v>200</v>
      </c>
      <c r="F20" s="2284"/>
      <c r="G20" s="1762"/>
      <c r="H20" s="2291"/>
      <c r="I20" s="2291"/>
      <c r="J20" s="2291"/>
      <c r="K20" s="2336"/>
    </row>
    <row r="21" spans="1:33" s="2249" customFormat="1" ht="13.5" customHeight="1">
      <c r="A21" s="2267" t="s">
        <v>894</v>
      </c>
      <c r="B21" s="2292" t="s">
        <v>1121</v>
      </c>
      <c r="C21" s="2293">
        <f ca="1">C16+C17+C18</f>
        <v>-66753</v>
      </c>
      <c r="D21" s="2294"/>
      <c r="E21" s="2295"/>
      <c r="F21" s="2295"/>
      <c r="G21" s="1648" t="s">
        <v>1122</v>
      </c>
      <c r="H21" s="1763"/>
      <c r="I21" s="1763"/>
      <c r="J21" s="1763"/>
      <c r="K21" s="1764"/>
    </row>
    <row r="22" spans="1:33" s="2249" customFormat="1" ht="13.5" customHeight="1">
      <c r="A22" s="2267" t="s">
        <v>898</v>
      </c>
      <c r="B22" s="2292" t="s">
        <v>1123</v>
      </c>
      <c r="C22" s="2293">
        <f ca="1">ROUND(C21*F22,0)</f>
        <v>-1335</v>
      </c>
      <c r="D22" s="2295"/>
      <c r="E22" s="2295"/>
      <c r="F22" s="2296">
        <f>'数据-取费表'!B37</f>
        <v>0.02</v>
      </c>
      <c r="G22" s="2274" t="s">
        <v>1124</v>
      </c>
      <c r="H22" s="2277"/>
      <c r="I22" s="2277"/>
      <c r="J22" s="2277"/>
      <c r="K22" s="2334"/>
    </row>
    <row r="23" spans="1:33" s="2249" customFormat="1" ht="13.5" customHeight="1">
      <c r="A23" s="2267" t="s">
        <v>943</v>
      </c>
      <c r="B23" s="2292" t="s">
        <v>1125</v>
      </c>
      <c r="C23" s="2293">
        <f ca="1">ROUND(C4*F23*F11,0)</f>
        <v>0</v>
      </c>
      <c r="D23" s="2295"/>
      <c r="E23" s="2295"/>
      <c r="F23" s="2296">
        <f>'数据-取费表'!B38</f>
        <v>0.02</v>
      </c>
      <c r="G23" s="2274" t="s">
        <v>1126</v>
      </c>
      <c r="H23" s="2277"/>
      <c r="I23" s="2277"/>
      <c r="J23" s="2277"/>
      <c r="K23" s="2334"/>
    </row>
    <row r="24" spans="1:33" s="2249" customFormat="1" ht="13.5" customHeight="1">
      <c r="A24" s="2267" t="s">
        <v>946</v>
      </c>
      <c r="B24" s="2292" t="s">
        <v>1127</v>
      </c>
      <c r="C24" s="2297">
        <f>ROUND(F24/(1+'数据-取费表'!C42),4)</f>
        <v>2.9000000000000001E-2</v>
      </c>
      <c r="D24" s="2295" t="s">
        <v>1128</v>
      </c>
      <c r="E24" s="2295"/>
      <c r="F24" s="2296">
        <f>IF(项目基本情况!B8="出让",0,'数据-取费表'!B48+'数据-取费表'!B49)</f>
        <v>3.0499999999999999E-2</v>
      </c>
      <c r="G24" s="2274" t="s">
        <v>1129</v>
      </c>
      <c r="H24" s="2298"/>
      <c r="I24" s="2298"/>
      <c r="J24" s="2298"/>
      <c r="K24" s="2337"/>
    </row>
    <row r="25" spans="1:33" s="2249" customFormat="1" ht="13.5" customHeight="1">
      <c r="A25" s="2267" t="s">
        <v>950</v>
      </c>
      <c r="B25" s="2294" t="s">
        <v>1130</v>
      </c>
      <c r="C25" s="2299">
        <f ca="1">C27</f>
        <v>0</v>
      </c>
      <c r="D25" s="2297">
        <f ca="1">C26</f>
        <v>0</v>
      </c>
      <c r="E25" s="2300" t="s">
        <v>1128</v>
      </c>
      <c r="F25" s="2301">
        <f ca="1">'数据-取费表'!B40</f>
        <v>3.3500000000000002E-2</v>
      </c>
      <c r="G25" s="1648"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917</v>
      </c>
      <c r="B26" s="2302" t="s">
        <v>1131</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63"/>
      <c r="I26" s="1763"/>
      <c r="J26" s="1763"/>
      <c r="K26" s="1764"/>
    </row>
    <row r="27" spans="1:33" s="2251" customFormat="1" ht="13.5" customHeight="1">
      <c r="A27" s="2278" t="s">
        <v>921</v>
      </c>
      <c r="B27" s="2302" t="s">
        <v>1132</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63"/>
      <c r="I27" s="1763"/>
      <c r="J27" s="1763"/>
      <c r="K27" s="1764"/>
    </row>
    <row r="28" spans="1:33" s="2252" customFormat="1" ht="13.5" customHeight="1">
      <c r="A28" s="2267" t="s">
        <v>951</v>
      </c>
      <c r="B28" s="2309" t="s">
        <v>1133</v>
      </c>
      <c r="C28" s="2310">
        <f ca="1">C30</f>
        <v>-10213</v>
      </c>
      <c r="D28" s="2297">
        <f ca="1">C29</f>
        <v>0</v>
      </c>
      <c r="E28" s="2300" t="s">
        <v>1128</v>
      </c>
      <c r="F28" s="919">
        <f ca="1">IF(C1="",'数据-取费表'!Q16,INDIRECT("'数据-取费表'!q"&amp;$K$1))</f>
        <v>0.15</v>
      </c>
      <c r="G28" s="2311"/>
      <c r="H28" s="2298"/>
      <c r="I28" s="2298"/>
      <c r="J28" s="2298"/>
      <c r="K28" s="2337"/>
    </row>
    <row r="29" spans="1:33" s="2253" customFormat="1" ht="13.5" customHeight="1">
      <c r="A29" s="2278" t="s">
        <v>917</v>
      </c>
      <c r="B29" s="2312" t="s">
        <v>1134</v>
      </c>
      <c r="C29" s="2304">
        <f ca="1">ROUND((1+C24)*F28*'数据-取费表'!B24/'数据-取费表'!B20,4)</f>
        <v>0</v>
      </c>
      <c r="D29" s="2304"/>
      <c r="E29" s="2305"/>
      <c r="F29" s="2313"/>
      <c r="G29" s="1648" t="s">
        <v>1135</v>
      </c>
      <c r="H29" s="1763"/>
      <c r="I29" s="1763"/>
      <c r="J29" s="1763"/>
      <c r="K29" s="1764"/>
    </row>
    <row r="30" spans="1:33" s="2253" customFormat="1" ht="13.5" customHeight="1">
      <c r="A30" s="2278" t="s">
        <v>921</v>
      </c>
      <c r="B30" s="2312" t="s">
        <v>1136</v>
      </c>
      <c r="C30" s="2314">
        <f ca="1">ROUND((C21+C22+C23)*F28,0)</f>
        <v>-10213</v>
      </c>
      <c r="D30" s="2304"/>
      <c r="E30" s="2305"/>
      <c r="F30" s="2313"/>
      <c r="G30" s="1648"/>
      <c r="H30" s="1763"/>
      <c r="I30" s="1763"/>
      <c r="J30" s="1763"/>
      <c r="K30" s="1764"/>
    </row>
    <row r="31" spans="1:33" s="2249" customFormat="1" ht="13.5" customHeight="1">
      <c r="A31" s="2315" t="s">
        <v>1137</v>
      </c>
      <c r="B31" s="2316" t="s">
        <v>1138</v>
      </c>
      <c r="C31" s="2317">
        <f>ROUND(C4*F31/(1+'数据-取费表'!C42),0)</f>
        <v>0</v>
      </c>
      <c r="D31" s="2318"/>
      <c r="E31" s="2319"/>
      <c r="F31" s="2320">
        <f>'数据-取费表'!B41</f>
        <v>5.5000000000000007E-2</v>
      </c>
      <c r="G31" s="2321" t="s">
        <v>1139</v>
      </c>
      <c r="H31" s="2322"/>
      <c r="I31" s="2322"/>
      <c r="J31" s="2322"/>
      <c r="K31" s="2338"/>
    </row>
    <row r="32" spans="1:33" s="2248" customFormat="1" ht="13.5" customHeight="1">
      <c r="A32" s="2323" t="s">
        <v>1140</v>
      </c>
      <c r="B32" s="2324"/>
      <c r="C32" s="2325">
        <f ca="1">ROUND((C4-C21-C22-C23-C25-C28-C31)/(1+C24+D25+D28),0)</f>
        <v>76094</v>
      </c>
      <c r="D32" s="2324"/>
      <c r="E32" s="2324"/>
      <c r="F32" s="2324"/>
      <c r="G32" s="2326" t="s">
        <v>1141</v>
      </c>
      <c r="H32" s="2324"/>
      <c r="I32" s="2324"/>
      <c r="J32" s="2324"/>
      <c r="K32" s="233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7"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7" t="s">
        <v>1156</v>
      </c>
      <c r="C6" s="1606" t="e">
        <f ca="1">ROUND(F6*F8*F7*(1-F9)/10000,0)</f>
        <v>#N/A</v>
      </c>
      <c r="D6" s="1607" t="s">
        <v>1157</v>
      </c>
      <c r="E6" s="1608" t="s">
        <v>1158</v>
      </c>
      <c r="F6" s="1609" t="e">
        <f ca="1">INDIRECT("'数据-取费表'!u"&amp;$G$1)</f>
        <v>#N/A</v>
      </c>
      <c r="G6" s="1576"/>
      <c r="H6" s="1605" t="s">
        <v>894</v>
      </c>
      <c r="I6" s="3657" t="s">
        <v>1156</v>
      </c>
      <c r="J6" s="1680" t="e">
        <f ca="1">ROUND(M6*M8*M7*(1-M9)/10000,0)</f>
        <v>#N/A</v>
      </c>
      <c r="K6" s="1607" t="s">
        <v>1159</v>
      </c>
      <c r="L6" s="1608" t="s">
        <v>1158</v>
      </c>
      <c r="M6" s="1609" t="e">
        <f ca="1">INDIRECT("'数据-取费表'!z"&amp;$G$1)</f>
        <v>#N/A</v>
      </c>
    </row>
    <row r="7" spans="1:37" ht="18" customHeight="1">
      <c r="A7" s="1610"/>
      <c r="B7" s="3658"/>
      <c r="C7" s="1611"/>
      <c r="D7" s="1612"/>
      <c r="E7" s="1613" t="s">
        <v>1160</v>
      </c>
      <c r="F7" s="1609" t="e">
        <f ca="1">IF(INDIRECT("'数据-取费表'!ah"&amp;$G$1)="",INDIRECT("'数据-取费表'!k"&amp;$G$1),INDIRECT("'数据-取费表'!ah"&amp;$G$1))</f>
        <v>#N/A</v>
      </c>
      <c r="G7" s="1576"/>
      <c r="H7" s="1614"/>
      <c r="I7" s="3658"/>
      <c r="J7" s="1615"/>
      <c r="K7" s="1612"/>
      <c r="L7" s="1608" t="s">
        <v>1160</v>
      </c>
      <c r="M7" s="1609" t="e">
        <f ca="1">F7</f>
        <v>#N/A</v>
      </c>
    </row>
    <row r="8" spans="1:37" ht="18" customHeight="1">
      <c r="A8" s="1614"/>
      <c r="B8" s="3658"/>
      <c r="C8" s="1615"/>
      <c r="D8" s="1612"/>
      <c r="E8" s="1608" t="s">
        <v>1161</v>
      </c>
      <c r="F8" s="1609" t="e">
        <f ca="1">INDIRECT("'数据-取费表'!ai"&amp;$G$1)</f>
        <v>#N/A</v>
      </c>
      <c r="G8" s="1576"/>
      <c r="H8" s="1614"/>
      <c r="I8" s="3658"/>
      <c r="J8" s="1615"/>
      <c r="K8" s="1612"/>
      <c r="L8" s="1608" t="s">
        <v>1161</v>
      </c>
      <c r="M8" s="1609" t="e">
        <f ca="1">INDIRECT("'数据-取费表'!ai"&amp;$G$1)</f>
        <v>#N/A</v>
      </c>
    </row>
    <row r="9" spans="1:37" ht="18" customHeight="1">
      <c r="A9" s="1614"/>
      <c r="B9" s="3659"/>
      <c r="C9" s="1615"/>
      <c r="D9" s="1612"/>
      <c r="E9" s="1608" t="s">
        <v>1162</v>
      </c>
      <c r="F9" s="1616" t="e">
        <f ca="1">INDIRECT("'数据-取费表'!w"&amp;$G$1)</f>
        <v>#N/A</v>
      </c>
      <c r="G9" s="1576"/>
      <c r="H9" s="1614"/>
      <c r="I9" s="3659"/>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8"/>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4"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39"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2240"/>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1" t="s">
        <v>1281</v>
      </c>
      <c r="B53" s="2242"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655" t="s">
        <v>1283</v>
      </c>
      <c r="L53" s="3656"/>
      <c r="O53" s="1792" t="s">
        <v>1105</v>
      </c>
      <c r="P53" s="1793" t="s">
        <v>1284</v>
      </c>
      <c r="Q53" s="1833" t="e">
        <f ca="1">Q47+Q48</f>
        <v>#N/A</v>
      </c>
      <c r="R53" s="1833" t="s">
        <v>1285</v>
      </c>
    </row>
    <row r="54" spans="1:18" s="1576" customFormat="1">
      <c r="A54" s="2243"/>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2891</v>
      </c>
      <c r="C1" s="2341" t="s">
        <v>1083</v>
      </c>
      <c r="D1" s="378"/>
      <c r="E1" s="378"/>
      <c r="F1" s="378"/>
      <c r="G1" s="2342" t="e">
        <f>MATCH(B1,'数据-取费表'!A6:A16,0)+5</f>
        <v>#N/A</v>
      </c>
      <c r="H1" s="1327" t="str">
        <f>IF(ISERROR(FIND("住宅",B1)),"非住宅","住宅")</f>
        <v>非住宅</v>
      </c>
    </row>
    <row r="2" spans="1:8" s="368" customFormat="1" ht="18" customHeight="1">
      <c r="A2" s="380" t="s">
        <v>984</v>
      </c>
      <c r="B2" s="2343" t="e">
        <f ca="1">ROUND(IF(D2="——",C52/10000,C52/10000-E2),4)</f>
        <v>#N/A</v>
      </c>
      <c r="C2" s="379" t="s">
        <v>985</v>
      </c>
      <c r="D2" s="2344" t="s">
        <v>124</v>
      </c>
      <c r="E2" s="2345" t="e">
        <f ca="1">SUMIF(INDIRECT("'"&amp;G2&amp;"'"&amp;"!A:A"),"承租人权益价值",INDIRECT("'"&amp;G2&amp;"'"&amp;"!c:c"))</f>
        <v>#REF!</v>
      </c>
      <c r="F2" s="2346" t="s">
        <v>985</v>
      </c>
      <c r="G2" s="2347"/>
    </row>
    <row r="3" spans="1:8" s="368" customFormat="1" ht="18" customHeight="1" thickBo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ROUND(基准地价修正!T2*基准地价修正!U2,0)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8"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8"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t="e">
        <f ca="1">ROUND(SUM(C23:C25),0)</f>
        <v>#N/A</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t="e">
        <f ca="1">ROUND(IF('数据-取费表'!B22&lt;=1,C5*F22*'数据-取费表'!B22,C5*(POWER((1+F22),'数据-取费表'!B22)-1)),0)</f>
        <v>#N/A</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t="e">
        <f ca="1">ROUND(SUM(C42:C43),0)</f>
        <v>#N/A</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t="e">
        <f ca="1">ROUND(IF('数据-取费表'!B22&lt;=1,C33*F22*'数据-取费表'!B20/2,C33*(POWER((1+F22),'数据-取费表'!B20/2)-1)),0)</f>
        <v>#N/A</v>
      </c>
      <c r="D42" s="426"/>
      <c r="E42" s="426"/>
      <c r="F42" s="427"/>
      <c r="G42" s="3652" t="s">
        <v>1086</v>
      </c>
    </row>
    <row r="43" spans="1:7" ht="13.5" customHeight="1">
      <c r="A43" s="424" t="s">
        <v>995</v>
      </c>
      <c r="B43" s="394" t="s">
        <v>1036</v>
      </c>
      <c r="C43" s="426" t="e">
        <f ca="1">ROUND(IF('数据-取费表'!B22&lt;=1,C39*F22*'数据-取费表'!B20/2,C39*(POWER((1+F22),'数据-取费表'!B20/2)-1)),0)</f>
        <v>#N/A</v>
      </c>
      <c r="D43" s="426"/>
      <c r="E43" s="426"/>
      <c r="F43" s="427"/>
      <c r="G43" s="3653"/>
    </row>
    <row r="44" spans="1:7" ht="13.5" customHeight="1">
      <c r="A44" s="424" t="s">
        <v>997</v>
      </c>
      <c r="B44" s="394" t="s">
        <v>1038</v>
      </c>
      <c r="C44" s="426">
        <f ca="1">ROUND(IF('数据-取费表'!B22&lt;=1,C40*F22*'数据-取费表'!B20/2,C40*(POWER((1+F22),'数据-取费表'!B20/2)-1)),4)</f>
        <v>6.9999999999999999E-4</v>
      </c>
      <c r="D44" s="426"/>
      <c r="E44" s="426"/>
      <c r="F44" s="427"/>
      <c r="G44" s="3654"/>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t="e">
        <f ca="1">ROUND(C49*F50,0)</f>
        <v>#N/A</v>
      </c>
      <c r="D51" s="416"/>
      <c r="E51" s="416"/>
      <c r="F51" s="451"/>
      <c r="G51" s="421" t="s">
        <v>1078</v>
      </c>
    </row>
    <row r="52" spans="1:7" s="369" customFormat="1" ht="16.5" thickBot="1">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B1" sqref="B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2891</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7" t="s">
        <v>1156</v>
      </c>
      <c r="C6" s="1606" t="e">
        <f ca="1">ROUND(F6*F8*F7*(1-F9),0)</f>
        <v>#N/A</v>
      </c>
      <c r="D6" s="1607" t="s">
        <v>1544</v>
      </c>
      <c r="E6" s="1608" t="s">
        <v>1158</v>
      </c>
      <c r="F6" s="1609" t="e">
        <f ca="1">INDIRECT("'数据-取费表'!u"&amp;$G$1)</f>
        <v>#N/A</v>
      </c>
      <c r="G6" s="1576"/>
      <c r="H6" s="1605" t="s">
        <v>894</v>
      </c>
      <c r="I6" s="3657" t="s">
        <v>1156</v>
      </c>
      <c r="J6" s="1680" t="e">
        <f ca="1">ROUND(M6*M8*M7*(1-M9),0)</f>
        <v>#N/A</v>
      </c>
      <c r="K6" s="1753" t="s">
        <v>1545</v>
      </c>
      <c r="L6" s="1608" t="s">
        <v>1158</v>
      </c>
      <c r="M6" s="1609" t="e">
        <f ca="1">INDIRECT("'数据-取费表'!z"&amp;$G$1)</f>
        <v>#N/A</v>
      </c>
    </row>
    <row r="7" spans="1:37" ht="18" customHeight="1">
      <c r="A7" s="1610"/>
      <c r="B7" s="3658"/>
      <c r="C7" s="1611"/>
      <c r="D7" s="1612"/>
      <c r="E7" s="1613" t="s">
        <v>1160</v>
      </c>
      <c r="F7" s="1609" t="e">
        <f ca="1">IF(INDIRECT("'数据-取费表'!ah"&amp;$G$1)="",INDIRECT("'数据-取费表'!k"&amp;$G$1),INDIRECT("'数据-取费表'!ah"&amp;$G$1))</f>
        <v>#N/A</v>
      </c>
      <c r="G7" s="1576"/>
      <c r="H7" s="1614"/>
      <c r="I7" s="3658"/>
      <c r="J7" s="1615"/>
      <c r="K7" s="1612"/>
      <c r="L7" s="1608" t="s">
        <v>1160</v>
      </c>
      <c r="M7" s="1609" t="e">
        <f ca="1">F7</f>
        <v>#N/A</v>
      </c>
    </row>
    <row r="8" spans="1:37" ht="18" customHeight="1">
      <c r="A8" s="1614"/>
      <c r="B8" s="3658"/>
      <c r="C8" s="1615"/>
      <c r="D8" s="1612"/>
      <c r="E8" s="1608" t="s">
        <v>1161</v>
      </c>
      <c r="F8" s="1609" t="e">
        <f ca="1">INDIRECT("'数据-取费表'!ai"&amp;$G$1)</f>
        <v>#N/A</v>
      </c>
      <c r="G8" s="1576"/>
      <c r="H8" s="1614"/>
      <c r="I8" s="3658"/>
      <c r="J8" s="1615"/>
      <c r="K8" s="1612"/>
      <c r="L8" s="1608" t="s">
        <v>1161</v>
      </c>
      <c r="M8" s="1609" t="e">
        <f ca="1">INDIRECT("'数据-取费表'!ai"&amp;$G$1)</f>
        <v>#N/A</v>
      </c>
    </row>
    <row r="9" spans="1:37" ht="18" customHeight="1">
      <c r="A9" s="1614"/>
      <c r="B9" s="3659"/>
      <c r="C9" s="1615"/>
      <c r="D9" s="1612"/>
      <c r="E9" s="1608" t="s">
        <v>1162</v>
      </c>
      <c r="F9" s="1616" t="e">
        <f ca="1">INDIRECT("'数据-取费表'!w"&amp;$G$1)</f>
        <v>#N/A</v>
      </c>
      <c r="G9" s="1576"/>
      <c r="H9" s="1614"/>
      <c r="I9" s="3659"/>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ROUND(J14*M22,0)</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t="e">
        <f ca="1">ROUND((C68-C40)/10000,4)</f>
        <v>#N/A</v>
      </c>
      <c r="D45" s="1696" t="s">
        <v>1550</v>
      </c>
      <c r="E45" s="1692"/>
      <c r="F45" s="1692"/>
      <c r="O45" s="1780" t="s">
        <v>1243</v>
      </c>
      <c r="P45" s="1681"/>
      <c r="Q45" s="1681"/>
      <c r="R45" s="1681"/>
    </row>
    <row r="46" spans="1:18" s="1576" customForma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ROUND(F49*F51*F50*(1-F52),0)</f>
        <v>#N/A</v>
      </c>
      <c r="D49" s="1712" t="s">
        <v>1553</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50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655" t="s">
        <v>1283</v>
      </c>
      <c r="L53" s="3656"/>
      <c r="O53" s="1792" t="s">
        <v>1105</v>
      </c>
      <c r="P53" s="1793" t="s">
        <v>1284</v>
      </c>
      <c r="Q53" s="1833" t="e">
        <f ca="1">Q47+Q48</f>
        <v>#N/A</v>
      </c>
      <c r="R53" s="1833" t="s">
        <v>1285</v>
      </c>
    </row>
    <row r="54" spans="1:18" s="1576" customFormat="1">
      <c r="A54" s="1709"/>
      <c r="B54" s="1726" t="s">
        <v>1548</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703" t="s">
        <v>1684</v>
      </c>
      <c r="D4" s="3704"/>
      <c r="E4" s="3705" t="s">
        <v>1685</v>
      </c>
      <c r="F4" s="3706"/>
      <c r="G4" s="3703" t="s">
        <v>1686</v>
      </c>
      <c r="H4" s="3704"/>
      <c r="I4" s="3703" t="s">
        <v>1687</v>
      </c>
      <c r="J4" s="3704"/>
      <c r="K4" s="851" t="s">
        <v>1688</v>
      </c>
      <c r="L4" s="852"/>
      <c r="M4" s="853"/>
      <c r="N4" s="853"/>
      <c r="O4" s="853"/>
      <c r="P4" s="3666" t="s">
        <v>1689</v>
      </c>
      <c r="Q4" s="3667"/>
      <c r="R4" s="3672" t="s">
        <v>1685</v>
      </c>
      <c r="S4" s="3673"/>
      <c r="T4" s="3672" t="s">
        <v>1686</v>
      </c>
      <c r="U4" s="3673"/>
      <c r="V4" s="3678" t="s">
        <v>1687</v>
      </c>
      <c r="W4" s="3678"/>
      <c r="X4" s="1260"/>
      <c r="Y4" s="3672" t="s">
        <v>1689</v>
      </c>
      <c r="Z4" s="3673"/>
      <c r="AA4" s="3660" t="s">
        <v>1685</v>
      </c>
      <c r="AB4" s="3660" t="s">
        <v>1686</v>
      </c>
      <c r="AC4" s="3663" t="s">
        <v>1687</v>
      </c>
    </row>
    <row r="5" spans="1:29" ht="15">
      <c r="A5" s="703"/>
      <c r="B5" s="704"/>
      <c r="C5" s="3707" t="s">
        <v>1690</v>
      </c>
      <c r="D5" s="3708"/>
      <c r="E5" s="3709" t="s">
        <v>1691</v>
      </c>
      <c r="F5" s="3710"/>
      <c r="G5" s="3707" t="s">
        <v>1692</v>
      </c>
      <c r="H5" s="3708"/>
      <c r="I5" s="3707" t="s">
        <v>1693</v>
      </c>
      <c r="J5" s="3708"/>
      <c r="K5" s="851"/>
      <c r="L5" s="852"/>
      <c r="M5" s="853"/>
      <c r="N5" s="853"/>
      <c r="O5" s="853"/>
      <c r="P5" s="3668"/>
      <c r="Q5" s="3669"/>
      <c r="R5" s="3674"/>
      <c r="S5" s="3675"/>
      <c r="T5" s="3674"/>
      <c r="U5" s="3675"/>
      <c r="V5" s="3679"/>
      <c r="W5" s="3679"/>
      <c r="X5" s="895"/>
      <c r="Y5" s="3674"/>
      <c r="Z5" s="3675"/>
      <c r="AA5" s="3661"/>
      <c r="AB5" s="3661"/>
      <c r="AC5" s="3664"/>
    </row>
    <row r="6" spans="1:29" ht="15">
      <c r="A6" s="705"/>
      <c r="B6" s="706"/>
      <c r="C6" s="3698" t="s">
        <v>1694</v>
      </c>
      <c r="D6" s="3699"/>
      <c r="E6" s="3700" t="s">
        <v>1694</v>
      </c>
      <c r="F6" s="3701"/>
      <c r="G6" s="3698" t="s">
        <v>1694</v>
      </c>
      <c r="H6" s="3699"/>
      <c r="I6" s="3698" t="s">
        <v>1694</v>
      </c>
      <c r="J6" s="3699"/>
      <c r="K6" s="851" t="s">
        <v>1695</v>
      </c>
      <c r="L6" s="852"/>
      <c r="M6" s="853"/>
      <c r="N6" s="853"/>
      <c r="O6" s="853"/>
      <c r="P6" s="3670"/>
      <c r="Q6" s="3671"/>
      <c r="R6" s="3674"/>
      <c r="S6" s="3675"/>
      <c r="T6" s="3676"/>
      <c r="U6" s="3677"/>
      <c r="V6" s="3679"/>
      <c r="W6" s="3679"/>
      <c r="X6" s="895"/>
      <c r="Y6" s="3676"/>
      <c r="Z6" s="3677"/>
      <c r="AA6" s="3662"/>
      <c r="AB6" s="3662"/>
      <c r="AC6" s="3665"/>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688" t="s">
        <v>1697</v>
      </c>
      <c r="Q7" s="3702"/>
      <c r="R7" s="896" t="s">
        <v>1698</v>
      </c>
      <c r="S7" s="897">
        <f t="shared" ref="S7:S15" si="0">F7</f>
        <v>100</v>
      </c>
      <c r="T7" s="896" t="s">
        <v>1698</v>
      </c>
      <c r="U7" s="897">
        <f t="shared" ref="U7:U15" si="1">H7</f>
        <v>100</v>
      </c>
      <c r="V7" s="896" t="s">
        <v>1698</v>
      </c>
      <c r="W7" s="897">
        <f t="shared" ref="W7:W15" si="2">J7</f>
        <v>100</v>
      </c>
      <c r="X7" s="898"/>
      <c r="Y7" s="3686" t="s">
        <v>1697</v>
      </c>
      <c r="Z7" s="3687"/>
      <c r="AA7" s="910">
        <f>D7/F7</f>
        <v>1</v>
      </c>
      <c r="AB7" s="910">
        <f>D7/H7</f>
        <v>1</v>
      </c>
      <c r="AC7" s="1262">
        <f>D7/J7</f>
        <v>1</v>
      </c>
    </row>
    <row r="8" spans="1:29" s="682" customFormat="1" ht="15">
      <c r="A8" s="707" t="s">
        <v>1699</v>
      </c>
      <c r="B8" s="708"/>
      <c r="C8" s="714" t="s">
        <v>2851</v>
      </c>
      <c r="D8" s="710">
        <v>100</v>
      </c>
      <c r="E8" s="714" t="s">
        <v>2864</v>
      </c>
      <c r="F8" s="712">
        <f>SUMIF(62:62,E8,63:63)-SUMIF(62:62,C8,63:63)+100</f>
        <v>102</v>
      </c>
      <c r="G8" s="714" t="s">
        <v>2864</v>
      </c>
      <c r="H8" s="710">
        <f>SUMIF(62:62,G8,63:63)-SUMIF(62:62,C8,63:63)+100</f>
        <v>102</v>
      </c>
      <c r="I8" s="714" t="s">
        <v>2864</v>
      </c>
      <c r="J8" s="710">
        <f>SUMIF(62:62,I8,63:63)-SUMIF(62:62,C8,63:63)+100</f>
        <v>102</v>
      </c>
      <c r="K8" s="854"/>
      <c r="L8" s="855"/>
      <c r="M8" s="856"/>
      <c r="N8" s="856"/>
      <c r="O8" s="856"/>
      <c r="P8" s="3688" t="s">
        <v>1700</v>
      </c>
      <c r="Q8" s="3687"/>
      <c r="R8" s="896" t="s">
        <v>1698</v>
      </c>
      <c r="S8" s="897">
        <f t="shared" si="0"/>
        <v>102</v>
      </c>
      <c r="T8" s="896" t="s">
        <v>1698</v>
      </c>
      <c r="U8" s="897">
        <f t="shared" si="1"/>
        <v>102</v>
      </c>
      <c r="V8" s="896" t="s">
        <v>1698</v>
      </c>
      <c r="W8" s="897">
        <f t="shared" si="2"/>
        <v>102</v>
      </c>
      <c r="X8" s="898"/>
      <c r="Y8" s="3686" t="s">
        <v>1700</v>
      </c>
      <c r="Z8" s="3687"/>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37" t="s">
        <v>2875</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80"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80"/>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80"/>
      <c r="Q11" s="900" t="str">
        <f t="shared" si="6"/>
        <v>容积率</v>
      </c>
      <c r="R11" s="896" t="s">
        <v>1698</v>
      </c>
      <c r="S11" s="897">
        <f t="shared" si="0"/>
        <v>100</v>
      </c>
      <c r="T11" s="896" t="s">
        <v>1698</v>
      </c>
      <c r="U11" s="897">
        <f t="shared" si="1"/>
        <v>100</v>
      </c>
      <c r="V11" s="896" t="s">
        <v>1698</v>
      </c>
      <c r="W11" s="897">
        <f t="shared" si="2"/>
        <v>100</v>
      </c>
      <c r="X11" s="898"/>
      <c r="Y11" s="3567"/>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80"/>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80"/>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80"/>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89" t="s">
        <v>1709</v>
      </c>
      <c r="Q15" s="819" t="str">
        <f t="shared" si="6"/>
        <v>办公集聚程度</v>
      </c>
      <c r="R15" s="901" t="s">
        <v>1698</v>
      </c>
      <c r="S15" s="902">
        <f t="shared" si="0"/>
        <v>100</v>
      </c>
      <c r="T15" s="901" t="s">
        <v>1698</v>
      </c>
      <c r="U15" s="902">
        <f t="shared" si="1"/>
        <v>100</v>
      </c>
      <c r="V15" s="901" t="s">
        <v>1698</v>
      </c>
      <c r="W15" s="902">
        <f t="shared" si="2"/>
        <v>100</v>
      </c>
      <c r="X15" s="895"/>
      <c r="Y15" s="3694"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690"/>
      <c r="Q16" s="819"/>
      <c r="R16" s="901"/>
      <c r="S16" s="902"/>
      <c r="T16" s="901"/>
      <c r="U16" s="902"/>
      <c r="V16" s="901"/>
      <c r="W16" s="902"/>
      <c r="X16" s="895"/>
      <c r="Y16" s="3695"/>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90"/>
      <c r="Q17" s="819" t="str">
        <f>B17</f>
        <v>交通便捷度</v>
      </c>
      <c r="R17" s="901" t="s">
        <v>1698</v>
      </c>
      <c r="S17" s="902">
        <f>F17</f>
        <v>100</v>
      </c>
      <c r="T17" s="901" t="s">
        <v>1698</v>
      </c>
      <c r="U17" s="902">
        <f>H17</f>
        <v>100</v>
      </c>
      <c r="V17" s="901" t="s">
        <v>1698</v>
      </c>
      <c r="W17" s="902">
        <f>J17</f>
        <v>100</v>
      </c>
      <c r="X17" s="895"/>
      <c r="Y17" s="3695"/>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690"/>
      <c r="Q18" s="819"/>
      <c r="R18" s="901"/>
      <c r="S18" s="902"/>
      <c r="T18" s="901"/>
      <c r="U18" s="902"/>
      <c r="V18" s="901"/>
      <c r="W18" s="902"/>
      <c r="X18" s="895"/>
      <c r="Y18" s="3695"/>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90"/>
      <c r="Q19" s="819" t="str">
        <f>B19</f>
        <v>公共配套设施</v>
      </c>
      <c r="R19" s="901" t="s">
        <v>1698</v>
      </c>
      <c r="S19" s="902">
        <f>F19</f>
        <v>100</v>
      </c>
      <c r="T19" s="901" t="s">
        <v>1698</v>
      </c>
      <c r="U19" s="902">
        <f>H19</f>
        <v>100</v>
      </c>
      <c r="V19" s="901" t="s">
        <v>1698</v>
      </c>
      <c r="W19" s="902">
        <f>J19</f>
        <v>100</v>
      </c>
      <c r="X19" s="895"/>
      <c r="Y19" s="3695"/>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690"/>
      <c r="Q20" s="819"/>
      <c r="R20" s="901"/>
      <c r="S20" s="902"/>
      <c r="T20" s="901"/>
      <c r="U20" s="902"/>
      <c r="V20" s="901"/>
      <c r="W20" s="902"/>
      <c r="X20" s="895"/>
      <c r="Y20" s="3695"/>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90"/>
      <c r="Q21" s="819" t="str">
        <f>B21</f>
        <v>基础设施水平</v>
      </c>
      <c r="R21" s="901" t="s">
        <v>1698</v>
      </c>
      <c r="S21" s="902">
        <f>F21</f>
        <v>100</v>
      </c>
      <c r="T21" s="901" t="s">
        <v>1698</v>
      </c>
      <c r="U21" s="902">
        <f>H21</f>
        <v>100</v>
      </c>
      <c r="V21" s="901" t="s">
        <v>1698</v>
      </c>
      <c r="W21" s="902">
        <f>J21</f>
        <v>100</v>
      </c>
      <c r="X21" s="895"/>
      <c r="Y21" s="3695"/>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90"/>
      <c r="Q22" s="819"/>
      <c r="R22" s="901"/>
      <c r="S22" s="902"/>
      <c r="T22" s="901"/>
      <c r="U22" s="902"/>
      <c r="V22" s="901"/>
      <c r="W22" s="902"/>
      <c r="X22" s="895"/>
      <c r="Y22" s="3695"/>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90"/>
      <c r="Q23" s="819" t="str">
        <f>B23</f>
        <v>环境质量</v>
      </c>
      <c r="R23" s="901" t="s">
        <v>1698</v>
      </c>
      <c r="S23" s="902">
        <f>F23</f>
        <v>100</v>
      </c>
      <c r="T23" s="901" t="s">
        <v>1698</v>
      </c>
      <c r="U23" s="902">
        <f>H23</f>
        <v>100</v>
      </c>
      <c r="V23" s="901" t="s">
        <v>1698</v>
      </c>
      <c r="W23" s="902">
        <f>J23</f>
        <v>100</v>
      </c>
      <c r="X23" s="895"/>
      <c r="Y23" s="3695"/>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690"/>
      <c r="Q24" s="819"/>
      <c r="R24" s="901"/>
      <c r="S24" s="902"/>
      <c r="T24" s="901"/>
      <c r="U24" s="902"/>
      <c r="V24" s="901"/>
      <c r="W24" s="902"/>
      <c r="X24" s="895"/>
      <c r="Y24" s="3695"/>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90"/>
      <c r="Q25" s="819" t="str">
        <f>B25</f>
        <v>毗邻道路的类型与等级</v>
      </c>
      <c r="R25" s="901" t="s">
        <v>1698</v>
      </c>
      <c r="S25" s="902">
        <f>F25</f>
        <v>100</v>
      </c>
      <c r="T25" s="901" t="s">
        <v>1698</v>
      </c>
      <c r="U25" s="902">
        <f>H25</f>
        <v>100</v>
      </c>
      <c r="V25" s="901" t="s">
        <v>1698</v>
      </c>
      <c r="W25" s="902">
        <f>J25</f>
        <v>100</v>
      </c>
      <c r="X25" s="895"/>
      <c r="Y25" s="3695"/>
      <c r="Z25" s="884" t="str">
        <f>Q25</f>
        <v>毗邻道路的类型与等级</v>
      </c>
      <c r="AA25" s="912">
        <f t="shared" si="3"/>
        <v>1</v>
      </c>
      <c r="AB25" s="912">
        <f t="shared" si="4"/>
        <v>1</v>
      </c>
      <c r="AC25" s="1263">
        <f t="shared" si="5"/>
        <v>1</v>
      </c>
    </row>
    <row r="26" spans="1:29" ht="15">
      <c r="A26" s="703"/>
      <c r="B26" s="750"/>
      <c r="C26" s="755" t="s">
        <v>2881</v>
      </c>
      <c r="D26" s="732"/>
      <c r="E26" s="755" t="s">
        <v>2881</v>
      </c>
      <c r="F26" s="732"/>
      <c r="G26" s="755" t="s">
        <v>2881</v>
      </c>
      <c r="H26" s="732"/>
      <c r="I26" s="755" t="s">
        <v>2881</v>
      </c>
      <c r="J26" s="732"/>
      <c r="K26" s="1133"/>
      <c r="L26" s="865"/>
      <c r="M26" s="853"/>
      <c r="N26" s="853"/>
      <c r="O26" s="853"/>
      <c r="P26" s="3690"/>
      <c r="Q26" s="819"/>
      <c r="R26" s="901"/>
      <c r="S26" s="902"/>
      <c r="T26" s="901"/>
      <c r="U26" s="902"/>
      <c r="V26" s="901"/>
      <c r="W26" s="902"/>
      <c r="X26" s="895"/>
      <c r="Y26" s="3695"/>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90"/>
      <c r="Q27" s="819" t="str">
        <f t="shared" ref="Q27:Q47" si="11">B27</f>
        <v>楼层</v>
      </c>
      <c r="R27" s="901" t="s">
        <v>1698</v>
      </c>
      <c r="S27" s="902">
        <f>F27</f>
        <v>100</v>
      </c>
      <c r="T27" s="901" t="s">
        <v>1698</v>
      </c>
      <c r="U27" s="902">
        <f>H27</f>
        <v>100</v>
      </c>
      <c r="V27" s="901" t="s">
        <v>1698</v>
      </c>
      <c r="W27" s="902">
        <f>J27</f>
        <v>100</v>
      </c>
      <c r="X27" s="895"/>
      <c r="Y27" s="3695"/>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90"/>
      <c r="Q28" s="900" t="str">
        <f t="shared" si="11"/>
        <v>朝向</v>
      </c>
      <c r="R28" s="896" t="s">
        <v>1698</v>
      </c>
      <c r="S28" s="897">
        <f>F28</f>
        <v>100</v>
      </c>
      <c r="T28" s="896" t="s">
        <v>1698</v>
      </c>
      <c r="U28" s="897">
        <f>H28</f>
        <v>100</v>
      </c>
      <c r="V28" s="896" t="s">
        <v>1698</v>
      </c>
      <c r="W28" s="897">
        <f>J28</f>
        <v>100</v>
      </c>
      <c r="X28" s="898"/>
      <c r="Y28" s="3695"/>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90"/>
      <c r="Q29" s="819">
        <f t="shared" si="11"/>
        <v>111</v>
      </c>
      <c r="R29" s="901" t="s">
        <v>1698</v>
      </c>
      <c r="S29" s="902">
        <f t="shared" ref="S29:S47" si="12">F29</f>
        <v>100</v>
      </c>
      <c r="T29" s="901" t="s">
        <v>1698</v>
      </c>
      <c r="U29" s="902">
        <f t="shared" ref="U29:U47" si="13">H29</f>
        <v>100</v>
      </c>
      <c r="V29" s="901" t="s">
        <v>1698</v>
      </c>
      <c r="W29" s="902">
        <f t="shared" ref="W29:W47" si="14">J29</f>
        <v>100</v>
      </c>
      <c r="X29" s="895"/>
      <c r="Y29" s="3695"/>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90"/>
      <c r="Q30" s="819">
        <f t="shared" si="11"/>
        <v>111</v>
      </c>
      <c r="R30" s="901" t="s">
        <v>1698</v>
      </c>
      <c r="S30" s="902">
        <f t="shared" si="12"/>
        <v>100</v>
      </c>
      <c r="T30" s="901" t="s">
        <v>1698</v>
      </c>
      <c r="U30" s="902">
        <f t="shared" si="13"/>
        <v>100</v>
      </c>
      <c r="V30" s="901" t="s">
        <v>1698</v>
      </c>
      <c r="W30" s="902">
        <f t="shared" si="14"/>
        <v>100</v>
      </c>
      <c r="X30" s="895"/>
      <c r="Y30" s="3695"/>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90"/>
      <c r="Q31" s="819">
        <f t="shared" si="11"/>
        <v>111</v>
      </c>
      <c r="R31" s="901" t="s">
        <v>1698</v>
      </c>
      <c r="S31" s="902">
        <f t="shared" si="12"/>
        <v>100</v>
      </c>
      <c r="T31" s="901" t="s">
        <v>1698</v>
      </c>
      <c r="U31" s="902">
        <f t="shared" si="13"/>
        <v>100</v>
      </c>
      <c r="V31" s="901" t="s">
        <v>1698</v>
      </c>
      <c r="W31" s="902">
        <f t="shared" si="14"/>
        <v>100</v>
      </c>
      <c r="X31" s="895"/>
      <c r="Y31" s="3695"/>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90"/>
      <c r="Q32" s="819">
        <f t="shared" si="11"/>
        <v>111</v>
      </c>
      <c r="R32" s="901" t="s">
        <v>1698</v>
      </c>
      <c r="S32" s="902">
        <f t="shared" si="12"/>
        <v>100</v>
      </c>
      <c r="T32" s="901" t="s">
        <v>1698</v>
      </c>
      <c r="U32" s="902">
        <f t="shared" si="13"/>
        <v>100</v>
      </c>
      <c r="V32" s="901" t="s">
        <v>1698</v>
      </c>
      <c r="W32" s="902">
        <f t="shared" si="14"/>
        <v>100</v>
      </c>
      <c r="X32" s="895"/>
      <c r="Y32" s="3695"/>
      <c r="Z32" s="884">
        <f t="shared" si="15"/>
        <v>111</v>
      </c>
      <c r="AA32" s="912">
        <f t="shared" si="3"/>
        <v>1</v>
      </c>
      <c r="AB32" s="912">
        <f t="shared" si="4"/>
        <v>1</v>
      </c>
      <c r="AC32" s="1263">
        <f t="shared" si="5"/>
        <v>1</v>
      </c>
    </row>
    <row r="33" spans="1:29" ht="15">
      <c r="A33" s="737" t="s">
        <v>1716</v>
      </c>
      <c r="B33" s="716" t="s">
        <v>1717</v>
      </c>
      <c r="C33" s="1102" t="s">
        <v>2883</v>
      </c>
      <c r="D33" s="771">
        <v>100</v>
      </c>
      <c r="E33" s="1102" t="s">
        <v>2883</v>
      </c>
      <c r="F33" s="1097">
        <f>SUMIF(101:101,E33,102:102)-SUMIF(101:101,C33,102:102)+100</f>
        <v>100</v>
      </c>
      <c r="G33" s="1102" t="s">
        <v>2883</v>
      </c>
      <c r="H33" s="732">
        <f>SUMIF(101:101,G33,102:102)-SUMIF(101:101,C33,102:102)+100</f>
        <v>100</v>
      </c>
      <c r="I33" s="1102" t="s">
        <v>2883</v>
      </c>
      <c r="J33" s="771">
        <f>SUMIF(101:101,I33,102:102)-SUMIF(101:101,C33,102:102)+100</f>
        <v>100</v>
      </c>
      <c r="K33" s="870">
        <v>2</v>
      </c>
      <c r="L33" s="865"/>
      <c r="M33" s="853"/>
      <c r="N33" s="853"/>
      <c r="O33" s="853"/>
      <c r="P33" s="3691" t="s">
        <v>1718</v>
      </c>
      <c r="Q33" s="819" t="str">
        <f t="shared" si="11"/>
        <v>建筑类型</v>
      </c>
      <c r="R33" s="901" t="s">
        <v>1698</v>
      </c>
      <c r="S33" s="902">
        <f t="shared" si="12"/>
        <v>100</v>
      </c>
      <c r="T33" s="901" t="s">
        <v>1698</v>
      </c>
      <c r="U33" s="902">
        <f t="shared" si="13"/>
        <v>100</v>
      </c>
      <c r="V33" s="901" t="s">
        <v>1698</v>
      </c>
      <c r="W33" s="902">
        <f t="shared" si="14"/>
        <v>100</v>
      </c>
      <c r="X33" s="895"/>
      <c r="Y33" s="3696"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333.8</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692"/>
      <c r="Q34" s="1136" t="str">
        <f t="shared" si="11"/>
        <v>项目建筑规模</v>
      </c>
      <c r="R34" s="903" t="s">
        <v>1698</v>
      </c>
      <c r="S34" s="904">
        <f t="shared" si="12"/>
        <v>97</v>
      </c>
      <c r="T34" s="903" t="s">
        <v>1698</v>
      </c>
      <c r="U34" s="904">
        <f t="shared" si="13"/>
        <v>98</v>
      </c>
      <c r="V34" s="903" t="s">
        <v>1698</v>
      </c>
      <c r="W34" s="904">
        <f t="shared" si="14"/>
        <v>99</v>
      </c>
      <c r="X34" s="905"/>
      <c r="Y34" s="3696"/>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692"/>
      <c r="Q35" s="819" t="str">
        <f t="shared" si="11"/>
        <v>建筑结构</v>
      </c>
      <c r="R35" s="901" t="s">
        <v>1698</v>
      </c>
      <c r="S35" s="902">
        <f t="shared" si="12"/>
        <v>100</v>
      </c>
      <c r="T35" s="901" t="s">
        <v>1698</v>
      </c>
      <c r="U35" s="902">
        <f t="shared" si="13"/>
        <v>100</v>
      </c>
      <c r="V35" s="901" t="s">
        <v>1698</v>
      </c>
      <c r="W35" s="902">
        <f t="shared" si="14"/>
        <v>100</v>
      </c>
      <c r="X35" s="895"/>
      <c r="Y35" s="3696"/>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2"/>
      <c r="Q36" s="819" t="str">
        <f t="shared" si="11"/>
        <v>公共部分装修</v>
      </c>
      <c r="R36" s="901" t="s">
        <v>1698</v>
      </c>
      <c r="S36" s="902">
        <f t="shared" si="12"/>
        <v>100</v>
      </c>
      <c r="T36" s="901" t="s">
        <v>1698</v>
      </c>
      <c r="U36" s="902">
        <f t="shared" si="13"/>
        <v>100</v>
      </c>
      <c r="V36" s="901" t="s">
        <v>1698</v>
      </c>
      <c r="W36" s="902">
        <f t="shared" si="14"/>
        <v>100</v>
      </c>
      <c r="X36" s="895"/>
      <c r="Y36" s="3696"/>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92"/>
      <c r="Q37" s="819" t="str">
        <f t="shared" si="11"/>
        <v>成新度</v>
      </c>
      <c r="R37" s="901" t="s">
        <v>1698</v>
      </c>
      <c r="S37" s="902">
        <f t="shared" si="12"/>
        <v>100</v>
      </c>
      <c r="T37" s="901" t="s">
        <v>1698</v>
      </c>
      <c r="U37" s="902">
        <f t="shared" si="13"/>
        <v>100</v>
      </c>
      <c r="V37" s="901" t="s">
        <v>1698</v>
      </c>
      <c r="W37" s="902">
        <f t="shared" si="14"/>
        <v>100</v>
      </c>
      <c r="X37" s="895"/>
      <c r="Y37" s="3696"/>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2"/>
      <c r="Q38" s="900" t="str">
        <f t="shared" si="11"/>
        <v>写字楼等级</v>
      </c>
      <c r="R38" s="896" t="s">
        <v>1698</v>
      </c>
      <c r="S38" s="897">
        <f t="shared" si="12"/>
        <v>100</v>
      </c>
      <c r="T38" s="896" t="s">
        <v>1698</v>
      </c>
      <c r="U38" s="897">
        <f t="shared" si="13"/>
        <v>100</v>
      </c>
      <c r="V38" s="896" t="s">
        <v>1698</v>
      </c>
      <c r="W38" s="897">
        <f t="shared" si="14"/>
        <v>100</v>
      </c>
      <c r="X38" s="898"/>
      <c r="Y38" s="3696"/>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2" t="s">
        <v>1718</v>
      </c>
      <c r="Q39" s="819" t="str">
        <f t="shared" si="11"/>
        <v>物业管理</v>
      </c>
      <c r="R39" s="901" t="s">
        <v>1698</v>
      </c>
      <c r="S39" s="902">
        <f t="shared" si="12"/>
        <v>100</v>
      </c>
      <c r="T39" s="901" t="s">
        <v>1698</v>
      </c>
      <c r="U39" s="902">
        <f t="shared" si="13"/>
        <v>100</v>
      </c>
      <c r="V39" s="901" t="s">
        <v>1698</v>
      </c>
      <c r="W39" s="902">
        <f t="shared" si="14"/>
        <v>100</v>
      </c>
      <c r="X39" s="895"/>
      <c r="Y39" s="3696"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2"/>
      <c r="Q40" s="819" t="str">
        <f t="shared" si="11"/>
        <v>市政基础设施</v>
      </c>
      <c r="R40" s="901" t="s">
        <v>1698</v>
      </c>
      <c r="S40" s="902">
        <f t="shared" si="12"/>
        <v>100</v>
      </c>
      <c r="T40" s="901" t="s">
        <v>1698</v>
      </c>
      <c r="U40" s="902">
        <f t="shared" si="13"/>
        <v>100</v>
      </c>
      <c r="V40" s="901" t="s">
        <v>1698</v>
      </c>
      <c r="W40" s="902">
        <f t="shared" si="14"/>
        <v>100</v>
      </c>
      <c r="X40" s="895"/>
      <c r="Y40" s="3696"/>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2"/>
      <c r="Q41" s="819" t="str">
        <f t="shared" si="11"/>
        <v>层高</v>
      </c>
      <c r="R41" s="901" t="s">
        <v>1698</v>
      </c>
      <c r="S41" s="902">
        <f t="shared" si="12"/>
        <v>100</v>
      </c>
      <c r="T41" s="901" t="s">
        <v>1698</v>
      </c>
      <c r="U41" s="902">
        <f t="shared" si="13"/>
        <v>100</v>
      </c>
      <c r="V41" s="901" t="s">
        <v>1698</v>
      </c>
      <c r="W41" s="902">
        <f t="shared" si="14"/>
        <v>100</v>
      </c>
      <c r="X41" s="895"/>
      <c r="Y41" s="3696"/>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2"/>
      <c r="Q42" s="1136" t="str">
        <f t="shared" si="11"/>
        <v>单套建筑面积</v>
      </c>
      <c r="R42" s="903" t="s">
        <v>1698</v>
      </c>
      <c r="S42" s="904">
        <f t="shared" si="12"/>
        <v>100</v>
      </c>
      <c r="T42" s="903" t="s">
        <v>1698</v>
      </c>
      <c r="U42" s="904">
        <f t="shared" si="13"/>
        <v>100</v>
      </c>
      <c r="V42" s="903" t="s">
        <v>1698</v>
      </c>
      <c r="W42" s="904">
        <f t="shared" si="14"/>
        <v>100</v>
      </c>
      <c r="X42" s="905"/>
      <c r="Y42" s="3696"/>
      <c r="Z42" s="913" t="str">
        <f t="shared" si="15"/>
        <v>单套建筑面积</v>
      </c>
      <c r="AA42" s="912">
        <f t="shared" si="3"/>
        <v>1</v>
      </c>
      <c r="AB42" s="912">
        <f t="shared" si="4"/>
        <v>1</v>
      </c>
      <c r="AC42" s="1263">
        <f t="shared" si="5"/>
        <v>1</v>
      </c>
    </row>
    <row r="43" spans="1:29" ht="15">
      <c r="A43" s="772"/>
      <c r="B43" s="720" t="s">
        <v>1727</v>
      </c>
      <c r="C43" s="1107" t="s">
        <v>2867</v>
      </c>
      <c r="D43" s="732">
        <v>100</v>
      </c>
      <c r="E43" s="1107" t="s">
        <v>2888</v>
      </c>
      <c r="F43" s="1097">
        <f>SUMIF(123:123,E43,124:124)-SUMIF(123:123,C43,124:124)+100</f>
        <v>96</v>
      </c>
      <c r="G43" s="1107" t="s">
        <v>2867</v>
      </c>
      <c r="H43" s="732">
        <f>SUMIF(123:123,G43,124:124)-SUMIF(123:123,C43,124:124)+100</f>
        <v>100</v>
      </c>
      <c r="I43" s="1107" t="s">
        <v>2888</v>
      </c>
      <c r="J43" s="732">
        <f>SUMIF(123:123,I43,124:124)-SUMIF(123:123,C43,124:124)+100</f>
        <v>96</v>
      </c>
      <c r="K43" s="870">
        <v>2</v>
      </c>
      <c r="L43" s="865"/>
      <c r="M43" s="853"/>
      <c r="N43" s="853"/>
      <c r="O43" s="853"/>
      <c r="P43" s="3692"/>
      <c r="Q43" s="819" t="str">
        <f t="shared" si="11"/>
        <v>内部装修</v>
      </c>
      <c r="R43" s="901" t="s">
        <v>1698</v>
      </c>
      <c r="S43" s="902">
        <f t="shared" si="12"/>
        <v>96</v>
      </c>
      <c r="T43" s="901" t="s">
        <v>1698</v>
      </c>
      <c r="U43" s="902">
        <f t="shared" si="13"/>
        <v>100</v>
      </c>
      <c r="V43" s="901" t="s">
        <v>1698</v>
      </c>
      <c r="W43" s="902">
        <f t="shared" si="14"/>
        <v>96</v>
      </c>
      <c r="X43" s="895"/>
      <c r="Y43" s="3696"/>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692"/>
      <c r="Q44" s="819" t="str">
        <f t="shared" si="11"/>
        <v>内部装修维护情况</v>
      </c>
      <c r="R44" s="901" t="s">
        <v>1698</v>
      </c>
      <c r="S44" s="902">
        <f t="shared" si="12"/>
        <v>99</v>
      </c>
      <c r="T44" s="901" t="s">
        <v>1698</v>
      </c>
      <c r="U44" s="902">
        <f t="shared" si="13"/>
        <v>100</v>
      </c>
      <c r="V44" s="901" t="s">
        <v>1698</v>
      </c>
      <c r="W44" s="902">
        <f t="shared" si="14"/>
        <v>100</v>
      </c>
      <c r="X44" s="895"/>
      <c r="Y44" s="3696"/>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2"/>
      <c r="Q45" s="900">
        <f t="shared" si="11"/>
        <v>111</v>
      </c>
      <c r="R45" s="896" t="s">
        <v>1698</v>
      </c>
      <c r="S45" s="897">
        <f t="shared" si="12"/>
        <v>100</v>
      </c>
      <c r="T45" s="896" t="s">
        <v>1698</v>
      </c>
      <c r="U45" s="897">
        <f t="shared" si="13"/>
        <v>100</v>
      </c>
      <c r="V45" s="896" t="s">
        <v>1698</v>
      </c>
      <c r="W45" s="897">
        <f t="shared" si="14"/>
        <v>100</v>
      </c>
      <c r="X45" s="898"/>
      <c r="Y45" s="3696"/>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2"/>
      <c r="Q46" s="819">
        <f t="shared" si="11"/>
        <v>111</v>
      </c>
      <c r="R46" s="901" t="s">
        <v>1698</v>
      </c>
      <c r="S46" s="902">
        <f t="shared" si="12"/>
        <v>100</v>
      </c>
      <c r="T46" s="901" t="s">
        <v>1698</v>
      </c>
      <c r="U46" s="902">
        <f t="shared" si="13"/>
        <v>100</v>
      </c>
      <c r="V46" s="901" t="s">
        <v>1698</v>
      </c>
      <c r="W46" s="902">
        <f t="shared" si="14"/>
        <v>100</v>
      </c>
      <c r="X46" s="895"/>
      <c r="Y46" s="3696"/>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3"/>
      <c r="Q47" s="819">
        <f t="shared" si="11"/>
        <v>111</v>
      </c>
      <c r="R47" s="901" t="s">
        <v>1698</v>
      </c>
      <c r="S47" s="902">
        <f t="shared" si="12"/>
        <v>100</v>
      </c>
      <c r="T47" s="901" t="s">
        <v>1698</v>
      </c>
      <c r="U47" s="902">
        <f t="shared" si="13"/>
        <v>100</v>
      </c>
      <c r="V47" s="901" t="s">
        <v>1698</v>
      </c>
      <c r="W47" s="902">
        <f t="shared" si="14"/>
        <v>100</v>
      </c>
      <c r="X47" s="895"/>
      <c r="Y47" s="3697"/>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80" t="str">
        <f>A48</f>
        <v>成交单价（元/平方米）</v>
      </c>
      <c r="Q48" s="3681"/>
      <c r="R48" s="3682">
        <f>E48</f>
        <v>15000</v>
      </c>
      <c r="S48" s="3682"/>
      <c r="T48" s="3682">
        <f>G48</f>
        <v>18000</v>
      </c>
      <c r="U48" s="3682"/>
      <c r="V48" s="3682">
        <f>I48</f>
        <v>15000</v>
      </c>
      <c r="W48" s="3682"/>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80" t="str">
        <f>A49</f>
        <v>比较价值（元/平方米）</v>
      </c>
      <c r="Q49" s="3681"/>
      <c r="R49" s="3682">
        <f>IF(F1="售价",ROUND(PRODUCT(R48,AA7:AA47),0),ROUND(PRODUCT(R48,AA7:AA47),1))</f>
        <v>15952</v>
      </c>
      <c r="S49" s="3682"/>
      <c r="T49" s="3682">
        <f>IF(F1="售价",ROUND(PRODUCT(T48,AB7:AB47),0),ROUND(PRODUCT(T48,AB7:AB47),1))</f>
        <v>18007</v>
      </c>
      <c r="U49" s="3682"/>
      <c r="V49" s="3682">
        <f>IF(F1="售价",ROUND(PRODUCT(V48,AC7:AC47),0),ROUND(PRODUCT(V48,AC7:AC47),1))</f>
        <v>15473</v>
      </c>
      <c r="W49" s="3682"/>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683" t="str">
        <f>A50</f>
        <v>估价对象XX用房的比较价值（楼面单价，元/平方米）</v>
      </c>
      <c r="Q50" s="3684"/>
      <c r="R50" s="3685">
        <f>IF(F1="售价",ROUND(IF(D49="简单平均",AVERAGE(R49:V49),R49*F49+T49*H49+V49*J49),0),ROUND(IF(D49="简单平均",AVERAGE(R49:V49),R49*F49+T49*H49+V49*J49),1))</f>
        <v>16477</v>
      </c>
      <c r="S50" s="3685"/>
      <c r="T50" s="3685"/>
      <c r="U50" s="3685"/>
      <c r="V50" s="3685"/>
      <c r="W50" s="3685"/>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38" t="s">
        <v>2876</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39" t="s">
        <v>2877</v>
      </c>
      <c r="D87" s="3439" t="s">
        <v>2878</v>
      </c>
      <c r="E87" s="3439" t="s">
        <v>2879</v>
      </c>
      <c r="F87" s="3439" t="s">
        <v>2880</v>
      </c>
      <c r="G87" s="3439" t="s">
        <v>2882</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2884</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39" t="s">
        <v>2885</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39"/>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39" t="s">
        <v>2886</v>
      </c>
      <c r="D123" s="3439" t="s">
        <v>2887</v>
      </c>
      <c r="E123" s="3439" t="s">
        <v>2889</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539.72119999999995</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16169</v>
      </c>
      <c r="C3" s="1084" t="s">
        <v>1333</v>
      </c>
      <c r="D3" s="1085">
        <f>IF(D1="",'数据-汇总表'!E3,SUMIF('数据-汇总表'!$C19:$C33,D1,'数据-汇总表'!$E19:$E33))</f>
        <v>333.8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703" t="s">
        <v>1684</v>
      </c>
      <c r="D4" s="3704"/>
      <c r="E4" s="3705" t="s">
        <v>1685</v>
      </c>
      <c r="F4" s="3706"/>
      <c r="G4" s="3703" t="s">
        <v>1686</v>
      </c>
      <c r="H4" s="3704"/>
      <c r="I4" s="3703" t="s">
        <v>1687</v>
      </c>
      <c r="J4" s="3704"/>
      <c r="K4" s="851"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679" t="s">
        <v>1686</v>
      </c>
      <c r="AC4" s="3711" t="s">
        <v>1687</v>
      </c>
    </row>
    <row r="5" spans="1:29" ht="15">
      <c r="A5" s="703"/>
      <c r="B5" s="704"/>
      <c r="C5" s="3707" t="s">
        <v>1690</v>
      </c>
      <c r="D5" s="3708"/>
      <c r="E5" s="3709" t="s">
        <v>1691</v>
      </c>
      <c r="F5" s="3710"/>
      <c r="G5" s="3707" t="s">
        <v>1692</v>
      </c>
      <c r="H5" s="3708"/>
      <c r="I5" s="3707" t="s">
        <v>1693</v>
      </c>
      <c r="J5" s="3708"/>
      <c r="K5" s="851"/>
      <c r="L5" s="852"/>
      <c r="M5" s="853"/>
      <c r="N5" s="853"/>
      <c r="O5" s="853"/>
      <c r="P5" s="3714"/>
      <c r="Q5" s="3669"/>
      <c r="R5" s="3674"/>
      <c r="S5" s="3675"/>
      <c r="T5" s="3674"/>
      <c r="U5" s="3675"/>
      <c r="V5" s="3679"/>
      <c r="W5" s="3679"/>
      <c r="X5" s="895"/>
      <c r="Y5" s="3674"/>
      <c r="Z5" s="3675"/>
      <c r="AA5" s="3661"/>
      <c r="AB5" s="3679"/>
      <c r="AC5" s="3661"/>
    </row>
    <row r="6" spans="1:29" ht="15">
      <c r="A6" s="705"/>
      <c r="B6" s="706"/>
      <c r="C6" s="3698" t="s">
        <v>1694</v>
      </c>
      <c r="D6" s="3699"/>
      <c r="E6" s="3700" t="s">
        <v>1694</v>
      </c>
      <c r="F6" s="3701"/>
      <c r="G6" s="3698" t="s">
        <v>1694</v>
      </c>
      <c r="H6" s="3699"/>
      <c r="I6" s="3698" t="s">
        <v>1694</v>
      </c>
      <c r="J6" s="3699"/>
      <c r="K6" s="851" t="s">
        <v>1695</v>
      </c>
      <c r="L6" s="852"/>
      <c r="M6" s="853"/>
      <c r="N6" s="853"/>
      <c r="O6" s="853"/>
      <c r="P6" s="3715"/>
      <c r="Q6" s="3671"/>
      <c r="R6" s="3674"/>
      <c r="S6" s="3675"/>
      <c r="T6" s="3676"/>
      <c r="U6" s="3677"/>
      <c r="V6" s="3679"/>
      <c r="W6" s="3679"/>
      <c r="X6" s="895"/>
      <c r="Y6" s="3676"/>
      <c r="Z6" s="3677"/>
      <c r="AA6" s="3662"/>
      <c r="AB6" s="3679"/>
      <c r="AC6" s="3662"/>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686" t="s">
        <v>1697</v>
      </c>
      <c r="Q7" s="3702"/>
      <c r="R7" s="896" t="s">
        <v>1698</v>
      </c>
      <c r="S7" s="897">
        <f t="shared" ref="S7:S15" si="0">F7</f>
        <v>100</v>
      </c>
      <c r="T7" s="896" t="s">
        <v>1698</v>
      </c>
      <c r="U7" s="897">
        <f t="shared" ref="U7:U15" si="1">H7</f>
        <v>100</v>
      </c>
      <c r="V7" s="896" t="s">
        <v>1698</v>
      </c>
      <c r="W7" s="897">
        <f t="shared" ref="W7:W15" si="2">J7</f>
        <v>100</v>
      </c>
      <c r="X7" s="898"/>
      <c r="Y7" s="3686" t="s">
        <v>1697</v>
      </c>
      <c r="Z7" s="3687"/>
      <c r="AA7" s="910">
        <f>D7/F7</f>
        <v>1</v>
      </c>
      <c r="AB7" s="910">
        <f>D7/H7</f>
        <v>1</v>
      </c>
      <c r="AC7" s="910">
        <f>D7/J7</f>
        <v>1</v>
      </c>
    </row>
    <row r="8" spans="1:29" s="682" customFormat="1" ht="15">
      <c r="A8" s="707" t="s">
        <v>1699</v>
      </c>
      <c r="B8" s="708"/>
      <c r="C8" s="714" t="s">
        <v>2851</v>
      </c>
      <c r="D8" s="710">
        <v>100</v>
      </c>
      <c r="E8" s="714" t="s">
        <v>2864</v>
      </c>
      <c r="F8" s="712">
        <f>SUMIF(61:61,E8,62:62)-SUMIF(61:61,C8,62:62)+100</f>
        <v>105</v>
      </c>
      <c r="G8" s="714" t="s">
        <v>2864</v>
      </c>
      <c r="H8" s="710">
        <f>SUMIF(61:61,G8,62:62)-SUMIF(61:61,C8,62:62)+100</f>
        <v>105</v>
      </c>
      <c r="I8" s="714" t="s">
        <v>2864</v>
      </c>
      <c r="J8" s="710">
        <f>SUMIF(61:61,I8,62:62)-SUMIF(61:61,C8,62:62)+100</f>
        <v>105</v>
      </c>
      <c r="K8" s="854"/>
      <c r="L8" s="855"/>
      <c r="M8" s="856"/>
      <c r="N8" s="856"/>
      <c r="O8" s="856"/>
      <c r="P8" s="3686" t="s">
        <v>1700</v>
      </c>
      <c r="Q8" s="3687"/>
      <c r="R8" s="896" t="s">
        <v>1698</v>
      </c>
      <c r="S8" s="897">
        <f t="shared" si="0"/>
        <v>105</v>
      </c>
      <c r="T8" s="896" t="s">
        <v>1698</v>
      </c>
      <c r="U8" s="897">
        <f t="shared" si="1"/>
        <v>105</v>
      </c>
      <c r="V8" s="896" t="s">
        <v>1698</v>
      </c>
      <c r="W8" s="897">
        <f t="shared" si="2"/>
        <v>105</v>
      </c>
      <c r="X8" s="898"/>
      <c r="Y8" s="3686" t="s">
        <v>1700</v>
      </c>
      <c r="Z8" s="3687"/>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37" t="s">
        <v>2863</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80"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80"/>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80"/>
      <c r="Q11" s="900" t="str">
        <f t="shared" si="6"/>
        <v>容积率</v>
      </c>
      <c r="R11" s="896" t="s">
        <v>1698</v>
      </c>
      <c r="S11" s="897">
        <f t="shared" si="0"/>
        <v>100</v>
      </c>
      <c r="T11" s="896" t="s">
        <v>1698</v>
      </c>
      <c r="U11" s="897">
        <f t="shared" si="1"/>
        <v>100</v>
      </c>
      <c r="V11" s="896" t="s">
        <v>1698</v>
      </c>
      <c r="W11" s="897">
        <f t="shared" si="2"/>
        <v>100</v>
      </c>
      <c r="X11" s="898"/>
      <c r="Y11" s="3567"/>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80"/>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80"/>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80"/>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89" t="s">
        <v>1709</v>
      </c>
      <c r="Q15" s="819" t="str">
        <f t="shared" si="6"/>
        <v>商业繁华度</v>
      </c>
      <c r="R15" s="901" t="s">
        <v>1698</v>
      </c>
      <c r="S15" s="902">
        <f t="shared" si="0"/>
        <v>100</v>
      </c>
      <c r="T15" s="901" t="s">
        <v>1698</v>
      </c>
      <c r="U15" s="902">
        <f t="shared" si="1"/>
        <v>100</v>
      </c>
      <c r="V15" s="901" t="s">
        <v>1698</v>
      </c>
      <c r="W15" s="902">
        <f t="shared" si="2"/>
        <v>100</v>
      </c>
      <c r="X15" s="895"/>
      <c r="Y15" s="3694"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690"/>
      <c r="Q16" s="819"/>
      <c r="R16" s="901"/>
      <c r="S16" s="902"/>
      <c r="T16" s="901"/>
      <c r="U16" s="902"/>
      <c r="V16" s="901"/>
      <c r="W16" s="902"/>
      <c r="X16" s="895"/>
      <c r="Y16" s="3695"/>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90"/>
      <c r="Q17" s="819" t="str">
        <f>B17</f>
        <v>交通便捷度</v>
      </c>
      <c r="R17" s="901" t="s">
        <v>1698</v>
      </c>
      <c r="S17" s="902">
        <f>F17</f>
        <v>100</v>
      </c>
      <c r="T17" s="901" t="s">
        <v>1698</v>
      </c>
      <c r="U17" s="902">
        <f>H17</f>
        <v>100</v>
      </c>
      <c r="V17" s="901" t="s">
        <v>1698</v>
      </c>
      <c r="W17" s="902">
        <f>J17</f>
        <v>100</v>
      </c>
      <c r="X17" s="895"/>
      <c r="Y17" s="3695"/>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90"/>
      <c r="Q19" s="819" t="str">
        <f>B19</f>
        <v>公共配套设施</v>
      </c>
      <c r="R19" s="901" t="s">
        <v>1698</v>
      </c>
      <c r="S19" s="902">
        <f>F19</f>
        <v>100</v>
      </c>
      <c r="T19" s="901" t="s">
        <v>1698</v>
      </c>
      <c r="U19" s="902">
        <f>H19</f>
        <v>100</v>
      </c>
      <c r="V19" s="901" t="s">
        <v>1698</v>
      </c>
      <c r="W19" s="902">
        <f>J19</f>
        <v>100</v>
      </c>
      <c r="X19" s="895"/>
      <c r="Y19" s="3695"/>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90"/>
      <c r="Q21" s="819" t="str">
        <f>B21</f>
        <v>基础设施水平</v>
      </c>
      <c r="R21" s="901" t="s">
        <v>1698</v>
      </c>
      <c r="S21" s="902">
        <f>F21</f>
        <v>100</v>
      </c>
      <c r="T21" s="901" t="s">
        <v>1698</v>
      </c>
      <c r="U21" s="902">
        <f>H21</f>
        <v>100</v>
      </c>
      <c r="V21" s="901" t="s">
        <v>1698</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90"/>
      <c r="Q22" s="819"/>
      <c r="R22" s="901"/>
      <c r="S22" s="902"/>
      <c r="T22" s="901"/>
      <c r="U22" s="902"/>
      <c r="V22" s="901"/>
      <c r="W22" s="902"/>
      <c r="X22" s="895"/>
      <c r="Y22" s="3695"/>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90"/>
      <c r="Q23" s="819" t="str">
        <f>B23</f>
        <v>自然及人文环境</v>
      </c>
      <c r="R23" s="901" t="s">
        <v>1698</v>
      </c>
      <c r="S23" s="902">
        <f>F23</f>
        <v>100</v>
      </c>
      <c r="T23" s="901" t="s">
        <v>1698</v>
      </c>
      <c r="U23" s="902">
        <f>H23</f>
        <v>100</v>
      </c>
      <c r="V23" s="901" t="s">
        <v>1698</v>
      </c>
      <c r="W23" s="902">
        <f>J23</f>
        <v>100</v>
      </c>
      <c r="X23" s="895"/>
      <c r="Y23" s="3695"/>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1770</v>
      </c>
      <c r="C25" s="754" t="s">
        <v>2908</v>
      </c>
      <c r="D25" s="732">
        <v>100</v>
      </c>
      <c r="E25" s="754" t="s">
        <v>2906</v>
      </c>
      <c r="F25" s="1097">
        <f>SUMIF(86:86,E25,87:87)-SUMIF(86:86,C25,87:87)+100</f>
        <v>103</v>
      </c>
      <c r="G25" s="754" t="s">
        <v>2906</v>
      </c>
      <c r="H25" s="732">
        <f>SUMIF(86:86,G25,87:87)-SUMIF(86:86,C25,87:87)+100</f>
        <v>103</v>
      </c>
      <c r="I25" s="754" t="s">
        <v>2906</v>
      </c>
      <c r="J25" s="732">
        <f>SUMIF(86:86,I25,87:87)-SUMIF(86:86,C25,87:87)+100</f>
        <v>103</v>
      </c>
      <c r="K25" s="870">
        <v>3</v>
      </c>
      <c r="L25" s="865"/>
      <c r="M25" s="853"/>
      <c r="N25" s="853"/>
      <c r="O25" s="853"/>
      <c r="P25" s="3690"/>
      <c r="Q25" s="819" t="str">
        <f t="shared" ref="Q25:Q46" si="11">B25</f>
        <v>临街状况</v>
      </c>
      <c r="R25" s="901" t="s">
        <v>1698</v>
      </c>
      <c r="S25" s="902">
        <f>F25</f>
        <v>103</v>
      </c>
      <c r="T25" s="901" t="s">
        <v>1698</v>
      </c>
      <c r="U25" s="902">
        <f>H25</f>
        <v>103</v>
      </c>
      <c r="V25" s="901" t="s">
        <v>1698</v>
      </c>
      <c r="W25" s="902">
        <f>J25</f>
        <v>103</v>
      </c>
      <c r="X25" s="895"/>
      <c r="Y25" s="3695"/>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90"/>
      <c r="Q26" s="819" t="str">
        <f t="shared" si="11"/>
        <v>平面位置/可视性</v>
      </c>
      <c r="R26" s="901" t="s">
        <v>1698</v>
      </c>
      <c r="S26" s="902">
        <f>F26</f>
        <v>100</v>
      </c>
      <c r="T26" s="901" t="s">
        <v>1698</v>
      </c>
      <c r="U26" s="902">
        <f>H26</f>
        <v>100</v>
      </c>
      <c r="V26" s="901" t="s">
        <v>1698</v>
      </c>
      <c r="W26" s="902">
        <f>J26</f>
        <v>100</v>
      </c>
      <c r="X26" s="895"/>
      <c r="Y26" s="3695"/>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90"/>
      <c r="Q27" s="900" t="str">
        <f t="shared" si="11"/>
        <v>人流量</v>
      </c>
      <c r="R27" s="896" t="s">
        <v>1698</v>
      </c>
      <c r="S27" s="897">
        <f>F27</f>
        <v>100</v>
      </c>
      <c r="T27" s="896" t="s">
        <v>1698</v>
      </c>
      <c r="U27" s="897">
        <f>H27</f>
        <v>100</v>
      </c>
      <c r="V27" s="896" t="s">
        <v>1698</v>
      </c>
      <c r="W27" s="897">
        <f>J27</f>
        <v>100</v>
      </c>
      <c r="X27" s="898"/>
      <c r="Y27" s="3695"/>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90"/>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695"/>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90"/>
      <c r="Q29" s="819">
        <f t="shared" si="11"/>
        <v>111</v>
      </c>
      <c r="R29" s="901" t="s">
        <v>1698</v>
      </c>
      <c r="S29" s="902">
        <f t="shared" si="12"/>
        <v>100</v>
      </c>
      <c r="T29" s="901" t="s">
        <v>1698</v>
      </c>
      <c r="U29" s="902">
        <f t="shared" si="13"/>
        <v>100</v>
      </c>
      <c r="V29" s="901" t="s">
        <v>1698</v>
      </c>
      <c r="W29" s="902">
        <f t="shared" si="14"/>
        <v>100</v>
      </c>
      <c r="X29" s="895"/>
      <c r="Y29" s="3695"/>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90"/>
      <c r="Q30" s="819">
        <f t="shared" si="11"/>
        <v>111</v>
      </c>
      <c r="R30" s="901" t="s">
        <v>1698</v>
      </c>
      <c r="S30" s="902">
        <f t="shared" si="12"/>
        <v>100</v>
      </c>
      <c r="T30" s="901" t="s">
        <v>1698</v>
      </c>
      <c r="U30" s="902">
        <f t="shared" si="13"/>
        <v>100</v>
      </c>
      <c r="V30" s="901" t="s">
        <v>1698</v>
      </c>
      <c r="W30" s="902">
        <f t="shared" si="14"/>
        <v>100</v>
      </c>
      <c r="X30" s="895"/>
      <c r="Y30" s="3695"/>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90"/>
      <c r="Q31" s="819">
        <f t="shared" si="11"/>
        <v>111</v>
      </c>
      <c r="R31" s="901" t="s">
        <v>1698</v>
      </c>
      <c r="S31" s="902">
        <f t="shared" si="12"/>
        <v>100</v>
      </c>
      <c r="T31" s="901" t="s">
        <v>1698</v>
      </c>
      <c r="U31" s="902">
        <f t="shared" si="13"/>
        <v>100</v>
      </c>
      <c r="V31" s="901" t="s">
        <v>1698</v>
      </c>
      <c r="W31" s="902">
        <f t="shared" si="14"/>
        <v>100</v>
      </c>
      <c r="X31" s="895"/>
      <c r="Y31" s="3695"/>
      <c r="Z31" s="884">
        <f t="shared" si="15"/>
        <v>111</v>
      </c>
      <c r="AA31" s="912">
        <f t="shared" si="3"/>
        <v>1</v>
      </c>
      <c r="AB31" s="912">
        <f t="shared" si="4"/>
        <v>1</v>
      </c>
      <c r="AC31" s="912">
        <f t="shared" si="5"/>
        <v>1</v>
      </c>
    </row>
    <row r="32" spans="1:29" ht="15">
      <c r="A32" s="737" t="s">
        <v>1716</v>
      </c>
      <c r="B32" s="716" t="s">
        <v>1774</v>
      </c>
      <c r="C32" s="1272" t="s">
        <v>2901</v>
      </c>
      <c r="D32" s="771">
        <v>100</v>
      </c>
      <c r="E32" s="1272" t="s">
        <v>2903</v>
      </c>
      <c r="F32" s="1097">
        <f>SUMIF(100:100,E32,101:101)-SUMIF(100:100,C32,101:101)+100</f>
        <v>100</v>
      </c>
      <c r="G32" s="1272" t="s">
        <v>2903</v>
      </c>
      <c r="H32" s="732">
        <f>SUMIF(100:100,G32,101:101)-SUMIF(100:100,C32,101:101)+100</f>
        <v>100</v>
      </c>
      <c r="I32" s="1272" t="s">
        <v>2903</v>
      </c>
      <c r="J32" s="771">
        <f>SUMIF(100:100,I32,101:101)-SUMIF(100:100,C32,101:101)+100</f>
        <v>100</v>
      </c>
      <c r="K32" s="870"/>
      <c r="L32" s="865"/>
      <c r="M32" s="853"/>
      <c r="N32" s="853"/>
      <c r="O32" s="853"/>
      <c r="P32" s="3691" t="s">
        <v>1718</v>
      </c>
      <c r="Q32" s="819" t="str">
        <f t="shared" si="11"/>
        <v>商业类型</v>
      </c>
      <c r="R32" s="901" t="s">
        <v>1698</v>
      </c>
      <c r="S32" s="902">
        <f t="shared" si="12"/>
        <v>100</v>
      </c>
      <c r="T32" s="901" t="s">
        <v>1698</v>
      </c>
      <c r="U32" s="902">
        <f t="shared" si="13"/>
        <v>100</v>
      </c>
      <c r="V32" s="901" t="s">
        <v>1698</v>
      </c>
      <c r="W32" s="902">
        <f t="shared" si="14"/>
        <v>100</v>
      </c>
      <c r="X32" s="895"/>
      <c r="Y32" s="3696" t="s">
        <v>1718</v>
      </c>
      <c r="Z32" s="884" t="str">
        <f t="shared" si="15"/>
        <v>商业类型</v>
      </c>
      <c r="AA32" s="912">
        <f t="shared" si="3"/>
        <v>1</v>
      </c>
      <c r="AB32" s="912">
        <f t="shared" si="4"/>
        <v>1</v>
      </c>
      <c r="AC32" s="912">
        <f t="shared" si="5"/>
        <v>1</v>
      </c>
    </row>
    <row r="33" spans="1:29" s="684" customFormat="1" ht="15">
      <c r="A33" s="777"/>
      <c r="B33" s="720" t="s">
        <v>1719</v>
      </c>
      <c r="C33" s="1091">
        <f>'数据-汇总表'!F19</f>
        <v>333.8</v>
      </c>
      <c r="D33" s="722">
        <v>100</v>
      </c>
      <c r="E33" s="725">
        <v>154.87</v>
      </c>
      <c r="F33" s="1090">
        <f>LOOKUP(E33,103:103,104:104)-LOOKUP(C33,103:103,104:104)+100</f>
        <v>198</v>
      </c>
      <c r="G33" s="724">
        <v>229.45</v>
      </c>
      <c r="H33" s="722">
        <f>LOOKUP(G33,103:103,104:104)-LOOKUP(C33,103:103,104:104)+100</f>
        <v>197</v>
      </c>
      <c r="I33" s="724">
        <v>207.01</v>
      </c>
      <c r="J33" s="722">
        <f>LOOKUP(I33,103:103,104:104)-LOOKUP(C33,103:103,104:104)+100</f>
        <v>197</v>
      </c>
      <c r="K33" s="869"/>
      <c r="L33" s="863"/>
      <c r="M33" s="871"/>
      <c r="N33" s="871"/>
      <c r="O33" s="871"/>
      <c r="P33" s="3692"/>
      <c r="Q33" s="1136" t="str">
        <f t="shared" si="11"/>
        <v>项目建筑规模</v>
      </c>
      <c r="R33" s="903" t="s">
        <v>1698</v>
      </c>
      <c r="S33" s="904">
        <f t="shared" si="12"/>
        <v>198</v>
      </c>
      <c r="T33" s="903" t="s">
        <v>1698</v>
      </c>
      <c r="U33" s="904">
        <f t="shared" si="13"/>
        <v>197</v>
      </c>
      <c r="V33" s="903" t="s">
        <v>1698</v>
      </c>
      <c r="W33" s="904">
        <f t="shared" si="14"/>
        <v>197</v>
      </c>
      <c r="X33" s="905"/>
      <c r="Y33" s="3696"/>
      <c r="Z33" s="913" t="str">
        <f t="shared" si="15"/>
        <v>项目建筑规模</v>
      </c>
      <c r="AA33" s="912">
        <f t="shared" si="3"/>
        <v>0.50505050505050508</v>
      </c>
      <c r="AB33" s="912">
        <f t="shared" si="4"/>
        <v>0.50761421319796951</v>
      </c>
      <c r="AC33" s="912">
        <f t="shared" si="5"/>
        <v>0.50761421319796951</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2"/>
      <c r="Q34" s="819" t="str">
        <f t="shared" si="11"/>
        <v>建筑结构</v>
      </c>
      <c r="R34" s="901" t="s">
        <v>1698</v>
      </c>
      <c r="S34" s="902">
        <f t="shared" si="12"/>
        <v>100</v>
      </c>
      <c r="T34" s="901" t="s">
        <v>1698</v>
      </c>
      <c r="U34" s="902">
        <f t="shared" si="13"/>
        <v>100</v>
      </c>
      <c r="V34" s="901" t="s">
        <v>1698</v>
      </c>
      <c r="W34" s="902">
        <f t="shared" si="14"/>
        <v>100</v>
      </c>
      <c r="X34" s="895"/>
      <c r="Y34" s="3696"/>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2"/>
      <c r="Q35" s="819" t="str">
        <f t="shared" si="11"/>
        <v>公共部分装修</v>
      </c>
      <c r="R35" s="901" t="s">
        <v>1698</v>
      </c>
      <c r="S35" s="902">
        <f t="shared" si="12"/>
        <v>100</v>
      </c>
      <c r="T35" s="901" t="s">
        <v>1698</v>
      </c>
      <c r="U35" s="902">
        <f t="shared" si="13"/>
        <v>100</v>
      </c>
      <c r="V35" s="901" t="s">
        <v>1698</v>
      </c>
      <c r="W35" s="902">
        <f t="shared" si="14"/>
        <v>100</v>
      </c>
      <c r="X35" s="895"/>
      <c r="Y35" s="3696"/>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2"/>
      <c r="Q36" s="819" t="str">
        <f t="shared" si="11"/>
        <v>成新度</v>
      </c>
      <c r="R36" s="901" t="s">
        <v>1698</v>
      </c>
      <c r="S36" s="902">
        <f t="shared" si="12"/>
        <v>100</v>
      </c>
      <c r="T36" s="901" t="s">
        <v>1698</v>
      </c>
      <c r="U36" s="902">
        <f t="shared" si="13"/>
        <v>100</v>
      </c>
      <c r="V36" s="901" t="s">
        <v>1698</v>
      </c>
      <c r="W36" s="902">
        <f t="shared" si="14"/>
        <v>100</v>
      </c>
      <c r="X36" s="895"/>
      <c r="Y36" s="3696"/>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2"/>
      <c r="Q37" s="900" t="str">
        <f t="shared" si="11"/>
        <v>市政基础设施</v>
      </c>
      <c r="R37" s="896" t="s">
        <v>1698</v>
      </c>
      <c r="S37" s="897">
        <f t="shared" si="12"/>
        <v>100</v>
      </c>
      <c r="T37" s="896" t="s">
        <v>1698</v>
      </c>
      <c r="U37" s="897">
        <f t="shared" si="13"/>
        <v>100</v>
      </c>
      <c r="V37" s="896" t="s">
        <v>1698</v>
      </c>
      <c r="W37" s="897">
        <f t="shared" si="14"/>
        <v>100</v>
      </c>
      <c r="X37" s="898"/>
      <c r="Y37" s="3696"/>
      <c r="Z37" s="911" t="str">
        <f t="shared" si="15"/>
        <v>市政基础设施</v>
      </c>
      <c r="AA37" s="910">
        <f t="shared" si="3"/>
        <v>1</v>
      </c>
      <c r="AB37" s="910">
        <f t="shared" si="4"/>
        <v>1</v>
      </c>
      <c r="AC37" s="910">
        <f t="shared" si="5"/>
        <v>1</v>
      </c>
    </row>
    <row r="38" spans="1:29" ht="15">
      <c r="A38" s="772"/>
      <c r="B38" s="720" t="s">
        <v>1775</v>
      </c>
      <c r="C38" s="773" t="s">
        <v>2872</v>
      </c>
      <c r="D38" s="732">
        <v>100</v>
      </c>
      <c r="E38" s="773" t="s">
        <v>2872</v>
      </c>
      <c r="F38" s="1097">
        <f>SUMIF(114:114,E38,115:115)-SUMIF(114:114,C38,115:115)+100</f>
        <v>100</v>
      </c>
      <c r="G38" s="773" t="s">
        <v>2872</v>
      </c>
      <c r="H38" s="732">
        <f>SUMIF(114:114,G38,115:115)-SUMIF(114:114,C38,115:115)+100</f>
        <v>100</v>
      </c>
      <c r="I38" s="773" t="s">
        <v>2872</v>
      </c>
      <c r="J38" s="732">
        <f>SUMIF(114:114,I38,115:115)-SUMIF(114:114,C38,115:115)+100</f>
        <v>100</v>
      </c>
      <c r="K38" s="870">
        <v>2</v>
      </c>
      <c r="L38" s="865"/>
      <c r="M38" s="853"/>
      <c r="N38" s="853"/>
      <c r="O38" s="853"/>
      <c r="P38" s="3692" t="s">
        <v>1718</v>
      </c>
      <c r="Q38" s="819" t="str">
        <f t="shared" si="11"/>
        <v>业态</v>
      </c>
      <c r="R38" s="901" t="s">
        <v>1698</v>
      </c>
      <c r="S38" s="902">
        <f t="shared" si="12"/>
        <v>100</v>
      </c>
      <c r="T38" s="901" t="s">
        <v>1698</v>
      </c>
      <c r="U38" s="902">
        <f t="shared" si="13"/>
        <v>100</v>
      </c>
      <c r="V38" s="901" t="s">
        <v>1698</v>
      </c>
      <c r="W38" s="902">
        <f t="shared" si="14"/>
        <v>100</v>
      </c>
      <c r="X38" s="895"/>
      <c r="Y38" s="3696"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2"/>
      <c r="Q39" s="819" t="str">
        <f t="shared" si="11"/>
        <v>层高</v>
      </c>
      <c r="R39" s="901" t="s">
        <v>1698</v>
      </c>
      <c r="S39" s="902">
        <f t="shared" si="12"/>
        <v>100</v>
      </c>
      <c r="T39" s="901" t="s">
        <v>1698</v>
      </c>
      <c r="U39" s="902">
        <f t="shared" si="13"/>
        <v>100</v>
      </c>
      <c r="V39" s="901" t="s">
        <v>1698</v>
      </c>
      <c r="W39" s="902">
        <f t="shared" si="14"/>
        <v>100</v>
      </c>
      <c r="X39" s="895"/>
      <c r="Y39" s="3696"/>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2"/>
      <c r="Q40" s="819" t="str">
        <f t="shared" si="11"/>
        <v>单套建筑面积</v>
      </c>
      <c r="R40" s="901" t="s">
        <v>1698</v>
      </c>
      <c r="S40" s="902">
        <f t="shared" si="12"/>
        <v>100</v>
      </c>
      <c r="T40" s="901" t="s">
        <v>1698</v>
      </c>
      <c r="U40" s="902">
        <f t="shared" si="13"/>
        <v>100</v>
      </c>
      <c r="V40" s="901" t="s">
        <v>1698</v>
      </c>
      <c r="W40" s="902">
        <f t="shared" si="14"/>
        <v>100</v>
      </c>
      <c r="X40" s="895"/>
      <c r="Y40" s="3696"/>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2"/>
      <c r="Q41" s="1136" t="str">
        <f t="shared" si="11"/>
        <v>进深比</v>
      </c>
      <c r="R41" s="903" t="s">
        <v>1698</v>
      </c>
      <c r="S41" s="904">
        <f t="shared" si="12"/>
        <v>100</v>
      </c>
      <c r="T41" s="903" t="s">
        <v>1698</v>
      </c>
      <c r="U41" s="904">
        <f t="shared" si="13"/>
        <v>100</v>
      </c>
      <c r="V41" s="903" t="s">
        <v>1698</v>
      </c>
      <c r="W41" s="904">
        <f t="shared" si="14"/>
        <v>100</v>
      </c>
      <c r="X41" s="905"/>
      <c r="Y41" s="3696"/>
      <c r="Z41" s="913" t="str">
        <f t="shared" si="15"/>
        <v>进深比</v>
      </c>
      <c r="AA41" s="912">
        <f t="shared" si="3"/>
        <v>1</v>
      </c>
      <c r="AB41" s="912">
        <f t="shared" si="4"/>
        <v>1</v>
      </c>
      <c r="AC41" s="912">
        <f t="shared" si="5"/>
        <v>1</v>
      </c>
    </row>
    <row r="42" spans="1:29" ht="15">
      <c r="A42" s="772"/>
      <c r="B42" s="720" t="s">
        <v>1727</v>
      </c>
      <c r="C42" s="773" t="s">
        <v>2869</v>
      </c>
      <c r="D42" s="732">
        <v>100</v>
      </c>
      <c r="E42" s="773" t="s">
        <v>2869</v>
      </c>
      <c r="F42" s="1097">
        <f>SUMIF(122:122,E42,123:123)-SUMIF(122:122,C42,123:123)+100</f>
        <v>100</v>
      </c>
      <c r="G42" s="773" t="s">
        <v>2867</v>
      </c>
      <c r="H42" s="732">
        <f>SUMIF(122:122,G42,123:123)-SUMIF(122:122,C42,123:123)+100</f>
        <v>102</v>
      </c>
      <c r="I42" s="773" t="s">
        <v>2869</v>
      </c>
      <c r="J42" s="732">
        <f>SUMIF(122:122,I42,123:123)-SUMIF(122:122,C42,123:123)+100</f>
        <v>100</v>
      </c>
      <c r="K42" s="870">
        <v>2</v>
      </c>
      <c r="L42" s="865"/>
      <c r="M42" s="853"/>
      <c r="N42" s="853"/>
      <c r="O42" s="853"/>
      <c r="P42" s="3692"/>
      <c r="Q42" s="819" t="str">
        <f t="shared" si="11"/>
        <v>内部装修</v>
      </c>
      <c r="R42" s="901" t="s">
        <v>1698</v>
      </c>
      <c r="S42" s="902">
        <f t="shared" si="12"/>
        <v>100</v>
      </c>
      <c r="T42" s="901" t="s">
        <v>1698</v>
      </c>
      <c r="U42" s="902">
        <f t="shared" si="13"/>
        <v>102</v>
      </c>
      <c r="V42" s="901" t="s">
        <v>1698</v>
      </c>
      <c r="W42" s="902">
        <f t="shared" si="14"/>
        <v>100</v>
      </c>
      <c r="X42" s="895"/>
      <c r="Y42" s="3696"/>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692"/>
      <c r="Q43" s="819" t="str">
        <f t="shared" si="11"/>
        <v>内部装修维护情况</v>
      </c>
      <c r="R43" s="901" t="s">
        <v>1698</v>
      </c>
      <c r="S43" s="902">
        <f t="shared" si="12"/>
        <v>100</v>
      </c>
      <c r="T43" s="901" t="s">
        <v>1698</v>
      </c>
      <c r="U43" s="902">
        <f t="shared" si="13"/>
        <v>100</v>
      </c>
      <c r="V43" s="901" t="s">
        <v>1698</v>
      </c>
      <c r="W43" s="902">
        <f t="shared" si="14"/>
        <v>100</v>
      </c>
      <c r="X43" s="895"/>
      <c r="Y43" s="3696"/>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2"/>
      <c r="Q44" s="900">
        <f t="shared" si="11"/>
        <v>111</v>
      </c>
      <c r="R44" s="896" t="s">
        <v>1698</v>
      </c>
      <c r="S44" s="897">
        <f t="shared" si="12"/>
        <v>100</v>
      </c>
      <c r="T44" s="896" t="s">
        <v>1698</v>
      </c>
      <c r="U44" s="897">
        <f t="shared" si="13"/>
        <v>100</v>
      </c>
      <c r="V44" s="896" t="s">
        <v>1698</v>
      </c>
      <c r="W44" s="897">
        <f t="shared" si="14"/>
        <v>100</v>
      </c>
      <c r="X44" s="898"/>
      <c r="Y44" s="3696"/>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2"/>
      <c r="Q45" s="819">
        <f t="shared" si="11"/>
        <v>111</v>
      </c>
      <c r="R45" s="901" t="s">
        <v>1698</v>
      </c>
      <c r="S45" s="902">
        <f t="shared" si="12"/>
        <v>100</v>
      </c>
      <c r="T45" s="901" t="s">
        <v>1698</v>
      </c>
      <c r="U45" s="902">
        <f t="shared" si="13"/>
        <v>100</v>
      </c>
      <c r="V45" s="901" t="s">
        <v>1698</v>
      </c>
      <c r="W45" s="902">
        <f t="shared" si="14"/>
        <v>100</v>
      </c>
      <c r="X45" s="895"/>
      <c r="Y45" s="3696"/>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3"/>
      <c r="Q46" s="819">
        <f t="shared" si="11"/>
        <v>111</v>
      </c>
      <c r="R46" s="901" t="s">
        <v>1698</v>
      </c>
      <c r="S46" s="902">
        <f t="shared" si="12"/>
        <v>100</v>
      </c>
      <c r="T46" s="901" t="s">
        <v>1698</v>
      </c>
      <c r="U46" s="902">
        <f t="shared" si="13"/>
        <v>100</v>
      </c>
      <c r="V46" s="901" t="s">
        <v>1698</v>
      </c>
      <c r="W46" s="902">
        <f t="shared" si="14"/>
        <v>100</v>
      </c>
      <c r="X46" s="895"/>
      <c r="Y46" s="3697"/>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81" t="str">
        <f>A47</f>
        <v>成交单价（元/平方米）</v>
      </c>
      <c r="Q47" s="3681"/>
      <c r="R47" s="3679">
        <f>E47</f>
        <v>30981</v>
      </c>
      <c r="S47" s="3679"/>
      <c r="T47" s="3679">
        <f>G47</f>
        <v>35664</v>
      </c>
      <c r="U47" s="3679"/>
      <c r="V47" s="3679">
        <f>I47</f>
        <v>37558</v>
      </c>
      <c r="W47" s="3679"/>
      <c r="X47" s="841"/>
      <c r="Y47" s="914"/>
      <c r="Z47" s="841"/>
      <c r="AA47" s="841"/>
      <c r="AB47" s="841"/>
      <c r="AC47" s="841"/>
    </row>
    <row r="48" spans="1:29" ht="15">
      <c r="A48" s="787" t="s">
        <v>1730</v>
      </c>
      <c r="B48" s="1118"/>
      <c r="C48" s="1119">
        <f>R49</f>
        <v>16169</v>
      </c>
      <c r="D48" s="790" t="s">
        <v>1731</v>
      </c>
      <c r="E48" s="1120">
        <f>R48</f>
        <v>14468</v>
      </c>
      <c r="F48" s="791"/>
      <c r="G48" s="1119">
        <f>T48</f>
        <v>16411</v>
      </c>
      <c r="H48" s="791"/>
      <c r="I48" s="1120">
        <f>V48</f>
        <v>17628</v>
      </c>
      <c r="J48" s="791"/>
      <c r="K48" s="877">
        <f>F48+H48+J48</f>
        <v>0</v>
      </c>
      <c r="L48" s="876"/>
      <c r="M48" s="796"/>
      <c r="N48" s="853"/>
      <c r="O48" s="796"/>
      <c r="P48" s="3681" t="str">
        <f>A48</f>
        <v>比较价值（元/平方米）</v>
      </c>
      <c r="Q48" s="3681"/>
      <c r="R48" s="3682">
        <f>IF(F1="售价",ROUND(PRODUCT(R47,AA7:AA46),0),ROUND(PRODUCT(R47,AA7:AA46),1))</f>
        <v>14468</v>
      </c>
      <c r="S48" s="3682"/>
      <c r="T48" s="3682">
        <f>IF(F1="售价",ROUND(PRODUCT(T47,AB7:AB46),0),ROUND(PRODUCT(T47,AB7:AB46),1))</f>
        <v>16411</v>
      </c>
      <c r="U48" s="3682"/>
      <c r="V48" s="3682">
        <f>IF(F1="售价",ROUND(PRODUCT(V47,AC7:AC46),0),ROUND(PRODUCT(V47,AC7:AC46),1))</f>
        <v>17628</v>
      </c>
      <c r="W48" s="3682"/>
      <c r="X48" s="841"/>
      <c r="Y48" s="841"/>
      <c r="Z48" s="841"/>
      <c r="AA48" s="841"/>
      <c r="AB48" s="841"/>
      <c r="AC48" s="841"/>
    </row>
    <row r="49" spans="1:29" ht="15">
      <c r="A49" s="793" t="s">
        <v>1732</v>
      </c>
      <c r="B49" s="794"/>
      <c r="C49" s="1121">
        <f>R49</f>
        <v>16169</v>
      </c>
      <c r="D49" s="1121"/>
      <c r="E49" s="1121"/>
      <c r="F49" s="1121"/>
      <c r="G49" s="1121"/>
      <c r="H49" s="1121"/>
      <c r="I49" s="1121"/>
      <c r="J49" s="1121"/>
      <c r="K49" s="878"/>
      <c r="L49" s="876"/>
      <c r="M49" s="796"/>
      <c r="N49" s="853"/>
      <c r="O49" s="796"/>
      <c r="P49" s="3718" t="str">
        <f>A49</f>
        <v>估价对象XX用房的比较价值（楼面单价，元/平方米）</v>
      </c>
      <c r="Q49" s="3719"/>
      <c r="R49" s="3720">
        <f>IF(F1="售价",ROUND(IF(D48="简单平均",AVERAGE(R48:V48),R48*F48+T48*H48+V48*J48),0),ROUND(IF(D48="简单平均",AVERAGE(R48:V48),R48*F48+T48*H48+V48*J48),1))</f>
        <v>16169</v>
      </c>
      <c r="S49" s="3720"/>
      <c r="T49" s="3720"/>
      <c r="U49" s="3720"/>
      <c r="V49" s="3720"/>
      <c r="W49" s="372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1.1413464196848215</v>
      </c>
      <c r="F52" s="801" t="str">
        <f>IF(OR(E52&gt;=0.3,E52&lt;=-0.3),"超过30%","")</f>
        <v>超过30%</v>
      </c>
      <c r="G52" s="800">
        <f>IF(G47&lt;G48,G48/G47-1,G47/G48-1)</f>
        <v>1.173176527938578</v>
      </c>
      <c r="H52" s="801" t="str">
        <f>IF(OR(G52&gt;=0.3,G52&lt;=-0.3),"超过30%","")</f>
        <v>超过30%</v>
      </c>
      <c r="I52" s="800">
        <f>IF(I47&lt;I48,I48/I47-1,I47/I48-1)</f>
        <v>1.1305877013841616</v>
      </c>
      <c r="J52" s="801" t="str">
        <f>IF(OR(I52&gt;=0.3,I52&lt;=-0.3),"超过30%","")</f>
        <v>超过30%</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0.13429637821398943</v>
      </c>
      <c r="F53" s="801" t="str">
        <f>IF(OR(E53&gt;=0.2,E53&lt;=-0.2),"超过20%","")</f>
        <v/>
      </c>
      <c r="G53" s="800">
        <f>IF(G48&lt;I48,I48/G48-1,G48/I48-1)</f>
        <v>7.4157577234781558E-2</v>
      </c>
      <c r="H53" s="801" t="str">
        <f>IF(OR(G53&gt;=0.2,G53&lt;=-0.2),"超过20%","")</f>
        <v/>
      </c>
      <c r="I53" s="800">
        <f>IF(I48&lt;E48,E48/I48-1,I48/E48-1)</f>
        <v>0.21841304948852636</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38" t="s">
        <v>2865</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39" t="s">
        <v>2907</v>
      </c>
      <c r="D86" s="3439" t="s">
        <v>2909</v>
      </c>
      <c r="E86" s="3439" t="s">
        <v>2910</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2902</v>
      </c>
      <c r="D100" s="934" t="s">
        <v>2904</v>
      </c>
      <c r="E100" s="934" t="s">
        <v>2905</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39" t="s">
        <v>2866</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39" t="s">
        <v>2873</v>
      </c>
      <c r="D114" s="3439" t="s">
        <v>2874</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39" t="s">
        <v>2868</v>
      </c>
      <c r="D122" s="3439" t="s">
        <v>2870</v>
      </c>
      <c r="E122" s="3439" t="s">
        <v>2871</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6" stopIfTrue="1">
      <formula>$F$52="超过30%"</formula>
    </cfRule>
  </conditionalFormatting>
  <conditionalFormatting sqref="G52">
    <cfRule type="expression" dxfId="147" priority="12" stopIfTrue="1">
      <formula>$H$52="超过30%"</formula>
    </cfRule>
  </conditionalFormatting>
  <conditionalFormatting sqref="I52">
    <cfRule type="expression" dxfId="146" priority="7" stopIfTrue="1">
      <formula>$J$52="超过30%"</formula>
    </cfRule>
  </conditionalFormatting>
  <conditionalFormatting sqref="J52">
    <cfRule type="containsText" dxfId="145" priority="10" stopIfTrue="1" operator="containsText" text="超过">
      <formula>NOT(ISERROR(SEARCH("超过",J52)))</formula>
    </cfRule>
  </conditionalFormatting>
  <conditionalFormatting sqref="E53">
    <cfRule type="expression" dxfId="144" priority="15" stopIfTrue="1">
      <formula>$F$53="超过20%"</formula>
    </cfRule>
  </conditionalFormatting>
  <conditionalFormatting sqref="G53">
    <cfRule type="expression" dxfId="143" priority="11" stopIfTrue="1">
      <formula>$H$53="超过20%"</formula>
    </cfRule>
  </conditionalFormatting>
  <conditionalFormatting sqref="I53">
    <cfRule type="expression" dxfId="142" priority="6" stopIfTrue="1">
      <formula>$J$53="超过20%"</formula>
    </cfRule>
  </conditionalFormatting>
  <conditionalFormatting sqref="J53">
    <cfRule type="containsText" dxfId="141" priority="8" stopIfTrue="1" operator="containsText" text="超过">
      <formula>NOT(ISERROR(SEARCH("超过",J53)))</formula>
    </cfRule>
  </conditionalFormatting>
  <conditionalFormatting sqref="E54">
    <cfRule type="expression" dxfId="140" priority="14" stopIfTrue="1">
      <formula>$F$54="超过30%"</formula>
    </cfRule>
  </conditionalFormatting>
  <conditionalFormatting sqref="F54">
    <cfRule type="containsText" dxfId="139" priority="18" stopIfTrue="1" operator="containsText" text="超过">
      <formula>NOT(ISERROR(SEARCH("超过",F54)))</formula>
    </cfRule>
  </conditionalFormatting>
  <conditionalFormatting sqref="G54">
    <cfRule type="expression" dxfId="138" priority="13" stopIfTrue="1">
      <formula>$H$54="超过30%"</formula>
    </cfRule>
  </conditionalFormatting>
  <conditionalFormatting sqref="H54">
    <cfRule type="containsText" dxfId="137" priority="19"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9"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cfRule type="containsText" dxfId="133" priority="21" stopIfTrue="1" operator="containsText" text="超过">
      <formula>NOT(ISERROR(SEARCH("超过",F52)))</formula>
    </cfRule>
  </conditionalFormatting>
  <conditionalFormatting sqref="F53 H53">
    <cfRule type="containsText" dxfId="13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Normal="100" zoomScalePageLayoutView="80" workbookViewId="0">
      <selection activeCell="H26" sqref="H26"/>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thickBot="1">
      <c r="A1" s="2360" t="s">
        <v>771</v>
      </c>
      <c r="B1" s="2361"/>
      <c r="C1" s="2362"/>
      <c r="D1" s="2361"/>
      <c r="E1" s="2361"/>
      <c r="F1" s="2363" t="s">
        <v>772</v>
      </c>
      <c r="G1" s="2364"/>
      <c r="H1" s="2365" t="str">
        <f>IF(G1="现房","——","估价对象范围")</f>
        <v>估价对象范围</v>
      </c>
      <c r="I1" s="2497"/>
    </row>
    <row r="2" spans="1:12" ht="21.75" customHeight="1" thickBot="1">
      <c r="A2" s="3632" t="str">
        <f>项目基本情况!S2</f>
        <v>北京市房地产</v>
      </c>
      <c r="B2" s="3633"/>
      <c r="C2" s="3633"/>
      <c r="D2" s="3633"/>
      <c r="E2" s="3633"/>
      <c r="F2" s="3633"/>
      <c r="G2" s="3633"/>
      <c r="H2" s="3633"/>
      <c r="I2" s="3634"/>
    </row>
    <row r="3" spans="1:12" ht="12.75">
      <c r="A3" s="3635" t="s">
        <v>773</v>
      </c>
      <c r="B3" s="3636"/>
      <c r="C3" s="3636"/>
      <c r="D3" s="3636"/>
      <c r="E3" s="3636"/>
      <c r="F3" s="3636"/>
      <c r="G3" s="3636"/>
      <c r="H3" s="3636"/>
      <c r="I3" s="3636"/>
    </row>
    <row r="4" spans="1:12" ht="14.25">
      <c r="A4" s="2366" t="s">
        <v>774</v>
      </c>
      <c r="B4" s="2367" t="s">
        <v>775</v>
      </c>
      <c r="C4" s="2368" t="s">
        <v>2898</v>
      </c>
      <c r="D4" s="2368" t="s">
        <v>2894</v>
      </c>
      <c r="E4" s="3637" t="s">
        <v>776</v>
      </c>
      <c r="F4" s="3638"/>
      <c r="G4" s="3638"/>
      <c r="H4" s="3638"/>
      <c r="I4" s="3639"/>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559" t="s">
        <v>777</v>
      </c>
      <c r="B5" s="3567">
        <v>25</v>
      </c>
      <c r="C5" s="3649"/>
      <c r="D5" s="3570"/>
      <c r="E5" s="1648" t="s">
        <v>778</v>
      </c>
      <c r="F5" s="2373"/>
      <c r="G5" s="2373"/>
      <c r="H5" s="2373"/>
      <c r="I5" s="2242"/>
    </row>
    <row r="6" spans="1:12" ht="12.75">
      <c r="A6" s="3559"/>
      <c r="B6" s="3567"/>
      <c r="C6" s="3650"/>
      <c r="D6" s="3570"/>
      <c r="E6" s="1648" t="s">
        <v>779</v>
      </c>
      <c r="F6" s="2373"/>
      <c r="G6" s="2373"/>
      <c r="H6" s="2373"/>
      <c r="I6" s="2242"/>
    </row>
    <row r="7" spans="1:12" ht="12.75">
      <c r="A7" s="3559"/>
      <c r="B7" s="3567"/>
      <c r="C7" s="3651"/>
      <c r="D7" s="3570"/>
      <c r="E7" s="1648" t="s">
        <v>780</v>
      </c>
      <c r="F7" s="2373"/>
      <c r="G7" s="2373"/>
      <c r="H7" s="2373"/>
      <c r="I7" s="2242"/>
    </row>
    <row r="8" spans="1:12" ht="12.75">
      <c r="A8" s="3559" t="s">
        <v>781</v>
      </c>
      <c r="B8" s="3567">
        <v>15</v>
      </c>
      <c r="C8" s="3649"/>
      <c r="D8" s="3570"/>
      <c r="E8" s="1648" t="s">
        <v>782</v>
      </c>
      <c r="F8" s="2373"/>
      <c r="G8" s="2373"/>
      <c r="H8" s="2373"/>
      <c r="I8" s="2242"/>
    </row>
    <row r="9" spans="1:12" ht="12.75">
      <c r="A9" s="3559"/>
      <c r="B9" s="3567"/>
      <c r="C9" s="3651"/>
      <c r="D9" s="3570"/>
      <c r="E9" s="1648" t="s">
        <v>783</v>
      </c>
      <c r="F9" s="2373"/>
      <c r="G9" s="2373"/>
      <c r="H9" s="2373"/>
      <c r="I9" s="2242"/>
    </row>
    <row r="10" spans="1:12" ht="12.75">
      <c r="A10" s="3559" t="s">
        <v>784</v>
      </c>
      <c r="B10" s="3567">
        <v>15</v>
      </c>
      <c r="C10" s="3649"/>
      <c r="D10" s="3570"/>
      <c r="E10" s="1648" t="s">
        <v>785</v>
      </c>
      <c r="F10" s="2373"/>
      <c r="G10" s="2373"/>
      <c r="H10" s="2373"/>
      <c r="I10" s="2242"/>
    </row>
    <row r="11" spans="1:12" ht="12.75">
      <c r="A11" s="3559"/>
      <c r="B11" s="3567"/>
      <c r="C11" s="3651"/>
      <c r="D11" s="3570"/>
      <c r="E11" s="1648" t="s">
        <v>786</v>
      </c>
      <c r="F11" s="2373"/>
      <c r="G11" s="2373"/>
      <c r="H11" s="2373"/>
      <c r="I11" s="2242"/>
    </row>
    <row r="12" spans="1:12" ht="12.75">
      <c r="A12" s="3559" t="s">
        <v>787</v>
      </c>
      <c r="B12" s="3567">
        <v>15</v>
      </c>
      <c r="C12" s="3649"/>
      <c r="D12" s="3570"/>
      <c r="E12" s="1648" t="s">
        <v>788</v>
      </c>
      <c r="F12" s="2373"/>
      <c r="G12" s="2373"/>
      <c r="H12" s="2373"/>
      <c r="I12" s="2242"/>
    </row>
    <row r="13" spans="1:12" ht="12.75">
      <c r="A13" s="3559"/>
      <c r="B13" s="3567"/>
      <c r="C13" s="3651"/>
      <c r="D13" s="3570"/>
      <c r="E13" s="1648" t="s">
        <v>789</v>
      </c>
      <c r="F13" s="2373"/>
      <c r="G13" s="2373"/>
      <c r="H13" s="2373"/>
      <c r="I13" s="2242"/>
    </row>
    <row r="14" spans="1:12" ht="12.75">
      <c r="A14" s="3559" t="s">
        <v>790</v>
      </c>
      <c r="B14" s="3567">
        <v>30</v>
      </c>
      <c r="C14" s="3649">
        <v>4</v>
      </c>
      <c r="D14" s="3570">
        <v>6</v>
      </c>
      <c r="E14" s="1648" t="s">
        <v>791</v>
      </c>
      <c r="F14" s="2373"/>
      <c r="G14" s="2373"/>
      <c r="H14" s="2373"/>
      <c r="I14" s="2242"/>
    </row>
    <row r="15" spans="1:12" ht="12.75">
      <c r="A15" s="3559"/>
      <c r="B15" s="3567"/>
      <c r="C15" s="3650"/>
      <c r="D15" s="3570"/>
      <c r="E15" s="1648" t="s">
        <v>792</v>
      </c>
      <c r="F15" s="2373"/>
      <c r="G15" s="2373"/>
      <c r="H15" s="2373"/>
      <c r="I15" s="2242"/>
    </row>
    <row r="16" spans="1:12" ht="12.75">
      <c r="A16" s="3559"/>
      <c r="B16" s="3567"/>
      <c r="C16" s="3651"/>
      <c r="D16" s="3570"/>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thickBot="1">
      <c r="A18" s="2377" t="s">
        <v>797</v>
      </c>
      <c r="B18" s="2378"/>
      <c r="C18" s="2379">
        <f>ROUND(C17/SUM(C17:D17),2)</f>
        <v>0.4</v>
      </c>
      <c r="D18" s="2379">
        <f>1-C18</f>
        <v>0.6</v>
      </c>
      <c r="E18" s="3640" t="s">
        <v>798</v>
      </c>
      <c r="F18" s="3641"/>
      <c r="G18" s="3641"/>
      <c r="H18" s="3641"/>
      <c r="I18" s="3641"/>
      <c r="K18" s="1608" t="s">
        <v>455</v>
      </c>
      <c r="L18" s="1608">
        <f>IF(C1="",'数据-汇总表'!E3,SUMIF(项目类型,C1,'数据-汇总表'!E17:E26)+SUMIF(项目类型,C1,'数据-汇总表'!I17:I26))</f>
        <v>333.8</v>
      </c>
      <c r="M18" s="1608">
        <f>IF(C1="",'数据-汇总表'!E3,SUMIF(项目类型,C1,'数据-汇总表'!E17:E26))</f>
        <v>333.8</v>
      </c>
    </row>
    <row r="19" spans="1:36" ht="15">
      <c r="A19" s="2380" t="s">
        <v>799</v>
      </c>
      <c r="B19" s="2381" t="s">
        <v>800</v>
      </c>
      <c r="C19" s="2382">
        <f ca="1">SUMIF(INDIRECT("'"&amp;C4&amp;"'"&amp;"!A:A"),'结果表 (2)'!B19,INDIRECT("'"&amp;C4&amp;"'"&amp;"!B:B"))</f>
        <v>859.02700000000004</v>
      </c>
      <c r="D19" s="1055">
        <f ca="1">SUMIF(INDIRECT("'"&amp;D4&amp;"'"&amp;"!A:A"),'结果表 (2)'!B19,INDIRECT("'"&amp;D4&amp;"'"&amp;"!B:B"))</f>
        <v>533.05889999999999</v>
      </c>
      <c r="E19" s="2380" t="s">
        <v>801</v>
      </c>
      <c r="F19" s="2381" t="s">
        <v>800</v>
      </c>
      <c r="G19" s="2383">
        <f ca="1">ROUND(C19*$C$18+D19*$D$18,0)</f>
        <v>663</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f ca="1">SUMIF(INDIRECT("'"&amp;C4&amp;"'"&amp;"!A:A"),'结果表 (2)'!B20,INDIRECT("'"&amp;C4&amp;"'"&amp;"!B:B"))</f>
        <v>25735</v>
      </c>
      <c r="D20" s="1344">
        <f ca="1">SUMIF(INDIRECT("'"&amp;D4&amp;"'"&amp;"!A:A"),'结果表 (2)'!B20,INDIRECT("'"&amp;D4&amp;"'"&amp;"!B:B"))</f>
        <v>15969</v>
      </c>
      <c r="E20" s="2385"/>
      <c r="F20" s="2386" t="s">
        <v>803</v>
      </c>
      <c r="G20" s="2387">
        <f ca="1">ROUND(C20*$C$18+D20*$D$18,0)</f>
        <v>19875</v>
      </c>
      <c r="H20" s="1764" t="s">
        <v>804</v>
      </c>
      <c r="I20" s="604"/>
    </row>
    <row r="21" spans="1:36" ht="15" customHeight="1" thickBot="1">
      <c r="A21" s="2323"/>
      <c r="B21" s="2388" t="s">
        <v>805</v>
      </c>
      <c r="C21" s="2389" t="e">
        <f ca="1">ROUND(C19*10000/L19,0)</f>
        <v>#DIV/0!</v>
      </c>
      <c r="D21" s="2390" t="e">
        <f ca="1">ROUND(D19*10000/L19,0)</f>
        <v>#DIV/0!</v>
      </c>
      <c r="E21" s="2323"/>
      <c r="F21" s="2388" t="s">
        <v>805</v>
      </c>
      <c r="G21" s="2391" t="e">
        <f ca="1">ROUND(G19*10000/L19,0)</f>
        <v>#DIV/0!</v>
      </c>
      <c r="H21" s="2392" t="s">
        <v>804</v>
      </c>
      <c r="I21" s="604"/>
    </row>
    <row r="22" spans="1:36" ht="15" thickBot="1">
      <c r="A22" s="2393" t="s">
        <v>806</v>
      </c>
      <c r="B22" s="2394"/>
      <c r="C22" s="2395"/>
      <c r="D22" s="2396">
        <f ca="1">IF(C19&lt;D19,D19/C19-1,C19/D19-1)</f>
        <v>0.6115048449617857</v>
      </c>
      <c r="E22" s="604"/>
      <c r="F22" s="604"/>
      <c r="G22" s="604"/>
      <c r="H22" s="604"/>
      <c r="I22" s="604"/>
    </row>
    <row r="23" spans="1:36" ht="13.5" thickBot="1">
      <c r="A23" s="2361"/>
      <c r="B23" s="2361"/>
      <c r="C23" s="2361"/>
      <c r="D23" s="2361"/>
      <c r="E23" s="604"/>
      <c r="F23" s="604"/>
      <c r="G23" s="604"/>
      <c r="H23" s="604"/>
      <c r="I23" s="604"/>
    </row>
    <row r="24" spans="1:36" ht="14.25">
      <c r="A24" s="3560" t="s">
        <v>807</v>
      </c>
      <c r="B24" s="2381" t="s">
        <v>800</v>
      </c>
      <c r="C24" s="2383">
        <f>IF(B30=0,0,D30)</f>
        <v>0</v>
      </c>
      <c r="D24" s="2397"/>
      <c r="E24" s="604"/>
      <c r="F24" s="604"/>
      <c r="G24" s="604"/>
      <c r="H24" s="604"/>
      <c r="I24" s="604"/>
    </row>
    <row r="25" spans="1:36" ht="14.25">
      <c r="A25" s="3561"/>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f ca="1">G20/0.7</f>
        <v>28392.857142857145</v>
      </c>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5" thickBot="1">
      <c r="A30" s="2401" t="s">
        <v>812</v>
      </c>
      <c r="B30" s="2401"/>
      <c r="C30" s="2401"/>
      <c r="D30" s="2401"/>
      <c r="E30" s="2403" t="s">
        <v>813</v>
      </c>
      <c r="F30" s="604"/>
      <c r="G30" s="604"/>
      <c r="H30" s="604"/>
      <c r="I30" s="604"/>
    </row>
    <row r="31" spans="1:36" s="2355" customFormat="1" ht="26.45" customHeight="1" thickTop="1" thickBo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6.5" thickTop="1" thickBot="1">
      <c r="A32" s="2406" t="s">
        <v>815</v>
      </c>
      <c r="B32" s="2407"/>
      <c r="C32" s="2408">
        <f ca="1">IF(D32="总价",G19-C24,G20-C25)</f>
        <v>19875</v>
      </c>
      <c r="D32" s="2409" t="s">
        <v>2856</v>
      </c>
      <c r="E32" s="604"/>
      <c r="F32" s="604"/>
      <c r="G32" s="604"/>
      <c r="H32" s="604"/>
      <c r="I32" s="604"/>
    </row>
    <row r="33" spans="1:15" ht="15">
      <c r="A33" s="2264" t="s">
        <v>816</v>
      </c>
      <c r="B33" s="2410"/>
      <c r="C33" s="2411" t="s">
        <v>2858</v>
      </c>
      <c r="D33" s="2412"/>
      <c r="E33" s="2413" t="s">
        <v>817</v>
      </c>
      <c r="F33" s="2414" t="str">
        <f>IF(D32="楼面单价","取值（单价）","取值（总价）")</f>
        <v>取值（单价）</v>
      </c>
      <c r="G33" s="604"/>
      <c r="H33" s="604"/>
      <c r="I33" s="604"/>
    </row>
    <row r="34" spans="1:15" ht="15">
      <c r="A34" s="2415"/>
      <c r="B34" s="2416" t="s">
        <v>818</v>
      </c>
      <c r="C34" s="2417">
        <f>IF(C33="自定义",F34,C32-C35)</f>
        <v>0</v>
      </c>
      <c r="D34" s="2418">
        <f ca="1">IF(C33="自定义",ROUND(C34/C32,3),IF(C33="收益比率",SUMIF(INDIRECT("'"&amp;D33&amp;"'"&amp;"!b:b"),"土地收益比率",INDIRECT("'"&amp;D33&amp;"'"&amp;"!c:c")),SUMIF(INDIRECT("'"&amp;D33&amp;"'"&amp;"!b:b"),"土地成本比率",INDIRECT("'"&amp;D33&amp;"'"&amp;"!c:c"))))</f>
        <v>0</v>
      </c>
      <c r="E34" s="2419" t="s">
        <v>819</v>
      </c>
      <c r="F34" s="2420"/>
      <c r="G34" s="604"/>
      <c r="H34" s="604"/>
      <c r="I34" s="604"/>
    </row>
    <row r="35" spans="1:15" ht="15.75" thickBot="1">
      <c r="A35" s="2421"/>
      <c r="B35" s="2422" t="s">
        <v>820</v>
      </c>
      <c r="C35" s="2423">
        <f>IF(C33="自定义",F35,ROUND(C32*D35,0))</f>
        <v>0</v>
      </c>
      <c r="D35" s="2424">
        <f ca="1">IF(C33="自定义",ROUND(C35/C32,3),IF(C33="收益比率",SUMIF(INDIRECT("'"&amp;D33&amp;"'"&amp;"!b:b"),"建筑物收益比率",INDIRECT("'"&amp;D33&amp;"'"&amp;"!c:c")),SUMIF(INDIRECT("'"&amp;D33&amp;"'"&amp;"!b:b"),"建筑物成本比率",INDIRECT("'"&amp;D33&amp;"'"&amp;"!c:c"))))</f>
        <v>0</v>
      </c>
      <c r="E35" s="2425" t="s">
        <v>821</v>
      </c>
      <c r="F35" s="2426"/>
      <c r="G35" s="604"/>
      <c r="H35" s="604"/>
      <c r="I35" s="604"/>
    </row>
    <row r="36" spans="1:15" ht="15.75" thickBot="1">
      <c r="A36" s="3562" t="s">
        <v>822</v>
      </c>
      <c r="B36" s="2427" t="s">
        <v>823</v>
      </c>
      <c r="C36" s="2428"/>
      <c r="D36" s="2429"/>
      <c r="E36" s="2430"/>
      <c r="F36" s="2431"/>
      <c r="G36" s="604"/>
      <c r="H36" s="604"/>
      <c r="I36" s="604"/>
    </row>
    <row r="37" spans="1:15" ht="15.75" thickBot="1">
      <c r="A37" s="3563"/>
      <c r="B37" s="2432" t="s">
        <v>824</v>
      </c>
      <c r="C37" s="2433"/>
      <c r="D37" s="2434"/>
      <c r="E37" s="2434"/>
      <c r="F37" s="2431"/>
      <c r="G37" s="604"/>
      <c r="H37" s="604"/>
      <c r="I37" s="604"/>
    </row>
    <row r="38" spans="1:15" ht="15.75" thickBot="1">
      <c r="A38" s="3564"/>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5" thickBot="1">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thickBot="1">
      <c r="A45" s="3642" t="s">
        <v>833</v>
      </c>
      <c r="B45" s="3643"/>
      <c r="C45" s="3644"/>
      <c r="D45" s="1607">
        <f ca="1">ROUND(H101*F45,0)</f>
        <v>663</v>
      </c>
      <c r="E45" s="2453" t="s">
        <v>834</v>
      </c>
      <c r="F45" s="2454">
        <v>1</v>
      </c>
      <c r="G45" s="2455" t="s">
        <v>835</v>
      </c>
      <c r="H45" s="604"/>
      <c r="I45" s="604"/>
      <c r="J45" s="3631" t="s">
        <v>836</v>
      </c>
      <c r="K45" s="3631"/>
      <c r="L45" s="3631"/>
      <c r="M45" s="3631"/>
      <c r="N45" s="3631"/>
      <c r="O45" s="3631"/>
    </row>
    <row r="46" spans="1:15" ht="14.25" customHeight="1">
      <c r="A46" s="3645" t="s">
        <v>837</v>
      </c>
      <c r="B46" s="3646"/>
      <c r="C46" s="3646"/>
      <c r="D46" s="3646"/>
      <c r="E46" s="3646"/>
      <c r="F46" s="3646"/>
      <c r="G46" s="3647"/>
      <c r="H46" s="2456"/>
      <c r="I46" s="605"/>
      <c r="J46" s="3454">
        <v>1</v>
      </c>
      <c r="K46" s="3621" t="s">
        <v>838</v>
      </c>
      <c r="L46" s="3621"/>
      <c r="M46" s="3648"/>
      <c r="N46" s="3648"/>
      <c r="O46" s="3648"/>
    </row>
    <row r="47" spans="1:15" ht="12" customHeight="1">
      <c r="A47" s="2457" t="s">
        <v>839</v>
      </c>
      <c r="B47" s="2458"/>
      <c r="C47" s="2459"/>
      <c r="D47" s="1658" t="s">
        <v>840</v>
      </c>
      <c r="E47" s="1608" t="s">
        <v>841</v>
      </c>
      <c r="F47" s="2460" t="s">
        <v>842</v>
      </c>
      <c r="G47" s="2461" t="s">
        <v>843</v>
      </c>
      <c r="H47" s="2462"/>
      <c r="I47" s="605"/>
      <c r="J47" s="3454">
        <v>2</v>
      </c>
      <c r="K47" s="3621" t="s">
        <v>844</v>
      </c>
      <c r="L47" s="3621"/>
      <c r="M47" s="3628">
        <f>'数据-取费表'!B2</f>
        <v>45545</v>
      </c>
      <c r="N47" s="3628"/>
      <c r="O47" s="3628"/>
    </row>
    <row r="48" spans="1:15" ht="25.5">
      <c r="A48" s="3629" t="s">
        <v>845</v>
      </c>
      <c r="B48" s="3623"/>
      <c r="C48" s="3623"/>
      <c r="D48" s="3452">
        <f ca="1">IF(H48="情况1",0,IF(H48="情况2",D52,IF(H48="情况3",D53,IF(H48="情况4",D54))))</f>
        <v>0</v>
      </c>
      <c r="E48" s="3459" t="str">
        <f>IF(H48="情况4","(销售额-原购置价)×税（费）率","销售额×税（费）率")</f>
        <v>(销售额-原购置价)×税（费）率</v>
      </c>
      <c r="F48" s="2464">
        <f>IF(H48="情况1","免征",'数据-取费表'!B41)</f>
        <v>5.5000000000000007E-2</v>
      </c>
      <c r="G48" s="2465" t="s">
        <v>846</v>
      </c>
      <c r="H48" s="2466" t="s">
        <v>2850</v>
      </c>
      <c r="I48" s="2456"/>
      <c r="J48" s="3454">
        <v>3</v>
      </c>
      <c r="K48" s="3621" t="s">
        <v>847</v>
      </c>
      <c r="L48" s="3621"/>
      <c r="M48" s="3630">
        <f ca="1">H101</f>
        <v>663</v>
      </c>
      <c r="N48" s="3630"/>
      <c r="O48" s="3630"/>
    </row>
    <row r="49" spans="1:35" ht="25.5" customHeight="1">
      <c r="A49" s="3460" t="s">
        <v>848</v>
      </c>
      <c r="B49" s="3597" t="s">
        <v>849</v>
      </c>
      <c r="C49" s="3597"/>
      <c r="D49" s="2467">
        <v>0</v>
      </c>
      <c r="E49" s="1668" t="s">
        <v>850</v>
      </c>
      <c r="F49" s="3442" t="s">
        <v>124</v>
      </c>
      <c r="G49" s="3624"/>
      <c r="H49" s="2469" t="s">
        <v>851</v>
      </c>
      <c r="I49" s="2506"/>
      <c r="J49" s="3454">
        <v>4</v>
      </c>
      <c r="K49" s="3621" t="str">
        <f>IF(项目基本情况!E8="房地产抵押价值","房地产抵押价值","抵押担保权已注销时的房地产抵押价值")</f>
        <v>房地产抵押价值</v>
      </c>
      <c r="L49" s="3621"/>
      <c r="M49" s="3630">
        <f ca="1">IF(项目基本情况!E8="房地产抵押价值",H107,H109)</f>
        <v>663</v>
      </c>
      <c r="N49" s="3630"/>
      <c r="O49" s="3630"/>
    </row>
    <row r="50" spans="1:35" ht="25.5" customHeight="1">
      <c r="A50" s="2470"/>
      <c r="B50" s="3597" t="s">
        <v>852</v>
      </c>
      <c r="C50" s="3597"/>
      <c r="D50" s="2471"/>
      <c r="E50" s="1683"/>
      <c r="F50" s="3442"/>
      <c r="G50" s="3625"/>
      <c r="H50" s="2472" t="s">
        <v>853</v>
      </c>
      <c r="I50" s="2506"/>
      <c r="J50" s="3631" t="s">
        <v>854</v>
      </c>
      <c r="K50" s="3631"/>
      <c r="L50" s="3631"/>
      <c r="M50" s="3631"/>
      <c r="N50" s="3631"/>
      <c r="O50" s="3631"/>
    </row>
    <row r="51" spans="1:35" ht="20.45" customHeight="1">
      <c r="A51" s="2473"/>
      <c r="B51" s="3597" t="s">
        <v>855</v>
      </c>
      <c r="C51" s="3597"/>
      <c r="D51" s="1658"/>
      <c r="E51" s="1672"/>
      <c r="F51" s="3442"/>
      <c r="G51" s="3626"/>
      <c r="H51" s="2472" t="s">
        <v>856</v>
      </c>
      <c r="I51" s="2506"/>
      <c r="J51" s="3457" t="s">
        <v>857</v>
      </c>
      <c r="K51" s="3621" t="s">
        <v>858</v>
      </c>
      <c r="L51" s="3621"/>
      <c r="M51" s="3457" t="s">
        <v>859</v>
      </c>
      <c r="N51" s="3457" t="s">
        <v>860</v>
      </c>
      <c r="O51" s="3457" t="s">
        <v>861</v>
      </c>
    </row>
    <row r="52" spans="1:35" ht="24" customHeight="1">
      <c r="A52" s="3458" t="s">
        <v>862</v>
      </c>
      <c r="B52" s="3597" t="s">
        <v>863</v>
      </c>
      <c r="C52" s="3597"/>
      <c r="D52" s="1658">
        <f ca="1">ROUND(D45*'数据-取费表'!B41/(1+'数据-取费表'!C42),0)</f>
        <v>35</v>
      </c>
      <c r="E52" s="3459" t="s">
        <v>864</v>
      </c>
      <c r="F52" s="2475">
        <f>'数据-取费表'!B41</f>
        <v>5.5000000000000007E-2</v>
      </c>
      <c r="G52" s="2476"/>
      <c r="H52" s="1777"/>
      <c r="I52" s="2507"/>
      <c r="J52" s="3454">
        <v>1</v>
      </c>
      <c r="K52" s="3617" t="s">
        <v>865</v>
      </c>
      <c r="L52" s="3617"/>
      <c r="M52" s="2508">
        <f ca="1">D48</f>
        <v>0</v>
      </c>
      <c r="N52" s="3454" t="str">
        <f>E48</f>
        <v>(销售额-原购置价)×税（费）率</v>
      </c>
      <c r="O52" s="2509">
        <f>F48</f>
        <v>5.5000000000000007E-2</v>
      </c>
    </row>
    <row r="53" spans="1:35" ht="12" customHeight="1">
      <c r="A53" s="3458" t="s">
        <v>866</v>
      </c>
      <c r="B53" s="3596" t="s">
        <v>867</v>
      </c>
      <c r="C53" s="3613"/>
      <c r="D53" s="1658">
        <f ca="1">ROUND(D45*'数据-取费表'!B41/(1+'数据-取费表'!C42),0)</f>
        <v>35</v>
      </c>
      <c r="E53" s="3459" t="s">
        <v>864</v>
      </c>
      <c r="F53" s="2475">
        <f>'数据-取费表'!B41</f>
        <v>5.5000000000000007E-2</v>
      </c>
      <c r="G53" s="2476"/>
      <c r="H53" s="1777"/>
      <c r="I53" s="2507"/>
      <c r="J53" s="3454">
        <v>2</v>
      </c>
      <c r="K53" s="3617" t="s">
        <v>868</v>
      </c>
      <c r="L53" s="3617"/>
      <c r="M53" s="2508">
        <f t="shared" ref="M53:O54" ca="1" si="0">D55</f>
        <v>0</v>
      </c>
      <c r="N53" s="3454" t="str">
        <f t="shared" si="0"/>
        <v>销售额×税（费）率</v>
      </c>
      <c r="O53" s="2509">
        <f t="shared" si="0"/>
        <v>5.0000000000000001E-4</v>
      </c>
    </row>
    <row r="54" spans="1:35" ht="12" customHeight="1">
      <c r="A54" s="3458" t="s">
        <v>869</v>
      </c>
      <c r="B54" s="3596" t="s">
        <v>870</v>
      </c>
      <c r="C54" s="3613"/>
      <c r="D54" s="1658">
        <f ca="1">C68</f>
        <v>0</v>
      </c>
      <c r="E54" s="1672" t="s">
        <v>871</v>
      </c>
      <c r="F54" s="2475">
        <f>'数据-取费表'!B41</f>
        <v>5.5000000000000007E-2</v>
      </c>
      <c r="G54" s="2476"/>
      <c r="H54" s="2477"/>
      <c r="I54" s="2507"/>
      <c r="J54" s="3454">
        <v>3</v>
      </c>
      <c r="K54" s="3617" t="s">
        <v>872</v>
      </c>
      <c r="L54" s="3617"/>
      <c r="M54" s="2508">
        <f ca="1">D58</f>
        <v>0</v>
      </c>
      <c r="N54" s="3454" t="str">
        <f t="shared" si="0"/>
        <v>增值额×税（费）率</v>
      </c>
      <c r="O54" s="2510" t="str">
        <f t="shared" si="0"/>
        <v>——</v>
      </c>
    </row>
    <row r="55" spans="1:35" ht="24" customHeight="1">
      <c r="A55" s="3622" t="s">
        <v>873</v>
      </c>
      <c r="B55" s="3623"/>
      <c r="C55" s="3623"/>
      <c r="D55" s="3452">
        <f ca="1">IF(H55="个人住宅",0,ROUND(D45*I55,0))</f>
        <v>0</v>
      </c>
      <c r="E55" s="3459" t="s">
        <v>874</v>
      </c>
      <c r="F55" s="2475">
        <f>IF(H55="正常",I55,"免征")</f>
        <v>5.0000000000000001E-4</v>
      </c>
      <c r="G55" s="2476"/>
      <c r="H55" s="2466" t="s">
        <v>2851</v>
      </c>
      <c r="I55" s="2511">
        <f>'数据-取费表'!B49</f>
        <v>5.0000000000000001E-4</v>
      </c>
      <c r="J55" s="3454" t="str">
        <f>IF(H59="非个人房产","",4)</f>
        <v/>
      </c>
      <c r="K55" s="3617" t="str">
        <f>IF(H59="非个人房产","——","个人所得税")</f>
        <v>——</v>
      </c>
      <c r="L55" s="3617"/>
      <c r="M55" s="2512" t="str">
        <f>D59</f>
        <v>——</v>
      </c>
      <c r="N55" s="3455" t="str">
        <f>E59</f>
        <v>——</v>
      </c>
      <c r="O55" s="2513" t="str">
        <f>F59</f>
        <v>——</v>
      </c>
    </row>
    <row r="56" spans="1:35" ht="24.75">
      <c r="A56" s="3622" t="s">
        <v>875</v>
      </c>
      <c r="B56" s="3623"/>
      <c r="C56" s="3623"/>
      <c r="D56" s="3452">
        <f ca="1">IF(H56="个人住宅",D57,D58)</f>
        <v>0</v>
      </c>
      <c r="E56" s="3459" t="s">
        <v>876</v>
      </c>
      <c r="F56" s="2475" t="str">
        <f>IF(H56="正常",F58,"免征")</f>
        <v>——</v>
      </c>
      <c r="G56" s="2478" t="s">
        <v>877</v>
      </c>
      <c r="H56" s="2479" t="s">
        <v>2851</v>
      </c>
      <c r="I56" s="2488"/>
      <c r="J56" s="3454" t="str">
        <f>IF(项目基本情况!K6="上海银行",IF(J55="",4,J55+1),"")</f>
        <v/>
      </c>
      <c r="K56" s="3611" t="str">
        <f>IF(项目基本情况!K6="上海银行","其他处置费用","")</f>
        <v/>
      </c>
      <c r="L56" s="3627"/>
      <c r="M56" s="2508" t="str">
        <f>IF(项目基本情况!K6="上海银行",M69,"")</f>
        <v/>
      </c>
      <c r="N56" s="3611" t="str">
        <f>IF(项目基本情况!K6="上海银行","包含处置中涉及的律师、诉讼、拍卖、评估等费用","")</f>
        <v/>
      </c>
      <c r="O56" s="3612"/>
    </row>
    <row r="57" spans="1:35" ht="12.75">
      <c r="A57" s="3458" t="s">
        <v>848</v>
      </c>
      <c r="B57" s="3596" t="s">
        <v>878</v>
      </c>
      <c r="C57" s="3613"/>
      <c r="D57" s="2467">
        <v>0</v>
      </c>
      <c r="E57" s="1668" t="s">
        <v>850</v>
      </c>
      <c r="F57" s="1608"/>
      <c r="G57" s="2476"/>
      <c r="H57" s="2480"/>
      <c r="I57" s="2488"/>
      <c r="J57" s="3617">
        <f>IF(AND(J55="",J56=""),4,IF(项目基本情况!K6="上海银行",'结果表 (2)'!J56+1,'结果表 (2)'!J55+1))</f>
        <v>4</v>
      </c>
      <c r="K57" s="3617" t="s">
        <v>879</v>
      </c>
      <c r="L57" s="2514" t="s">
        <v>880</v>
      </c>
      <c r="M57" s="2515"/>
      <c r="N57" s="2516">
        <f ca="1">SUMIF(M52:M56,"&lt;9e307")</f>
        <v>0</v>
      </c>
      <c r="O57" s="2517"/>
      <c r="P57" s="2518">
        <f ca="1">N57/M49</f>
        <v>0</v>
      </c>
    </row>
    <row r="58" spans="1:35" ht="24.75">
      <c r="A58" s="3458" t="s">
        <v>862</v>
      </c>
      <c r="B58" s="3596" t="s">
        <v>881</v>
      </c>
      <c r="C58" s="3597"/>
      <c r="D58" s="3452">
        <f ca="1">IF(H58="转让取得",C81,C97)</f>
        <v>0</v>
      </c>
      <c r="E58" s="3459" t="s">
        <v>876</v>
      </c>
      <c r="F58" s="1608" t="s">
        <v>124</v>
      </c>
      <c r="G58" s="2476"/>
      <c r="H58" s="2479" t="s">
        <v>2852</v>
      </c>
      <c r="I58" s="2488"/>
      <c r="J58" s="3617"/>
      <c r="K58" s="3617"/>
      <c r="L58" s="2514" t="s">
        <v>882</v>
      </c>
      <c r="M58" s="2519"/>
      <c r="N58" s="2520" t="str">
        <f ca="1">NUMBERSTRING(INT(N57*10000),2)&amp;"元整"</f>
        <v>零元整</v>
      </c>
      <c r="O58" s="2521"/>
    </row>
    <row r="59" spans="1:35" ht="24.75" thickBot="1">
      <c r="A59" s="3614" t="s">
        <v>883</v>
      </c>
      <c r="B59" s="3615"/>
      <c r="C59" s="3615"/>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18">
        <f>J57+1</f>
        <v>5</v>
      </c>
      <c r="K59" s="3617" t="s">
        <v>885</v>
      </c>
      <c r="L59" s="3454" t="s">
        <v>880</v>
      </c>
      <c r="M59" s="2523"/>
      <c r="N59" s="2524">
        <f ca="1">M49-N57</f>
        <v>663</v>
      </c>
      <c r="O59" s="2525"/>
    </row>
    <row r="60" spans="1:35" ht="12" customHeight="1">
      <c r="A60" s="2486"/>
      <c r="B60" s="2361"/>
      <c r="C60" s="2361"/>
      <c r="D60" s="2361"/>
      <c r="E60" s="2487"/>
      <c r="F60" s="2488"/>
      <c r="G60" s="2488"/>
      <c r="H60" s="2489"/>
      <c r="I60" s="604"/>
      <c r="J60" s="3619"/>
      <c r="K60" s="3617"/>
      <c r="L60" s="2514" t="s">
        <v>882</v>
      </c>
      <c r="M60" s="2519"/>
      <c r="N60" s="2520" t="str">
        <f ca="1">NUMBERSTRING(INT(N59*10000),2)&amp;"元整"</f>
        <v>陆佰陆拾叁万元整</v>
      </c>
      <c r="O60" s="2521"/>
    </row>
    <row r="61" spans="1:35" ht="13.5" thickBot="1">
      <c r="A61" s="3616" t="s">
        <v>886</v>
      </c>
      <c r="B61" s="3616"/>
      <c r="C61" s="3616"/>
      <c r="D61" s="3616"/>
      <c r="E61" s="3616"/>
      <c r="F61" s="2488"/>
      <c r="G61" s="2488"/>
      <c r="H61" s="2489"/>
      <c r="I61" s="604"/>
      <c r="J61" s="3454">
        <f>J59+1</f>
        <v>6</v>
      </c>
      <c r="K61" s="3617" t="s">
        <v>887</v>
      </c>
      <c r="L61" s="3617"/>
      <c r="M61" s="2526"/>
      <c r="N61" s="2527">
        <f ca="1">ROUND(N59*10000/'数据-汇总表'!E3,0)</f>
        <v>19862</v>
      </c>
      <c r="O61" s="2528"/>
    </row>
    <row r="62" spans="1:35" ht="12.75">
      <c r="A62" s="3594" t="s">
        <v>888</v>
      </c>
      <c r="B62" s="3595"/>
      <c r="C62" s="3448"/>
      <c r="D62" s="3448" t="s">
        <v>889</v>
      </c>
      <c r="E62" s="2490" t="s">
        <v>843</v>
      </c>
      <c r="F62" s="2488"/>
      <c r="G62" s="2488"/>
      <c r="H62" s="2489"/>
      <c r="I62" s="604"/>
    </row>
    <row r="63" spans="1:35" ht="12.75">
      <c r="A63" s="2491" t="s">
        <v>890</v>
      </c>
      <c r="B63" s="1946" t="s">
        <v>891</v>
      </c>
      <c r="C63" s="2492">
        <f ca="1">ROUND((C64+C65)/(1+'数据-取费表'!C42),0)</f>
        <v>631</v>
      </c>
      <c r="D63" s="1946"/>
      <c r="E63" s="2493"/>
      <c r="F63" s="2488"/>
      <c r="G63" s="2488"/>
      <c r="H63" s="2489"/>
      <c r="I63" s="604"/>
      <c r="J63" s="3620" t="s">
        <v>892</v>
      </c>
      <c r="K63" s="3456" t="s">
        <v>893</v>
      </c>
      <c r="L63" s="3456">
        <f ca="1">IF(M49&gt;10000,M49*0.5%,IF(AND(M49&gt;1000,M49&lt;=10000),M49*1%,IF(AND(M49&gt;100,M49&lt;=1000),M49*3%,IF(AND(M49&gt;10,M49&lt;=100),M49*5%,M49*8%))))</f>
        <v>19.89</v>
      </c>
      <c r="M63" s="1608">
        <f ca="1">ROUND(L63,1)</f>
        <v>19.899999999999999</v>
      </c>
      <c r="N63" s="2530"/>
      <c r="Z63" s="2358"/>
      <c r="AI63" s="2359"/>
    </row>
    <row r="64" spans="1:35" ht="14.25" customHeight="1">
      <c r="A64" s="2494" t="s">
        <v>894</v>
      </c>
      <c r="B64" s="1874" t="s">
        <v>895</v>
      </c>
      <c r="C64" s="2495">
        <f ca="1">D45</f>
        <v>663</v>
      </c>
      <c r="D64" s="1874" t="s">
        <v>124</v>
      </c>
      <c r="E64" s="2496"/>
      <c r="F64" s="2488"/>
      <c r="G64" s="2488"/>
      <c r="H64" s="2489"/>
      <c r="I64" s="604"/>
      <c r="J64" s="3620"/>
      <c r="K64" s="3456" t="s">
        <v>896</v>
      </c>
      <c r="L64" s="3456">
        <f ca="1">IF(M49&gt;2000,M49*0.5%,IF(AND(M49&gt;1000,M49&lt;=2000),M49*0.6%,IF(AND(M49&gt;500,M49&lt;=1000),M49*0.7%,IF(AND(M49&gt;200,M49&lt;=500),M49*0.8%,IF(AND(M49&gt;100,M49&lt;=200),M49*0.9%,IF(AND(M49&gt;50,M49&lt;=100),M49*1%,IF(AND(M49&gt;20,M49&lt;=50),M49*1.5%,IF(AND(M49&gt;10,M49&lt;=20),M49*2%,IF(AND(M49&gt;1,M49&lt;=10),M49*2.5%)))))))))</f>
        <v>4.6409999999999991</v>
      </c>
      <c r="M64" s="1608">
        <f t="shared" ref="M64:M65" ca="1" si="1">ROUND(L64,1)</f>
        <v>4.5999999999999996</v>
      </c>
      <c r="N64" s="1777" t="s">
        <v>897</v>
      </c>
      <c r="Z64" s="2358"/>
      <c r="AI64" s="2359"/>
    </row>
    <row r="65" spans="1:35" ht="14.25" customHeight="1">
      <c r="A65" s="2494" t="s">
        <v>898</v>
      </c>
      <c r="B65" s="1874" t="s">
        <v>899</v>
      </c>
      <c r="C65" s="2532"/>
      <c r="D65" s="1874"/>
      <c r="E65" s="2496"/>
      <c r="F65" s="2488"/>
      <c r="G65" s="2488"/>
      <c r="H65" s="2489"/>
      <c r="I65" s="604"/>
      <c r="J65" s="3620"/>
      <c r="K65" s="3456" t="s">
        <v>900</v>
      </c>
      <c r="L65" s="3456">
        <f ca="1">IF(M49&gt;1000,M49*0.1%,IF(AND(M49&gt;500,M49&lt;=1000),M49*0.5%,IF(AND(M49&gt;50,M49&lt;=500),M49*1%,IF(AND(M49&gt;1,M49&lt;=50),M49*1.5%))))</f>
        <v>3.3149999999999999</v>
      </c>
      <c r="M65" s="1608">
        <f t="shared" ca="1" si="1"/>
        <v>3.3</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620"/>
      <c r="K66" s="3456" t="s">
        <v>904</v>
      </c>
      <c r="L66" s="3456">
        <f ca="1">M49*0.5%</f>
        <v>3.3149999999999999</v>
      </c>
      <c r="M66" s="1608">
        <f ca="1">IF(L66&gt;0.5,0.5,ROUND(L66,0))</f>
        <v>0.5</v>
      </c>
      <c r="N66" s="1777" t="s">
        <v>905</v>
      </c>
      <c r="Z66" s="2358"/>
      <c r="AI66" s="2359"/>
    </row>
    <row r="67" spans="1:35" ht="14.25" customHeight="1">
      <c r="A67" s="2491" t="s">
        <v>906</v>
      </c>
      <c r="B67" s="2533" t="s">
        <v>907</v>
      </c>
      <c r="C67" s="2536">
        <f ca="1">C63-C66</f>
        <v>-148</v>
      </c>
      <c r="D67" s="1874" t="s">
        <v>124</v>
      </c>
      <c r="E67" s="2496"/>
      <c r="F67" s="2488"/>
      <c r="G67" s="2488"/>
      <c r="H67" s="2489"/>
      <c r="I67" s="604"/>
      <c r="J67" s="3620"/>
      <c r="K67" s="3456" t="s">
        <v>908</v>
      </c>
      <c r="L67" s="3456">
        <f ca="1">IF(M49&gt;=10000,(8.25+(M49-10000)*0.01%),IF(AND(M49&gt;=8000,M49&lt;10000),(7.85+(M49-8000)*0.02%),IF(AND(M49&gt;=5000,M49&lt;8000),(6.65+(M49-5000)*0.04%),IF(AND(M49&gt;=2000,M49&lt;5000),(4.25+(PM49-2000)*0.08%),IF(AND(M49&gt;=1000,M49&lt;2000),(2.75+(M49-1000)*0.15%),IF(AND(M49&gt;=100,M49&lt;1000),(0.5+(M49-100)*0.25%),IF(AND(M49&gt;0,M49&lt;100),M49*0.5%)))))))</f>
        <v>1.9075</v>
      </c>
      <c r="M67" s="1608">
        <f ca="1">ROUND(L67*0.9,1)</f>
        <v>1.7</v>
      </c>
      <c r="N67" s="2530"/>
      <c r="Z67" s="2358"/>
      <c r="AI67" s="2359"/>
    </row>
    <row r="68" spans="1:35" ht="14.25" customHeight="1" thickBot="1">
      <c r="A68" s="2537" t="s">
        <v>909</v>
      </c>
      <c r="B68" s="2538" t="s">
        <v>910</v>
      </c>
      <c r="C68" s="2539">
        <f ca="1">IF(C67&lt;=0,0,ROUND(C67*D68,0))</f>
        <v>0</v>
      </c>
      <c r="D68" s="2131">
        <f>'数据-取费表'!B41</f>
        <v>5.5000000000000007E-2</v>
      </c>
      <c r="E68" s="2540"/>
      <c r="F68" s="2488"/>
      <c r="G68" s="2488"/>
      <c r="H68" s="2489"/>
      <c r="I68" s="604"/>
      <c r="J68" s="3620"/>
      <c r="K68" s="3456" t="s">
        <v>911</v>
      </c>
      <c r="L68" s="3456">
        <f ca="1">IF(M49&gt;10000,M49*0.5%,IF(AND(M49&gt;5000,M49&lt;=10000),M49*1%,IF(AND(M49&gt;1000,M49&lt;=5000),M49*2%,IF(AND(M49&gt;200,M49&lt;=1000),M49*3%,M49*5%))))</f>
        <v>19.89</v>
      </c>
      <c r="M68" s="1608">
        <f ca="1">ROUND(L68,1)</f>
        <v>19.899999999999999</v>
      </c>
      <c r="N68" s="2530"/>
      <c r="Z68" s="2358"/>
      <c r="AI68" s="2359"/>
    </row>
    <row r="69" spans="1:35" s="2356" customFormat="1" ht="16.5" customHeight="1">
      <c r="A69" s="2541"/>
      <c r="B69" s="2542"/>
      <c r="C69" s="2543"/>
      <c r="D69" s="2050"/>
      <c r="E69" s="2544"/>
      <c r="F69" s="2487"/>
      <c r="G69" s="2487"/>
      <c r="H69" s="2447"/>
      <c r="I69" s="2361"/>
      <c r="J69" s="3620"/>
      <c r="K69" s="3456" t="s">
        <v>912</v>
      </c>
      <c r="L69" s="3456"/>
      <c r="M69" s="1608">
        <f ca="1">ROUND(SUM(M63:M68),0)</f>
        <v>50</v>
      </c>
      <c r="N69" s="2607">
        <f ca="1">M69/M49</f>
        <v>7.5414781297134234E-2</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5" thickBot="1">
      <c r="A70" s="3592" t="s">
        <v>913</v>
      </c>
      <c r="B70" s="3593"/>
      <c r="C70" s="3593"/>
      <c r="D70" s="3593"/>
      <c r="E70" s="3593"/>
      <c r="F70" s="3593"/>
      <c r="G70" s="3593"/>
      <c r="H70" s="359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4" t="s">
        <v>888</v>
      </c>
      <c r="B71" s="3595"/>
      <c r="C71" s="3448"/>
      <c r="D71" s="344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f ca="1">ROUND(D45/(1+'数据-取费表'!C42),0)</f>
        <v>631</v>
      </c>
      <c r="D72" s="1874" t="s">
        <v>124</v>
      </c>
      <c r="E72" s="3449"/>
      <c r="F72" s="3450"/>
      <c r="G72" s="345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f ca="1">C74+C78</f>
        <v>806</v>
      </c>
      <c r="D73" s="1874" t="s">
        <v>124</v>
      </c>
      <c r="E73" s="3449"/>
      <c r="F73" s="3450"/>
      <c r="G73" s="345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3449"/>
      <c r="F74" s="3450"/>
      <c r="G74" s="345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96" t="s">
        <v>923</v>
      </c>
      <c r="F76" s="3597"/>
      <c r="G76" s="3597"/>
      <c r="H76" s="3598"/>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3452" t="s">
        <v>926</v>
      </c>
      <c r="F77" s="2557"/>
      <c r="G77" s="2558" t="s">
        <v>2854</v>
      </c>
      <c r="H77" s="3451"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f ca="1">ROUND(D45*D78/(1+'数据-取费表'!C42),0)</f>
        <v>3</v>
      </c>
      <c r="D78" s="2560">
        <f>'数据-取费表'!B43</f>
        <v>5.000000000000001E-3</v>
      </c>
      <c r="E78" s="3574" t="s">
        <v>928</v>
      </c>
      <c r="F78" s="3575"/>
      <c r="G78" s="3575"/>
      <c r="H78" s="3576"/>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f ca="1">C72-C73</f>
        <v>-175</v>
      </c>
      <c r="D79" s="1874" t="s">
        <v>124</v>
      </c>
      <c r="E79" s="3449"/>
      <c r="F79" s="3450"/>
      <c r="G79" s="345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f ca="1">IF(C79&lt;=0,0,C79/C73)</f>
        <v>0</v>
      </c>
      <c r="D80" s="1874" t="s">
        <v>124</v>
      </c>
      <c r="E80" s="3452"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75" thickBot="1">
      <c r="A81" s="2537" t="s">
        <v>931</v>
      </c>
      <c r="B81" s="2538" t="s">
        <v>932</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5" thickBot="1">
      <c r="A83" s="3592" t="s">
        <v>933</v>
      </c>
      <c r="B83" s="3593"/>
      <c r="C83" s="3593"/>
      <c r="D83" s="3593"/>
      <c r="E83" s="3593"/>
      <c r="F83" s="3593"/>
      <c r="G83" s="3593"/>
      <c r="H83" s="3593"/>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4" t="s">
        <v>888</v>
      </c>
      <c r="B84" s="3595"/>
      <c r="C84" s="3448"/>
      <c r="D84" s="344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f ca="1">ROUND(D45/(1+'数据-取费表'!C42),0)</f>
        <v>631</v>
      </c>
      <c r="D85" s="1874" t="s">
        <v>124</v>
      </c>
      <c r="E85" s="3449"/>
      <c r="F85" s="3450"/>
      <c r="G85" s="345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f ca="1">IF(H88="仅含出让金",C87+C90+C91+C92+C93+C94,C87+C91+C92+C93+C94)</f>
        <v>3</v>
      </c>
      <c r="D86" s="2575"/>
      <c r="E86" s="3449"/>
      <c r="F86" s="3450"/>
      <c r="G86" s="345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3445"/>
      <c r="F87" s="3446"/>
      <c r="G87" s="3446"/>
      <c r="H87" s="3447"/>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3446"/>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3446"/>
      <c r="G89" s="3446"/>
      <c r="H89" s="3447"/>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3446"/>
      <c r="G90" s="3606" t="s">
        <v>941</v>
      </c>
      <c r="H90" s="3607"/>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574" t="s">
        <v>945</v>
      </c>
      <c r="F91" s="3575"/>
      <c r="G91" s="3575"/>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574" t="s">
        <v>948</v>
      </c>
      <c r="F92" s="3575"/>
      <c r="G92" s="3575"/>
      <c r="H92" s="3576"/>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f ca="1">ROUND(D45*D93/(1+'数据-取费表'!C42),0)</f>
        <v>3</v>
      </c>
      <c r="D93" s="2560">
        <f>'数据-取费表'!B43</f>
        <v>5.000000000000001E-3</v>
      </c>
      <c r="E93" s="3574" t="s">
        <v>928</v>
      </c>
      <c r="F93" s="3575"/>
      <c r="G93" s="3575"/>
      <c r="H93" s="3576"/>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577" t="s">
        <v>953</v>
      </c>
      <c r="F94" s="3578"/>
      <c r="G94" s="3578"/>
      <c r="H94" s="3579"/>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f ca="1">ROUND(C85-C86,0)</f>
        <v>628</v>
      </c>
      <c r="D95" s="1874" t="s">
        <v>124</v>
      </c>
      <c r="E95" s="3449"/>
      <c r="F95" s="3450"/>
      <c r="G95" s="345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f ca="1">IF(C95&lt;=0,0,C95/C86)</f>
        <v>209.33333333333334</v>
      </c>
      <c r="D96" s="1874" t="s">
        <v>124</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75" thickBot="1">
      <c r="A97" s="2537" t="s">
        <v>931</v>
      </c>
      <c r="B97" s="2538" t="s">
        <v>932</v>
      </c>
      <c r="C97" s="2565">
        <f ca="1">ROUND(IF(C95&lt;=0,0,IF(C96&gt;=200%,C95*60%-C86*35%,IF(C96&gt;=100%,C95*50%-C86*15%,IF(C96&gt;=50%,C95*40%-C86*5%,IF(C96&lt;50%,C95*30%,0))))),0)</f>
        <v>376</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thickBot="1">
      <c r="A99" s="2449" t="s">
        <v>954</v>
      </c>
      <c r="B99" s="2361"/>
      <c r="C99" s="2361"/>
      <c r="D99" s="2361"/>
      <c r="E99" s="2487"/>
      <c r="F99" s="2487"/>
      <c r="G99" s="2487"/>
      <c r="H99" s="2447"/>
      <c r="I99" s="604"/>
    </row>
    <row r="100" spans="1:35" ht="18.75" customHeight="1">
      <c r="A100" s="3552" t="s">
        <v>955</v>
      </c>
      <c r="B100" s="3553"/>
      <c r="C100" s="3553"/>
      <c r="D100" s="3580"/>
      <c r="E100" s="3553" t="s">
        <v>956</v>
      </c>
      <c r="F100" s="3553"/>
      <c r="G100" s="3553"/>
      <c r="H100" s="3580"/>
      <c r="I100" s="604"/>
    </row>
    <row r="101" spans="1:35" ht="18.75" customHeight="1">
      <c r="A101" s="3581" t="s">
        <v>957</v>
      </c>
      <c r="B101" s="3582"/>
      <c r="C101" s="2584" t="str">
        <f>C4</f>
        <v>成本法-207</v>
      </c>
      <c r="D101" s="2585" t="str">
        <f>D4</f>
        <v>收益法-207</v>
      </c>
      <c r="E101" s="3605" t="s">
        <v>958</v>
      </c>
      <c r="F101" s="3600"/>
      <c r="G101" s="2587" t="s">
        <v>959</v>
      </c>
      <c r="H101" s="2588">
        <f ca="1">H118</f>
        <v>663</v>
      </c>
      <c r="I101" s="604"/>
    </row>
    <row r="102" spans="1:35" ht="18.75" customHeight="1">
      <c r="A102" s="3565" t="s">
        <v>960</v>
      </c>
      <c r="B102" s="2589" t="s">
        <v>959</v>
      </c>
      <c r="C102" s="2584">
        <f ca="1">IF(D32="楼面单价",ROUND(C19,0),C19)</f>
        <v>859</v>
      </c>
      <c r="D102" s="2585">
        <f ca="1">IF(D32="楼面单价",ROUND(D19,0),D19)</f>
        <v>533</v>
      </c>
      <c r="E102" s="3605"/>
      <c r="F102" s="3600"/>
      <c r="G102" s="2587" t="s">
        <v>99</v>
      </c>
      <c r="H102" s="2476">
        <f ca="1">I118</f>
        <v>19875</v>
      </c>
      <c r="I102" s="604"/>
    </row>
    <row r="103" spans="1:35" ht="42.75" customHeight="1">
      <c r="A103" s="3565"/>
      <c r="B103" s="2589" t="s">
        <v>99</v>
      </c>
      <c r="C103" s="2590">
        <f ca="1">C20</f>
        <v>25735</v>
      </c>
      <c r="D103" s="2591">
        <f ca="1">D20</f>
        <v>15969</v>
      </c>
      <c r="E103" s="3583" t="s">
        <v>961</v>
      </c>
      <c r="F103" s="3584"/>
      <c r="G103" s="2592" t="s">
        <v>102</v>
      </c>
      <c r="H103" s="2588">
        <f>IF(D36="正常操作",H104+H105+H106,H105+H106)</f>
        <v>0</v>
      </c>
      <c r="I103" s="604"/>
    </row>
    <row r="104" spans="1:35" ht="18.75" customHeight="1">
      <c r="A104" s="3565" t="s">
        <v>962</v>
      </c>
      <c r="B104" s="2593" t="s">
        <v>959</v>
      </c>
      <c r="C104" s="2594">
        <f ca="1">H118</f>
        <v>663</v>
      </c>
      <c r="D104" s="2595"/>
      <c r="E104" s="2432" t="s">
        <v>963</v>
      </c>
      <c r="F104" s="2596"/>
      <c r="G104" s="2592" t="s">
        <v>102</v>
      </c>
      <c r="H104" s="2597">
        <f>IF(D36="同一抵押权人同一抵押物续贷",C36&amp;"（续贷，未扣减，详见特别提示）",C36)</f>
        <v>0</v>
      </c>
      <c r="I104" s="604"/>
    </row>
    <row r="105" spans="1:35" ht="18.75" customHeight="1" thickBot="1">
      <c r="A105" s="3566"/>
      <c r="B105" s="2598" t="s">
        <v>99</v>
      </c>
      <c r="C105" s="2599">
        <f ca="1">I118</f>
        <v>19875</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599" t="str">
        <f>IF(项目基本情况!E8="已注销","——","3.房地产抵押价值")</f>
        <v>3.房地产抵押价值</v>
      </c>
      <c r="F107" s="3600"/>
      <c r="G107" s="2587" t="s">
        <v>959</v>
      </c>
      <c r="H107" s="2588">
        <f ca="1">IF(E107="——","——",H101-H103)</f>
        <v>663</v>
      </c>
      <c r="I107" s="604"/>
    </row>
    <row r="108" spans="1:35" ht="18.75" customHeight="1">
      <c r="A108" s="604"/>
      <c r="B108" s="604"/>
      <c r="C108" s="604"/>
      <c r="D108" s="604">
        <f ca="1">ROUND(H108*B118,0)</f>
        <v>6634275</v>
      </c>
      <c r="E108" s="3599"/>
      <c r="F108" s="3600"/>
      <c r="G108" s="2587" t="s">
        <v>99</v>
      </c>
      <c r="H108" s="2476">
        <f ca="1">IF(H107=H101,H102,ROUND(H107*10000/'数据-汇总表'!E3,0))</f>
        <v>19875</v>
      </c>
      <c r="I108" s="604"/>
    </row>
    <row r="109" spans="1:35" ht="18.75" customHeight="1">
      <c r="A109" s="604"/>
      <c r="B109" s="604"/>
      <c r="C109" s="604"/>
      <c r="D109" s="604"/>
      <c r="E109" s="3599" t="str">
        <f>IF(项目基本情况!E8="已注销及未注销","4.抵押担保权已注销时的房地产抵押价值",IF(项目基本情况!E8="已注销","3.抵押担保权已注销时的房地产抵押价值","——"))</f>
        <v>——</v>
      </c>
      <c r="F109" s="3600"/>
      <c r="G109" s="2587" t="s">
        <v>959</v>
      </c>
      <c r="H109" s="2603" t="str">
        <f>IF(E109="——","——",H101-H105-H106)</f>
        <v>——</v>
      </c>
      <c r="I109" s="604"/>
    </row>
    <row r="110" spans="1:35" ht="18.75" customHeight="1">
      <c r="A110" s="604"/>
      <c r="B110" s="604"/>
      <c r="C110" s="604"/>
      <c r="D110" s="604"/>
      <c r="E110" s="3599"/>
      <c r="F110" s="3600"/>
      <c r="G110" s="2587" t="s">
        <v>99</v>
      </c>
      <c r="H110" s="2476" t="str">
        <f>IF(H109="——","——",ROUND(H109*10000/'数据-汇总表'!E3,0))</f>
        <v>——</v>
      </c>
      <c r="I110" s="604"/>
    </row>
    <row r="111" spans="1:35" ht="18.75" customHeight="1">
      <c r="A111" s="604"/>
      <c r="B111" s="604"/>
      <c r="C111" s="604"/>
      <c r="D111" s="604"/>
      <c r="E111" s="3601" t="str">
        <f>IF(项目基本情况!E9="抵押净值",IF(OR(项目基本情况!E8="已注销",项目基本情况!E8="房地产抵押价值"),"4.抵押净值","5.抵押净值"),"——")</f>
        <v>——</v>
      </c>
      <c r="F111" s="3602"/>
      <c r="G111" s="2587" t="s">
        <v>959</v>
      </c>
      <c r="H111" s="2588" t="str">
        <f>IF(E111="——","——",N59)</f>
        <v>——</v>
      </c>
      <c r="I111" s="604"/>
    </row>
    <row r="112" spans="1:35" ht="18.75" customHeight="1" thickBot="1">
      <c r="A112" s="604"/>
      <c r="B112" s="604"/>
      <c r="C112" s="604"/>
      <c r="D112" s="604"/>
      <c r="E112" s="3603"/>
      <c r="F112" s="3604"/>
      <c r="G112" s="2604" t="s">
        <v>99</v>
      </c>
      <c r="H112" s="2605" t="str">
        <f>IF(E111="——","——",N61)</f>
        <v>——</v>
      </c>
      <c r="I112" s="604"/>
    </row>
    <row r="113" spans="1:27" ht="18.75" customHeight="1">
      <c r="A113" s="604"/>
      <c r="B113" s="604"/>
      <c r="C113" s="604"/>
      <c r="D113" s="604"/>
      <c r="E113" s="3585" t="s">
        <v>965</v>
      </c>
      <c r="F113" s="3585"/>
      <c r="G113" s="3585"/>
      <c r="H113" s="3585"/>
      <c r="I113" s="604"/>
    </row>
    <row r="114" spans="1:27" ht="3.75" customHeight="1">
      <c r="A114" s="2361"/>
      <c r="B114" s="2361"/>
      <c r="C114" s="2361"/>
      <c r="D114" s="2361"/>
      <c r="E114" s="2486"/>
      <c r="F114" s="2486"/>
      <c r="G114" s="2486"/>
      <c r="H114" s="2486"/>
      <c r="I114" s="2361"/>
    </row>
    <row r="115" spans="1:27" ht="18.75" customHeight="1">
      <c r="A115" s="3586" t="s">
        <v>967</v>
      </c>
      <c r="B115" s="3587"/>
      <c r="C115" s="3587"/>
      <c r="D115" s="3587"/>
      <c r="E115" s="3587"/>
      <c r="F115" s="3587"/>
      <c r="G115" s="3587"/>
      <c r="H115" s="3587"/>
      <c r="I115" s="3588"/>
    </row>
    <row r="116" spans="1:27" ht="27" customHeight="1">
      <c r="A116" s="3559" t="s">
        <v>968</v>
      </c>
      <c r="B116" s="3568" t="s">
        <v>969</v>
      </c>
      <c r="C116" s="3568" t="s">
        <v>970</v>
      </c>
      <c r="D116" s="3589" t="s">
        <v>971</v>
      </c>
      <c r="E116" s="3590"/>
      <c r="F116" s="3591" t="s">
        <v>972</v>
      </c>
      <c r="G116" s="3591"/>
      <c r="H116" s="3559" t="s">
        <v>973</v>
      </c>
      <c r="I116" s="3559"/>
    </row>
    <row r="117" spans="1:27" ht="18.75" customHeight="1">
      <c r="A117" s="3559"/>
      <c r="B117" s="3569"/>
      <c r="C117" s="3569"/>
      <c r="D117" s="3444" t="s">
        <v>974</v>
      </c>
      <c r="E117" s="3444" t="s">
        <v>803</v>
      </c>
      <c r="F117" s="3444" t="s">
        <v>974</v>
      </c>
      <c r="G117" s="3444" t="s">
        <v>803</v>
      </c>
      <c r="H117" s="3444" t="s">
        <v>974</v>
      </c>
      <c r="I117" s="3444" t="s">
        <v>803</v>
      </c>
    </row>
    <row r="118" spans="1:27" ht="24.75" customHeight="1">
      <c r="A118" s="2606" t="str">
        <f>项目基本情况!S2</f>
        <v>北京市房地产</v>
      </c>
      <c r="B118" s="3444">
        <f>M18</f>
        <v>333.8</v>
      </c>
      <c r="C118" s="3444">
        <f>M19</f>
        <v>0</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663</v>
      </c>
      <c r="I118" s="3444">
        <f ca="1">ROUND(IF(D32="楼面单价",C32,H118*10000/B118),0)</f>
        <v>19875</v>
      </c>
    </row>
    <row r="119" spans="1:27" ht="18.75" customHeight="1">
      <c r="A119" s="3559" t="s">
        <v>975</v>
      </c>
      <c r="B119" s="3559"/>
      <c r="C119" s="3559"/>
      <c r="D119" s="3571" t="str">
        <f>NUMBERSTRING(INT(D118*10000),2)&amp;"元整"</f>
        <v>零元整</v>
      </c>
      <c r="E119" s="3573"/>
      <c r="F119" s="3571" t="str">
        <f>NUMBERSTRING(INT(F118*10000),2)&amp;"元整"</f>
        <v>零元整</v>
      </c>
      <c r="G119" s="3573"/>
      <c r="H119" s="3571" t="str">
        <f ca="1">NUMBERSTRING(INT(H118*10000),2)&amp;"元整"</f>
        <v>陆佰陆拾叁万元整</v>
      </c>
      <c r="I119" s="3573"/>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71" t="s">
        <v>975</v>
      </c>
      <c r="B121" s="3572"/>
      <c r="C121" s="3573"/>
      <c r="D121" s="3571" t="str">
        <f>IF(D120=0,"零元整",NUMBERSTRING(INT(D120*10000),2)&amp;"元整")</f>
        <v>零元整</v>
      </c>
      <c r="E121" s="3572"/>
      <c r="F121" s="3572"/>
      <c r="G121" s="3572"/>
      <c r="H121" s="3572"/>
      <c r="I121" s="3573"/>
      <c r="AA121" s="561"/>
    </row>
    <row r="122" spans="1:27" ht="18.75" customHeight="1">
      <c r="A122" s="3602" t="str">
        <f>IF(项目基本情况!B9="房地产市场价值","",MID(E107,3,LEN(E107)-2))</f>
        <v>房地产抵押价值</v>
      </c>
      <c r="B122" s="3602"/>
      <c r="C122" s="3602"/>
      <c r="D122" s="3608">
        <f ca="1">H107</f>
        <v>663</v>
      </c>
      <c r="E122" s="3609"/>
      <c r="F122" s="3609"/>
      <c r="G122" s="3609"/>
      <c r="H122" s="3609"/>
      <c r="I122" s="3610"/>
      <c r="AA122" s="561"/>
    </row>
    <row r="123" spans="1:27" ht="18.75" customHeight="1">
      <c r="A123" s="3559" t="s">
        <v>975</v>
      </c>
      <c r="B123" s="3559"/>
      <c r="C123" s="3559"/>
      <c r="D123" s="3571" t="str">
        <f ca="1">NUMBERSTRING(INT(D122*10000),2)&amp;"元整"</f>
        <v>陆佰陆拾叁万元整</v>
      </c>
      <c r="E123" s="3572"/>
      <c r="F123" s="3572"/>
      <c r="G123" s="3572"/>
      <c r="H123" s="3572"/>
      <c r="I123" s="3573"/>
      <c r="AA123" s="561"/>
    </row>
    <row r="124" spans="1:27" ht="18.75" customHeight="1">
      <c r="A124" s="3602" t="str">
        <f>IF(项目基本情况!B9="房地产市场价值","",MID(E109,3,LEN(E109)-2))</f>
        <v/>
      </c>
      <c r="B124" s="3602"/>
      <c r="C124" s="3602"/>
      <c r="D124" s="3608" t="str">
        <f>H109</f>
        <v>——</v>
      </c>
      <c r="E124" s="3609"/>
      <c r="F124" s="3609"/>
      <c r="G124" s="3609"/>
      <c r="H124" s="3609"/>
      <c r="I124" s="3610"/>
      <c r="AA124" s="561"/>
    </row>
    <row r="125" spans="1:27" ht="18.75" customHeight="1">
      <c r="A125" s="3559" t="s">
        <v>975</v>
      </c>
      <c r="B125" s="3559"/>
      <c r="C125" s="3559"/>
      <c r="D125" s="3571" t="e">
        <f>NUMBERSTRING(INT(D124*10000),2)&amp;"元整"</f>
        <v>#VALUE!</v>
      </c>
      <c r="E125" s="3572"/>
      <c r="F125" s="3572"/>
      <c r="G125" s="3572"/>
      <c r="H125" s="3572"/>
      <c r="I125" s="3573"/>
      <c r="AA125" s="561"/>
    </row>
    <row r="126" spans="1:27" ht="18.75" customHeight="1">
      <c r="A126" s="3602" t="str">
        <f>IF(项目基本情况!B9="房地产市场价值","",MID(E111,3,LEN(E111)-2))</f>
        <v/>
      </c>
      <c r="B126" s="3602"/>
      <c r="C126" s="3602"/>
      <c r="D126" s="3608" t="str">
        <f>H111</f>
        <v>——</v>
      </c>
      <c r="E126" s="3609"/>
      <c r="F126" s="3609"/>
      <c r="G126" s="3609"/>
      <c r="H126" s="3609"/>
      <c r="I126" s="3610"/>
      <c r="AA126" s="561"/>
    </row>
    <row r="127" spans="1:27" ht="18.75" customHeight="1">
      <c r="A127" s="3559" t="s">
        <v>975</v>
      </c>
      <c r="B127" s="3559"/>
      <c r="C127" s="3559"/>
      <c r="D127" s="3571" t="e">
        <f>NUMBERSTRING(INT(D126*10000),2)&amp;"元整"</f>
        <v>#VALUE!</v>
      </c>
      <c r="E127" s="3572"/>
      <c r="F127" s="3572"/>
      <c r="G127" s="3572"/>
      <c r="H127" s="3572"/>
      <c r="I127" s="3573"/>
      <c r="AA127" s="561"/>
    </row>
    <row r="128" spans="1:27" ht="21.75" customHeight="1">
      <c r="A128" s="3558" t="s">
        <v>113</v>
      </c>
      <c r="B128" s="3558"/>
      <c r="C128" s="3558"/>
      <c r="D128" s="3558"/>
      <c r="E128" s="3558"/>
      <c r="F128" s="3558"/>
      <c r="G128" s="3558"/>
      <c r="H128" s="3558"/>
      <c r="I128" s="3558"/>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2" type="noConversion"/>
  <conditionalFormatting sqref="E36">
    <cfRule type="expression" dxfId="131" priority="1" stopIfTrue="1">
      <formula>$D$36="同一抵押权人同一抵押物续贷"</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D14:D16">
    <cfRule type="cellIs" dxfId="123" priority="4" stopIfTrue="1" operator="equal">
      <formula>30</formula>
    </cfRule>
  </conditionalFormatting>
  <conditionalFormatting sqref="C10:D13">
    <cfRule type="cellIs" dxfId="12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tabSelected="1"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1766</v>
      </c>
      <c r="C1" s="2341" t="s">
        <v>1083</v>
      </c>
      <c r="D1" s="378"/>
      <c r="E1" s="378"/>
      <c r="F1" s="378"/>
      <c r="G1" s="2342">
        <f>MATCH(B1,'数据-取费表'!A6:A16,0)+5</f>
        <v>6</v>
      </c>
      <c r="H1" s="1327" t="str">
        <f>IF(ISERROR(FIND("住宅",B1)),"非住宅","住宅")</f>
        <v>非住宅</v>
      </c>
    </row>
    <row r="2" spans="1:8" s="368" customFormat="1" ht="18" customHeight="1">
      <c r="A2" s="380" t="s">
        <v>984</v>
      </c>
      <c r="B2" s="2343">
        <f ca="1">ROUND(IF(D2="——",C52/10000,C52/10000-E2),4)</f>
        <v>859.02700000000004</v>
      </c>
      <c r="C2" s="379" t="s">
        <v>985</v>
      </c>
      <c r="D2" s="2344" t="s">
        <v>124</v>
      </c>
      <c r="E2" s="2345" t="e">
        <f ca="1">SUMIF(INDIRECT("'"&amp;G2&amp;"'"&amp;"!A:A"),"承租人权益价值",INDIRECT("'"&amp;G2&amp;"'"&amp;"!c:c"))</f>
        <v>#REF!</v>
      </c>
      <c r="F2" s="2346" t="s">
        <v>985</v>
      </c>
      <c r="G2" s="2347"/>
    </row>
    <row r="3" spans="1:8" s="368" customFormat="1" ht="18" customHeight="1">
      <c r="A3" s="383" t="s">
        <v>986</v>
      </c>
      <c r="B3" s="384">
        <f ca="1">ROUND(B2*10000/(IF(B1="",'数据-汇总表'!E3,INDIRECT("'数据-取费表'!k"&amp;$G$1))),0)</f>
        <v>25735</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5347555</v>
      </c>
      <c r="D5" s="390" t="s">
        <v>991</v>
      </c>
      <c r="E5" s="391" t="s">
        <v>992</v>
      </c>
      <c r="F5" s="391" t="s">
        <v>889</v>
      </c>
      <c r="G5" s="392"/>
    </row>
    <row r="6" spans="1:8" s="370" customFormat="1" ht="13.5" customHeight="1">
      <c r="A6" s="393" t="s">
        <v>993</v>
      </c>
      <c r="B6" s="394" t="s">
        <v>994</v>
      </c>
      <c r="C6" s="395">
        <f>ROUND(基准地价修正!T3*基准地价修正!U3,0)</f>
        <v>5124498</v>
      </c>
      <c r="D6" s="396"/>
      <c r="E6" s="397"/>
      <c r="F6" s="397"/>
      <c r="G6" s="398"/>
    </row>
    <row r="7" spans="1:8" s="370" customFormat="1" ht="13.5" customHeight="1">
      <c r="A7" s="393" t="s">
        <v>995</v>
      </c>
      <c r="B7" s="394" t="s">
        <v>996</v>
      </c>
      <c r="C7" s="399">
        <f>ROUND(C6*F7,0)</f>
        <v>156297</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66760</v>
      </c>
      <c r="D8" s="401"/>
      <c r="E8" s="399"/>
      <c r="F8" s="400"/>
      <c r="G8" s="2348"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66760</v>
      </c>
      <c r="D10" s="406">
        <f ca="1">IF(B1="",'数据-汇总表'!E6,IF(INDIRECT("'数据-取费表'!c"&amp;$G$1)="住宅",INDIRECT("'数据-取费表'!s"&amp;$G$1),INDIRECT("'数据-取费表'!k"&amp;$G$1)+INDIRECT("'数据-取费表'!s"&amp;$G$1)))</f>
        <v>333.8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333.8</v>
      </c>
      <c r="E19" s="390">
        <f>'数据-取费表'!B31</f>
        <v>200</v>
      </c>
      <c r="F19" s="415"/>
      <c r="G19" s="2348" t="s">
        <v>1024</v>
      </c>
    </row>
    <row r="20" spans="1:7" s="370" customFormat="1" ht="13.5" customHeight="1">
      <c r="A20" s="388" t="s">
        <v>1025</v>
      </c>
      <c r="B20" s="389" t="s">
        <v>1026</v>
      </c>
      <c r="C20" s="416">
        <f ca="1">ROUND((C5+C19)*F20,0)</f>
        <v>106951</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f ca="1">ROUND(SUM(C23:C25),0)</f>
        <v>367870</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f ca="1">ROUND(IF('数据-取费表'!B22&lt;=1,C5*F22*'数据-取费表'!B22,C5*(POWER((1+F22),'数据-取费表'!B22)-1)),0)</f>
        <v>364287</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f ca="1">ROUND(IF('数据-取费表'!B22&lt;=1,C20*F22*'数据-取费表'!B22/2,C20*(POWER((1+F22),'数据-取费表'!B22/2)-1)),0)</f>
        <v>3583</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818176</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818176</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7187522</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1293475</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1168300</v>
      </c>
      <c r="D34" s="396"/>
      <c r="E34" s="399"/>
      <c r="F34" s="445"/>
      <c r="G34" s="398"/>
    </row>
    <row r="35" spans="1:7" ht="13.5" customHeight="1">
      <c r="A35" s="424" t="s">
        <v>995</v>
      </c>
      <c r="B35" s="394" t="s">
        <v>1056</v>
      </c>
      <c r="C35" s="399">
        <f ca="1">ROUND(C34*F35,0)</f>
        <v>35049</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66760</v>
      </c>
      <c r="D37" s="396">
        <f ca="1">D19</f>
        <v>333.8</v>
      </c>
      <c r="E37" s="437">
        <f>'数据-取费表'!B35</f>
        <v>200</v>
      </c>
      <c r="F37" s="446"/>
      <c r="G37" s="448"/>
    </row>
    <row r="38" spans="1:7" ht="13.5" customHeight="1">
      <c r="A38" s="424" t="s">
        <v>1062</v>
      </c>
      <c r="B38" s="394" t="s">
        <v>925</v>
      </c>
      <c r="C38" s="399">
        <f ca="1">ROUND(C34*F38,0)</f>
        <v>23366</v>
      </c>
      <c r="D38" s="399"/>
      <c r="E38" s="399"/>
      <c r="F38" s="446">
        <f>'数据-取费表'!B36</f>
        <v>0.02</v>
      </c>
      <c r="G38" s="398" t="s">
        <v>1057</v>
      </c>
    </row>
    <row r="39" spans="1:7" s="370" customFormat="1" ht="13.5" customHeight="1">
      <c r="A39" s="388" t="s">
        <v>1022</v>
      </c>
      <c r="B39" s="389" t="s">
        <v>1026</v>
      </c>
      <c r="C39" s="416">
        <f ca="1">ROUND(C33*F20,0)</f>
        <v>25870</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44198</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43331</v>
      </c>
      <c r="D42" s="426"/>
      <c r="E42" s="426"/>
      <c r="F42" s="427"/>
      <c r="G42" s="3652" t="s">
        <v>1086</v>
      </c>
    </row>
    <row r="43" spans="1:7" ht="13.5" customHeight="1">
      <c r="A43" s="424" t="s">
        <v>995</v>
      </c>
      <c r="B43" s="394" t="s">
        <v>1036</v>
      </c>
      <c r="C43" s="426">
        <f ca="1">ROUND(IF('数据-取费表'!B22&lt;=1,C39*F22*'数据-取费表'!B20/2,C39*(POWER((1+F22),'数据-取费表'!B20/2)-1)),0)</f>
        <v>867</v>
      </c>
      <c r="D43" s="426"/>
      <c r="E43" s="426"/>
      <c r="F43" s="427"/>
      <c r="G43" s="3653"/>
    </row>
    <row r="44" spans="1:7" ht="13.5" customHeight="1">
      <c r="A44" s="424" t="s">
        <v>997</v>
      </c>
      <c r="B44" s="394" t="s">
        <v>1038</v>
      </c>
      <c r="C44" s="426">
        <f ca="1">ROUND(IF('数据-取费表'!B22&lt;=1,C40*F22*'数据-取费表'!B20/2,C40*(POWER((1+F22),'数据-取费表'!B20/2)-1)),4)</f>
        <v>6.9999999999999999E-4</v>
      </c>
      <c r="D44" s="426"/>
      <c r="E44" s="426"/>
      <c r="F44" s="427"/>
      <c r="G44" s="3654"/>
    </row>
    <row r="45" spans="1:7" s="370" customFormat="1" ht="13.5" customHeight="1">
      <c r="A45" s="388" t="s">
        <v>1032</v>
      </c>
      <c r="B45" s="432" t="s">
        <v>1043</v>
      </c>
      <c r="C45" s="433">
        <f ca="1">C46</f>
        <v>197902</v>
      </c>
      <c r="D45" s="419">
        <f ca="1">C47</f>
        <v>3.0000000000000001E-3</v>
      </c>
      <c r="E45" s="420" t="s">
        <v>1064</v>
      </c>
      <c r="F45" s="434">
        <f ca="1">F27</f>
        <v>0.15</v>
      </c>
      <c r="G45" s="435" t="s">
        <v>1067</v>
      </c>
    </row>
    <row r="46" spans="1:7" s="370" customFormat="1" ht="13.5" customHeight="1">
      <c r="A46" s="424" t="s">
        <v>993</v>
      </c>
      <c r="B46" s="436" t="s">
        <v>1068</v>
      </c>
      <c r="C46" s="437">
        <f ca="1">ROUND((C33+C39)*F27,0)</f>
        <v>197902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1690058</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1402748</v>
      </c>
      <c r="D51" s="416"/>
      <c r="E51" s="416"/>
      <c r="F51" s="451"/>
      <c r="G51" s="421" t="s">
        <v>1078</v>
      </c>
    </row>
    <row r="52" spans="1:7" s="369" customFormat="1" ht="15.75">
      <c r="A52" s="452" t="s">
        <v>1079</v>
      </c>
      <c r="B52" s="453"/>
      <c r="C52" s="454">
        <f ca="1">C31+C51</f>
        <v>8590270</v>
      </c>
      <c r="D52" s="453"/>
      <c r="E52" s="453"/>
      <c r="F52" s="453"/>
      <c r="G52" s="455"/>
    </row>
    <row r="55" spans="1:7" ht="15">
      <c r="B55" s="456" t="s">
        <v>1080</v>
      </c>
      <c r="C55" s="457"/>
    </row>
    <row r="56" spans="1:7">
      <c r="B56" s="458" t="s">
        <v>1081</v>
      </c>
      <c r="C56" s="460">
        <f ca="1">1-C57</f>
        <v>0.83699999999999997</v>
      </c>
    </row>
    <row r="57" spans="1:7">
      <c r="B57" s="458" t="s">
        <v>1082</v>
      </c>
      <c r="C57" s="459">
        <f ca="1">ROUND(C51/C52,3)</f>
        <v>0.16300000000000001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H7" sqref="H7"/>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333.8</v>
      </c>
      <c r="E1" s="1867"/>
      <c r="F1" s="1867"/>
      <c r="G1" s="1867"/>
      <c r="H1" s="1867"/>
      <c r="I1" s="1867"/>
      <c r="J1" s="1867"/>
      <c r="K1" s="1860"/>
      <c r="L1" s="2062" t="s">
        <v>1334</v>
      </c>
      <c r="M1" s="2063">
        <f>SUMPRODUCT((区片价!B5:B9=I2)*(区片价!C3:G3=E2)*(区片价!C5:G9))</f>
        <v>0</v>
      </c>
      <c r="N1" s="2064">
        <f>SUMPRODUCT((因素修正幅度!B5:B9=I2)*(因素修正幅度!C3:G3=E2)*(因素修正幅度!C5:G9))</f>
        <v>0</v>
      </c>
      <c r="O1" s="1861"/>
      <c r="P1" s="1861"/>
      <c r="Q1" s="1860"/>
      <c r="R1" s="2154" t="s">
        <v>1335</v>
      </c>
      <c r="S1" s="2154" t="s">
        <v>1336</v>
      </c>
      <c r="T1" s="2154" t="s">
        <v>1337</v>
      </c>
      <c r="U1" s="2154" t="s">
        <v>1338</v>
      </c>
      <c r="V1" s="2154" t="s">
        <v>1339</v>
      </c>
      <c r="W1" s="2155"/>
      <c r="X1" s="2155"/>
      <c r="Y1" s="2155"/>
      <c r="Z1" s="2155"/>
      <c r="AA1" s="2155"/>
      <c r="AB1" s="2155"/>
      <c r="AC1" s="2166"/>
      <c r="AD1" s="2167"/>
      <c r="AE1" s="2167"/>
      <c r="AF1" s="2167"/>
      <c r="AG1" s="2167"/>
      <c r="AH1" s="2167"/>
      <c r="AI1" s="2167"/>
      <c r="AJ1" s="2176"/>
    </row>
    <row r="2" spans="1:36" ht="15.75">
      <c r="A2" s="380" t="s">
        <v>984</v>
      </c>
      <c r="B2" s="384">
        <f>C30</f>
        <v>512</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5"/>
      <c r="K2" s="1860"/>
      <c r="L2" s="2066" t="s">
        <v>1343</v>
      </c>
      <c r="M2" s="2067">
        <f>SUMPRODUCT((区片价!B10:B29=I2)*(区片价!C3:G3=E2)*(区片价!C10:G29))</f>
        <v>0</v>
      </c>
      <c r="N2" s="2064">
        <f>SUMPRODUCT((因素修正幅度!B10:B29=I2)*(因素修正幅度!C3:G3=E2)*(因素修正幅度!C10:G29))</f>
        <v>0</v>
      </c>
      <c r="O2" s="1860"/>
      <c r="P2" s="1860"/>
      <c r="Q2" s="1860"/>
      <c r="R2" s="2154">
        <v>1</v>
      </c>
      <c r="S2" s="2156">
        <f>ROUND(SUMPRODUCT((B106:B110=R2)*(C105:N105=G2)*(C106:N110)),4)</f>
        <v>1.5019</v>
      </c>
      <c r="T2" s="2156">
        <f t="shared" ref="T2:T16" si="0">ROUND($C$5*$C$22*$C$23*$C$24*S2*$C$28,0)</f>
        <v>19477</v>
      </c>
      <c r="U2" s="2157"/>
      <c r="V2" s="2156">
        <f>ROUND(T2*U2/10000,0)</f>
        <v>0</v>
      </c>
      <c r="W2" s="2155"/>
      <c r="X2" s="2155"/>
      <c r="Y2" s="2155"/>
      <c r="Z2" s="2155"/>
      <c r="AA2" s="2155"/>
      <c r="AB2" s="2155"/>
      <c r="AC2" s="2166"/>
      <c r="AD2" s="2167"/>
      <c r="AE2" s="2167"/>
      <c r="AF2" s="2167"/>
      <c r="AG2" s="2167"/>
      <c r="AH2" s="2167"/>
      <c r="AI2" s="2167"/>
      <c r="AJ2" s="2176"/>
    </row>
    <row r="3" spans="1:36" ht="15.75">
      <c r="A3" s="383" t="s">
        <v>986</v>
      </c>
      <c r="B3" s="384">
        <f>ROUND(B2*10000/D1,0)</f>
        <v>15339</v>
      </c>
      <c r="C3" s="1868" t="s">
        <v>987</v>
      </c>
      <c r="D3" s="1869" t="s">
        <v>1344</v>
      </c>
      <c r="E3" s="3467" t="s">
        <v>1897</v>
      </c>
      <c r="F3" s="1872" t="s">
        <v>1346</v>
      </c>
      <c r="G3" s="1873">
        <f>IF(F3="宗地容积率",'数据-汇总表'!I4,IF(F3="估价对象容积率",'数据-汇总表'!I6,'数据-汇总表'!I7))</f>
        <v>1</v>
      </c>
      <c r="H3" s="1874" t="s">
        <v>1347</v>
      </c>
      <c r="I3" s="2068">
        <v>1</v>
      </c>
      <c r="J3" s="2065" t="s">
        <v>1348</v>
      </c>
      <c r="K3" s="1860"/>
      <c r="L3" s="2066" t="s">
        <v>1349</v>
      </c>
      <c r="M3" s="2067">
        <f>SUMPRODUCT((区片价!B30:B54=I2)*(区片价!C3:G3=E2)*(区片价!C30:G54))</f>
        <v>0</v>
      </c>
      <c r="N3" s="2064">
        <f>SUMPRODUCT((因素修正幅度!B30:B54=I2)*(因素修正幅度!C3:G3=E2)*(因素修正幅度!C30:G54))</f>
        <v>0</v>
      </c>
      <c r="O3" s="1860"/>
      <c r="P3" s="1860"/>
      <c r="Q3" s="1860"/>
      <c r="R3" s="2154">
        <v>2</v>
      </c>
      <c r="S3" s="2156">
        <f>ROUND(SUMPRODUCT((B106:B110=R3)*(C105:N105=G2)*(C106:N110)),4)</f>
        <v>1.1838</v>
      </c>
      <c r="T3" s="2156">
        <f t="shared" si="0"/>
        <v>15352</v>
      </c>
      <c r="U3" s="2157">
        <f>'数据-基础表'!I13</f>
        <v>333.8</v>
      </c>
      <c r="V3" s="2156">
        <f t="shared" ref="V3:V16" si="1">ROUND(T3*U3/10000,0)</f>
        <v>512</v>
      </c>
      <c r="W3" s="2155"/>
      <c r="X3" s="2155"/>
      <c r="Y3" s="2155"/>
      <c r="Z3" s="2155"/>
      <c r="AA3" s="2155"/>
      <c r="AB3" s="2155"/>
      <c r="AC3" s="2166"/>
      <c r="AD3" s="2167"/>
      <c r="AE3" s="2167"/>
      <c r="AF3" s="2167"/>
      <c r="AG3" s="2167"/>
      <c r="AH3" s="2167"/>
      <c r="AI3" s="2167"/>
      <c r="AJ3" s="2176"/>
    </row>
    <row r="4" spans="1:36" ht="15.75">
      <c r="A4" s="3721"/>
      <c r="B4" s="3722"/>
      <c r="C4" s="3722"/>
      <c r="D4" s="3723"/>
      <c r="E4" s="3723"/>
      <c r="F4" s="3723"/>
      <c r="G4" s="3723"/>
      <c r="H4" s="3723"/>
      <c r="I4" s="3723"/>
      <c r="J4" s="3724"/>
      <c r="K4" s="1860"/>
      <c r="L4" s="2066" t="s">
        <v>1350</v>
      </c>
      <c r="M4" s="2067">
        <f>SUMPRODUCT((区片价!B55:B86=I2)*(区片价!C3:G3=E2)*(区片价!C55:G86))</f>
        <v>0</v>
      </c>
      <c r="N4" s="2064">
        <f>SUMPRODUCT((因素修正幅度!B55:B86=I2)*(因素修正幅度!C3:G3=E2)*(因素修正幅度!C55:G86))</f>
        <v>0</v>
      </c>
      <c r="O4" s="1860"/>
      <c r="P4" s="1860"/>
      <c r="Q4" s="1860"/>
      <c r="R4" s="2154">
        <v>3</v>
      </c>
      <c r="S4" s="2156">
        <f>ROUND(SUMPRODUCT((B106:B110=R4)*(C105:N105=G2)*(C106:N110)),4)</f>
        <v>1.0004999999999999</v>
      </c>
      <c r="T4" s="2156">
        <f t="shared" si="0"/>
        <v>12975</v>
      </c>
      <c r="U4" s="2157"/>
      <c r="V4" s="2156">
        <f t="shared" si="1"/>
        <v>0</v>
      </c>
      <c r="W4" s="2155"/>
      <c r="X4" s="2155"/>
      <c r="Y4" s="2155"/>
      <c r="Z4" s="2155"/>
      <c r="AA4" s="2155"/>
      <c r="AB4" s="2155"/>
      <c r="AC4" s="2166"/>
      <c r="AD4" s="2167"/>
      <c r="AE4" s="2167"/>
      <c r="AF4" s="2167"/>
      <c r="AG4" s="2167"/>
      <c r="AH4" s="2167"/>
      <c r="AI4" s="2167"/>
      <c r="AJ4" s="2176"/>
    </row>
    <row r="5" spans="1:36" s="1859" customFormat="1" ht="15">
      <c r="A5" s="1875" t="s">
        <v>890</v>
      </c>
      <c r="B5" s="1876" t="s">
        <v>1351</v>
      </c>
      <c r="C5" s="1877">
        <f>ROUND(IF(E2="商业",C6*C7*C17+C20,(IF(E2="住宅",C6*C13*C17+C20,IF(E2="办公",C6*C12*C17+C20,C6+C20)))),0)</f>
        <v>13590</v>
      </c>
      <c r="D5" s="1878">
        <f>ROUND(C6*C17+C20,0)</f>
        <v>13590</v>
      </c>
      <c r="E5" s="1878"/>
      <c r="F5" s="1879"/>
      <c r="G5" s="1880"/>
      <c r="H5" s="1880"/>
      <c r="I5" s="1880"/>
      <c r="J5" s="2069"/>
      <c r="K5" s="2070"/>
      <c r="L5" s="2066" t="s">
        <v>1352</v>
      </c>
      <c r="M5" s="2067">
        <f>SUMPRODUCT((区片价!B87:B126=I2)*(区片价!C3:G3=E2)*(区片价!C87:G126))</f>
        <v>13590</v>
      </c>
      <c r="N5" s="2064">
        <f>SUMPRODUCT((因素修正幅度!B87:B126=I2)*(因素修正幅度!C3:G3=E2)*(因素修正幅度!C87:G126))</f>
        <v>0.1</v>
      </c>
      <c r="O5" s="1860"/>
      <c r="P5" s="1860"/>
      <c r="Q5" s="1860"/>
      <c r="R5" s="2154">
        <v>4</v>
      </c>
      <c r="S5" s="2156">
        <f>ROUND(SUMPRODUCT((B106:B110=R5)*(C105:N105=G2)*(C106:N110)),4)</f>
        <v>0.88239999999999996</v>
      </c>
      <c r="T5" s="2156">
        <f t="shared" si="0"/>
        <v>11443</v>
      </c>
      <c r="U5" s="2157"/>
      <c r="V5" s="2156">
        <f t="shared" si="1"/>
        <v>0</v>
      </c>
      <c r="W5" s="2155"/>
      <c r="X5" s="2155"/>
      <c r="Y5" s="2155"/>
      <c r="Z5" s="2155"/>
      <c r="AA5" s="2155"/>
      <c r="AB5" s="2155"/>
      <c r="AC5" s="2168"/>
      <c r="AD5" s="2169"/>
      <c r="AE5" s="2169"/>
      <c r="AF5" s="2169"/>
      <c r="AG5" s="2169"/>
      <c r="AH5" s="2169"/>
      <c r="AI5" s="2169"/>
      <c r="AJ5" s="2177"/>
    </row>
    <row r="6" spans="1:36" ht="15">
      <c r="A6" s="1881" t="s">
        <v>989</v>
      </c>
      <c r="B6" s="1882" t="s">
        <v>1353</v>
      </c>
      <c r="C6" s="1883">
        <f>SUMIF(L1:L12,G2,M1:M12)</f>
        <v>13590</v>
      </c>
      <c r="D6" s="1884"/>
      <c r="E6" s="1885"/>
      <c r="F6" s="1885"/>
      <c r="G6" s="1886"/>
      <c r="H6" s="1886"/>
      <c r="I6" s="1886"/>
      <c r="J6" s="2071"/>
      <c r="K6" s="1576"/>
      <c r="L6" s="2066" t="s">
        <v>1354</v>
      </c>
      <c r="M6" s="2067">
        <f>SUMPRODUCT((区片价!B127:B189=I2)*(区片价!C3:G3=E2)*(区片价!C127:G189))</f>
        <v>0</v>
      </c>
      <c r="N6" s="2064">
        <f>SUMPRODUCT((因素修正幅度!B127:B189=I2)*(因素修正幅度!C3:G3=E2)*(因素修正幅度!C127:G189))</f>
        <v>0</v>
      </c>
      <c r="O6" s="1860"/>
      <c r="P6" s="1860"/>
      <c r="Q6" s="1860"/>
      <c r="R6" s="2154">
        <v>5</v>
      </c>
      <c r="S6" s="2156">
        <f>ROUND(SUMPRODUCT((B106:B110=R6)*(C105:N105=G2)*(C106:N110)),4)</f>
        <v>0.84799999999999998</v>
      </c>
      <c r="T6" s="2156">
        <f t="shared" si="0"/>
        <v>10997</v>
      </c>
      <c r="U6" s="2157"/>
      <c r="V6" s="2156">
        <f t="shared" si="1"/>
        <v>0</v>
      </c>
      <c r="W6" s="2155"/>
      <c r="X6" s="2155"/>
      <c r="Y6" s="2155"/>
      <c r="Z6" s="2155"/>
      <c r="AA6" s="2155"/>
      <c r="AB6" s="2155"/>
      <c r="AC6" s="2168"/>
      <c r="AD6" s="2169"/>
      <c r="AE6" s="2169"/>
      <c r="AF6" s="2169"/>
      <c r="AG6" s="2169"/>
      <c r="AH6" s="2169"/>
      <c r="AI6" s="2169"/>
      <c r="AJ6" s="2177"/>
    </row>
    <row r="7" spans="1:36" ht="24">
      <c r="A7" s="1887" t="s">
        <v>1355</v>
      </c>
      <c r="B7" s="1888" t="s">
        <v>1356</v>
      </c>
      <c r="C7" s="1889">
        <f>IF(C8="不临65条商业街",1,ROUND(1+(1.6*E8+1.2*E9+0.8*E10+0.4*E11)*C9,4))</f>
        <v>1</v>
      </c>
      <c r="D7" s="1890" t="s">
        <v>1357</v>
      </c>
      <c r="E7" s="1891"/>
      <c r="F7" s="1892"/>
      <c r="G7" s="1893"/>
      <c r="H7" s="1893"/>
      <c r="I7" s="1893"/>
      <c r="J7" s="2072"/>
      <c r="K7" s="1576"/>
      <c r="L7" s="2066" t="s">
        <v>1358</v>
      </c>
      <c r="M7" s="2067">
        <f>SUMPRODUCT((区片价!B190:B233=I2)*(区片价!C3:G3=E2)*(区片价!C190:G233))</f>
        <v>0</v>
      </c>
      <c r="N7" s="2064">
        <f>SUMPRODUCT((因素修正幅度!B190:B233=I2)*(因素修正幅度!C3:G3=E2)*(因素修正幅度!C190:G233))</f>
        <v>0</v>
      </c>
      <c r="O7" s="1860"/>
      <c r="P7" s="1860"/>
      <c r="Q7" s="1860"/>
      <c r="R7" s="2154">
        <v>6</v>
      </c>
      <c r="S7" s="2158"/>
      <c r="T7" s="2156">
        <f t="shared" si="0"/>
        <v>0</v>
      </c>
      <c r="U7" s="2157"/>
      <c r="V7" s="2156">
        <f t="shared" si="1"/>
        <v>0</v>
      </c>
      <c r="W7" s="2159" t="s">
        <v>1359</v>
      </c>
      <c r="X7" s="2160" t="str">
        <f>G2</f>
        <v>五级</v>
      </c>
      <c r="Y7" s="2160" t="s">
        <v>1360</v>
      </c>
      <c r="Z7" s="2170">
        <f>G3</f>
        <v>1</v>
      </c>
      <c r="AA7" s="2155"/>
      <c r="AB7" s="2155"/>
      <c r="AC7" s="2166"/>
      <c r="AD7" s="2167"/>
      <c r="AE7" s="2167"/>
      <c r="AF7" s="2167"/>
      <c r="AG7" s="2167"/>
      <c r="AH7" s="2167"/>
      <c r="AI7" s="2167"/>
      <c r="AJ7" s="2176"/>
    </row>
    <row r="8" spans="1:36" ht="25.5">
      <c r="A8" s="1894"/>
      <c r="B8" s="1874" t="s">
        <v>1361</v>
      </c>
      <c r="C8" s="1895" t="s">
        <v>1362</v>
      </c>
      <c r="D8" s="1896" t="s">
        <v>1363</v>
      </c>
      <c r="E8" s="1897" t="e">
        <f>ROUND(C11/E7,4)</f>
        <v>#DIV/0!</v>
      </c>
      <c r="F8" s="1898" t="s">
        <v>1364</v>
      </c>
      <c r="G8" s="1899"/>
      <c r="H8" s="1899"/>
      <c r="I8" s="1899"/>
      <c r="J8" s="2073"/>
      <c r="K8" s="1860"/>
      <c r="L8" s="2066" t="s">
        <v>1365</v>
      </c>
      <c r="M8" s="2067">
        <f>SUMPRODUCT((区片价!B234:B276=I2)*(区片价!C3:G3=E2)*(区片价!C234:G276))</f>
        <v>0</v>
      </c>
      <c r="N8" s="2064">
        <f>SUMPRODUCT((因素修正幅度!B234:B276=I2)*(因素修正幅度!C3:G3=E2)*(因素修正幅度!C234:G276))</f>
        <v>0</v>
      </c>
      <c r="O8" s="1860"/>
      <c r="P8" s="1860"/>
      <c r="Q8" s="1860"/>
      <c r="R8" s="2154">
        <v>7</v>
      </c>
      <c r="S8" s="2157"/>
      <c r="T8" s="2156">
        <f t="shared" si="0"/>
        <v>0</v>
      </c>
      <c r="U8" s="2157"/>
      <c r="V8" s="2156">
        <f t="shared" si="1"/>
        <v>0</v>
      </c>
      <c r="W8" s="3725" t="s">
        <v>1366</v>
      </c>
      <c r="X8" s="3726"/>
      <c r="Y8" s="2171" t="s">
        <v>1367</v>
      </c>
      <c r="Z8" s="2171" t="s">
        <v>1368</v>
      </c>
      <c r="AA8" s="2171" t="s">
        <v>1369</v>
      </c>
      <c r="AB8" s="2171" t="s">
        <v>1370</v>
      </c>
      <c r="AC8" s="2171" t="s">
        <v>1371</v>
      </c>
      <c r="AD8" s="2171" t="s">
        <v>1372</v>
      </c>
      <c r="AE8" s="2171" t="s">
        <v>1373</v>
      </c>
      <c r="AF8" s="2171" t="s">
        <v>1374</v>
      </c>
      <c r="AG8" s="2171" t="s">
        <v>1375</v>
      </c>
      <c r="AH8" s="2171" t="s">
        <v>1376</v>
      </c>
      <c r="AI8" s="2171" t="s">
        <v>1377</v>
      </c>
      <c r="AJ8" s="2171" t="s">
        <v>1378</v>
      </c>
    </row>
    <row r="9" spans="1:36" ht="15">
      <c r="A9" s="1894"/>
      <c r="B9" s="1874" t="s">
        <v>1379</v>
      </c>
      <c r="C9" s="1900">
        <f>SUMIF(修正!C71:C138,C8,修正!E71:E138)</f>
        <v>0</v>
      </c>
      <c r="D9" s="821" t="s">
        <v>1380</v>
      </c>
      <c r="E9" s="821" t="e">
        <f>ROUND(C11/E7,4)</f>
        <v>#DIV/0!</v>
      </c>
      <c r="F9" s="1898" t="s">
        <v>1381</v>
      </c>
      <c r="G9" s="1899"/>
      <c r="H9" s="1899"/>
      <c r="I9" s="1899"/>
      <c r="J9" s="2073"/>
      <c r="K9" s="1860"/>
      <c r="L9" s="2066" t="s">
        <v>1382</v>
      </c>
      <c r="M9" s="2067">
        <f>SUMPRODUCT((区片价!B277:B326=I2)*(区片价!C3:G3=E2)*(区片价!C277:G326))</f>
        <v>0</v>
      </c>
      <c r="N9" s="2064">
        <f>SUMPRODUCT((因素修正幅度!B277:B326=I2)*(因素修正幅度!C3:G3=E2)*(因素修正幅度!C277:G326))</f>
        <v>0</v>
      </c>
      <c r="O9" s="1860"/>
      <c r="P9" s="1860"/>
      <c r="Q9" s="1860"/>
      <c r="R9" s="2154">
        <v>8</v>
      </c>
      <c r="S9" s="2157"/>
      <c r="T9" s="2156">
        <f t="shared" si="0"/>
        <v>0</v>
      </c>
      <c r="U9" s="2157"/>
      <c r="V9" s="2156">
        <f t="shared" si="1"/>
        <v>0</v>
      </c>
      <c r="W9" s="3739"/>
      <c r="X9" s="2161" t="s">
        <v>1383</v>
      </c>
      <c r="Y9" s="2172">
        <v>6</v>
      </c>
      <c r="Z9" s="2173">
        <f>$Y$9</f>
        <v>6</v>
      </c>
      <c r="AA9" s="2173">
        <f t="shared" ref="AA9:AJ9" si="2">$Y$9</f>
        <v>6</v>
      </c>
      <c r="AB9" s="2173">
        <f t="shared" si="2"/>
        <v>6</v>
      </c>
      <c r="AC9" s="2173">
        <f t="shared" si="2"/>
        <v>6</v>
      </c>
      <c r="AD9" s="2173">
        <f t="shared" si="2"/>
        <v>6</v>
      </c>
      <c r="AE9" s="2173">
        <f t="shared" si="2"/>
        <v>6</v>
      </c>
      <c r="AF9" s="2173">
        <f t="shared" si="2"/>
        <v>6</v>
      </c>
      <c r="AG9" s="2173">
        <f t="shared" si="2"/>
        <v>6</v>
      </c>
      <c r="AH9" s="2173">
        <f t="shared" si="2"/>
        <v>6</v>
      </c>
      <c r="AI9" s="2173">
        <f t="shared" si="2"/>
        <v>6</v>
      </c>
      <c r="AJ9" s="2173">
        <f t="shared" si="2"/>
        <v>6</v>
      </c>
    </row>
    <row r="10" spans="1:36" ht="15">
      <c r="A10" s="1894"/>
      <c r="B10" s="1874" t="s">
        <v>1384</v>
      </c>
      <c r="C10" s="821">
        <f>SUMIF(修正!C71:C138,C8,修正!F71:F138)</f>
        <v>0</v>
      </c>
      <c r="D10" s="821" t="s">
        <v>1385</v>
      </c>
      <c r="E10" s="821" t="e">
        <f>ROUND(C11/E7,4)</f>
        <v>#DIV/0!</v>
      </c>
      <c r="F10" s="1898" t="s">
        <v>1386</v>
      </c>
      <c r="G10" s="1899"/>
      <c r="H10" s="1899"/>
      <c r="I10" s="1899"/>
      <c r="J10" s="2073"/>
      <c r="K10" s="1860"/>
      <c r="L10" s="2066" t="s">
        <v>1387</v>
      </c>
      <c r="M10" s="2067">
        <f>SUMPRODUCT((区片价!B327:B357=I2)*(区片价!C3:G3=E2)*(区片价!C327:G357))</f>
        <v>0</v>
      </c>
      <c r="N10" s="2064">
        <f>SUMPRODUCT((因素修正幅度!B327:B357=I2)*(因素修正幅度!C3:G3=E2)*(因素修正幅度!C327:G357))</f>
        <v>0</v>
      </c>
      <c r="O10" s="1860"/>
      <c r="P10" s="1860"/>
      <c r="Q10" s="1860"/>
      <c r="R10" s="2154">
        <v>9</v>
      </c>
      <c r="S10" s="2157"/>
      <c r="T10" s="2156">
        <f t="shared" si="0"/>
        <v>0</v>
      </c>
      <c r="U10" s="2157"/>
      <c r="V10" s="2156">
        <f t="shared" si="1"/>
        <v>0</v>
      </c>
      <c r="W10" s="3739"/>
      <c r="X10" s="2161">
        <v>6</v>
      </c>
      <c r="Y10" s="2174">
        <f>ROUND((-0.5556*(Y9^2)-0.2719*Y9+8944)*(10^(-4)),4)</f>
        <v>0.89219999999999999</v>
      </c>
      <c r="Z10" s="2174">
        <f>ROUND((-0.5556*(Z9^2)-0.2719*Z9+8944)*(10^(-4)),4)</f>
        <v>0.89219999999999999</v>
      </c>
      <c r="AA10" s="2174">
        <f>ROUND((-0.7912*(AA9^2)-11.3794*AA9+8482)*(10^(-4)),4)</f>
        <v>0.83850000000000002</v>
      </c>
      <c r="AB10" s="2174">
        <f>ROUND((-0.7912*(AB9^2)-11.3794*AB9+8482)*(10^(-4)),4)</f>
        <v>0.83850000000000002</v>
      </c>
      <c r="AC10" s="2174">
        <f>ROUND((-0.7912*(AC9^2)-11.3794*AC9+8482)*(10^(-4)),4)</f>
        <v>0.83850000000000002</v>
      </c>
      <c r="AD10" s="2174">
        <f>ROUND((-0.7912*(AD9^2)-11.3794*AD9+8482)*(10^(-4)),4)</f>
        <v>0.83850000000000002</v>
      </c>
      <c r="AE10" s="2174">
        <f>ROUND((-0.7912*(AE9^2)-11.3794*AE9+8482)*(10^(-4)),4)</f>
        <v>0.83850000000000002</v>
      </c>
      <c r="AF10" s="2174">
        <f>ROUND((-0.989*(AF9^2)-63.78*AF9+7771)*(10^(-4)),4)</f>
        <v>0.73529999999999995</v>
      </c>
      <c r="AG10" s="2174">
        <f>ROUND((-0.989*(AG9^2)-63.78*AG9+7771)*(10^(-4)),4)</f>
        <v>0.73529999999999995</v>
      </c>
      <c r="AH10" s="2174">
        <f>ROUND((-0.989*(AH9^2)-63.78*AH9+7771)*(10^(-4)),4)</f>
        <v>0.73529999999999995</v>
      </c>
      <c r="AI10" s="2174">
        <f>ROUND((-0.989*(AI9^2)-63.78*AI9+7771)*(10^(-4)),4)</f>
        <v>0.73529999999999995</v>
      </c>
      <c r="AJ10" s="2174">
        <f>ROUND((-0.989*(AJ9^2)-63.78*AJ9+7771)*(10^(-4)),4)</f>
        <v>0.73529999999999995</v>
      </c>
    </row>
    <row r="11" spans="1:36" ht="15">
      <c r="A11" s="1901"/>
      <c r="B11" s="1902" t="s">
        <v>1388</v>
      </c>
      <c r="C11" s="1903">
        <f>C10/4</f>
        <v>0</v>
      </c>
      <c r="D11" s="1903" t="s">
        <v>1389</v>
      </c>
      <c r="E11" s="1903" t="e">
        <f>ROUND(C11/E7,4)</f>
        <v>#DIV/0!</v>
      </c>
      <c r="F11" s="1904" t="s">
        <v>1390</v>
      </c>
      <c r="G11" s="1905"/>
      <c r="H11" s="1905"/>
      <c r="I11" s="1905"/>
      <c r="J11" s="2074"/>
      <c r="K11" s="1860"/>
      <c r="L11" s="2066" t="s">
        <v>1391</v>
      </c>
      <c r="M11" s="2067">
        <f>SUMPRODUCT((区片价!B358:B377=I2)*(区片价!C3:G3=E2)*(区片价!C358:G377))</f>
        <v>0</v>
      </c>
      <c r="N11" s="2064">
        <f>SUMPRODUCT((因素修正幅度!B358:B377=I2)*(因素修正幅度!C3:G3=E2)*(因素修正幅度!C358:G377))</f>
        <v>0</v>
      </c>
      <c r="O11" s="1860"/>
      <c r="P11" s="1860"/>
      <c r="Q11" s="1860"/>
      <c r="R11" s="2154">
        <v>10</v>
      </c>
      <c r="S11" s="2157"/>
      <c r="T11" s="2156">
        <f t="shared" si="0"/>
        <v>0</v>
      </c>
      <c r="U11" s="2157"/>
      <c r="V11" s="2156">
        <f t="shared" si="1"/>
        <v>0</v>
      </c>
      <c r="W11" s="2155"/>
      <c r="X11" s="2155"/>
      <c r="Y11" s="2155"/>
      <c r="Z11" s="2155"/>
      <c r="AA11" s="2155"/>
      <c r="AB11" s="2155"/>
      <c r="AC11" s="2166"/>
      <c r="AD11" s="2175"/>
      <c r="AE11" s="2175"/>
      <c r="AF11" s="2175"/>
      <c r="AG11" s="2175"/>
      <c r="AH11" s="2175"/>
      <c r="AI11" s="2175"/>
      <c r="AJ11" s="2178"/>
    </row>
    <row r="12" spans="1:36" ht="24.75">
      <c r="A12" s="1887" t="s">
        <v>1392</v>
      </c>
      <c r="B12" s="1906" t="s">
        <v>1393</v>
      </c>
      <c r="C12" s="1907">
        <v>1</v>
      </c>
      <c r="D12" s="1908" t="s">
        <v>1394</v>
      </c>
      <c r="E12" s="1909" t="s">
        <v>1395</v>
      </c>
      <c r="F12" s="1910"/>
      <c r="G12" s="1911"/>
      <c r="H12" s="1911"/>
      <c r="I12" s="1911"/>
      <c r="J12" s="2075"/>
      <c r="K12" s="1860"/>
      <c r="L12" s="2076" t="s">
        <v>1396</v>
      </c>
      <c r="M12" s="2077">
        <f>SUMPRODUCT((区片价!B378:B384=I2)*(区片价!C3:G3=E2)*(区片价!C378:G384))</f>
        <v>0</v>
      </c>
      <c r="N12" s="2064">
        <f>SUMPRODUCT((因素修正幅度!B378:B384=I2)*(因素修正幅度!C3:G3=E2)*(因素修正幅度!C378:G384))</f>
        <v>0</v>
      </c>
      <c r="O12" s="1860"/>
      <c r="P12" s="1860"/>
      <c r="Q12" s="1860"/>
      <c r="R12" s="2154">
        <v>11</v>
      </c>
      <c r="S12" s="2157"/>
      <c r="T12" s="2156">
        <f t="shared" si="0"/>
        <v>0</v>
      </c>
      <c r="U12" s="2157"/>
      <c r="V12" s="2156">
        <f t="shared" si="1"/>
        <v>0</v>
      </c>
      <c r="W12" s="2155"/>
      <c r="X12" s="2155"/>
      <c r="Y12" s="2155"/>
      <c r="Z12" s="2155"/>
      <c r="AA12" s="2155"/>
      <c r="AB12" s="2155"/>
      <c r="AC12" s="2166"/>
      <c r="AD12" s="2175"/>
      <c r="AE12" s="2175"/>
      <c r="AF12" s="2175"/>
      <c r="AG12" s="2175"/>
      <c r="AH12" s="2175"/>
      <c r="AI12" s="2175"/>
      <c r="AJ12" s="2178"/>
    </row>
    <row r="13" spans="1:36" ht="15">
      <c r="A13" s="1887" t="s">
        <v>1397</v>
      </c>
      <c r="B13" s="1912" t="s">
        <v>1398</v>
      </c>
      <c r="C13" s="1889">
        <f>ROUND(C16*D16*E16*F16*G16*H16*I16*J16,4)</f>
        <v>0</v>
      </c>
      <c r="D13" s="1913" t="s">
        <v>1399</v>
      </c>
      <c r="E13" s="1914"/>
      <c r="F13" s="1914"/>
      <c r="G13" s="1915"/>
      <c r="H13" s="1915"/>
      <c r="I13" s="1915"/>
      <c r="J13" s="2078"/>
      <c r="K13" s="1860"/>
      <c r="L13" s="2079"/>
      <c r="M13" s="2080"/>
      <c r="N13" s="2081"/>
      <c r="O13" s="1860"/>
      <c r="P13" s="1860"/>
      <c r="Q13" s="1860"/>
      <c r="R13" s="2154">
        <v>12</v>
      </c>
      <c r="S13" s="2157"/>
      <c r="T13" s="2156">
        <f t="shared" si="0"/>
        <v>0</v>
      </c>
      <c r="U13" s="2157"/>
      <c r="V13" s="2156">
        <f t="shared" si="1"/>
        <v>0</v>
      </c>
      <c r="W13" s="2155"/>
      <c r="X13" s="2155"/>
      <c r="Y13" s="2155"/>
      <c r="Z13" s="2155"/>
      <c r="AA13" s="2155"/>
      <c r="AB13" s="2155"/>
      <c r="AC13" s="2166"/>
      <c r="AD13" s="2175"/>
      <c r="AE13" s="2175"/>
      <c r="AF13" s="2175"/>
      <c r="AG13" s="2175"/>
      <c r="AH13" s="2175"/>
      <c r="AI13" s="2175"/>
      <c r="AJ13" s="2178"/>
    </row>
    <row r="14" spans="1:36" ht="15">
      <c r="A14" s="1916"/>
      <c r="B14" s="1917" t="s">
        <v>1400</v>
      </c>
      <c r="C14" s="1918" t="s">
        <v>1401</v>
      </c>
      <c r="D14" s="1919" t="s">
        <v>1402</v>
      </c>
      <c r="E14" s="1920" t="s">
        <v>1403</v>
      </c>
      <c r="F14" s="1921" t="s">
        <v>1404</v>
      </c>
      <c r="G14" s="1921" t="s">
        <v>1404</v>
      </c>
      <c r="H14" s="1921" t="s">
        <v>1404</v>
      </c>
      <c r="I14" s="1921" t="s">
        <v>1404</v>
      </c>
      <c r="J14" s="1921" t="s">
        <v>1404</v>
      </c>
      <c r="K14" s="1860"/>
      <c r="L14" s="1860"/>
      <c r="M14" s="1860"/>
      <c r="N14" s="1860"/>
      <c r="O14" s="1860"/>
      <c r="P14" s="1860"/>
      <c r="Q14" s="1860"/>
      <c r="R14" s="2154">
        <v>13</v>
      </c>
      <c r="S14" s="2157"/>
      <c r="T14" s="2156">
        <f t="shared" si="0"/>
        <v>0</v>
      </c>
      <c r="U14" s="2157"/>
      <c r="V14" s="2156">
        <f t="shared" si="1"/>
        <v>0</v>
      </c>
      <c r="W14" s="2155"/>
      <c r="X14" s="2155"/>
      <c r="Y14" s="2155"/>
      <c r="Z14" s="2155"/>
      <c r="AA14" s="2155"/>
      <c r="AB14" s="2155"/>
      <c r="AC14" s="2166"/>
      <c r="AD14" s="2175"/>
      <c r="AE14" s="2175"/>
      <c r="AF14" s="2175"/>
      <c r="AG14" s="2175"/>
      <c r="AH14" s="2175"/>
      <c r="AI14" s="2175"/>
      <c r="AJ14" s="2178"/>
    </row>
    <row r="15" spans="1:36" ht="15">
      <c r="A15" s="1916"/>
      <c r="B15" s="1922"/>
      <c r="C15" s="1923"/>
      <c r="D15" s="1924"/>
      <c r="E15" s="1925"/>
      <c r="F15" s="1926" t="s">
        <v>1405</v>
      </c>
      <c r="G15" s="1927"/>
      <c r="H15" s="1928"/>
      <c r="I15" s="2082"/>
      <c r="J15" s="2083"/>
      <c r="K15" s="1860"/>
      <c r="L15" s="1860"/>
      <c r="M15" s="1860"/>
      <c r="N15" s="1860"/>
      <c r="O15" s="1860"/>
      <c r="P15" s="1860"/>
      <c r="Q15" s="1860"/>
      <c r="R15" s="2154">
        <v>14</v>
      </c>
      <c r="S15" s="2157"/>
      <c r="T15" s="2156">
        <f t="shared" si="0"/>
        <v>0</v>
      </c>
      <c r="U15" s="2157"/>
      <c r="V15" s="2156">
        <f t="shared" si="1"/>
        <v>0</v>
      </c>
      <c r="W15" s="2155"/>
      <c r="X15" s="2155"/>
      <c r="Y15" s="2155"/>
      <c r="Z15" s="2155"/>
      <c r="AA15" s="2155"/>
      <c r="AB15" s="2155"/>
      <c r="AC15" s="2166"/>
      <c r="AD15" s="2175"/>
      <c r="AE15" s="2175"/>
      <c r="AF15" s="2175"/>
      <c r="AG15" s="2175"/>
      <c r="AH15" s="2175"/>
      <c r="AI15" s="2175"/>
      <c r="AJ15" s="2178"/>
    </row>
    <row r="16" spans="1:36" ht="15">
      <c r="A16" s="1916"/>
      <c r="B16" s="1929" t="s">
        <v>1406</v>
      </c>
      <c r="C16" s="1930"/>
      <c r="D16" s="1930"/>
      <c r="E16" s="1930"/>
      <c r="F16" s="1930">
        <v>1</v>
      </c>
      <c r="G16" s="1930">
        <v>1</v>
      </c>
      <c r="H16" s="1930">
        <v>1</v>
      </c>
      <c r="I16" s="1930">
        <v>1</v>
      </c>
      <c r="J16" s="2084">
        <v>1</v>
      </c>
      <c r="K16" s="1860"/>
      <c r="L16" s="1861"/>
      <c r="M16" s="1861"/>
      <c r="N16" s="1861"/>
      <c r="O16" s="1861"/>
      <c r="P16" s="1861"/>
      <c r="Q16" s="1860"/>
      <c r="R16" s="2154">
        <v>15</v>
      </c>
      <c r="S16" s="2157"/>
      <c r="T16" s="2156">
        <f t="shared" si="0"/>
        <v>0</v>
      </c>
      <c r="U16" s="2157"/>
      <c r="V16" s="2156">
        <f t="shared" si="1"/>
        <v>0</v>
      </c>
      <c r="W16" s="2155"/>
      <c r="X16" s="2155"/>
      <c r="Y16" s="2155"/>
      <c r="Z16" s="2155"/>
      <c r="AA16" s="2155"/>
      <c r="AB16" s="2155"/>
      <c r="AC16" s="2166"/>
      <c r="AD16" s="2175"/>
      <c r="AE16" s="2175"/>
      <c r="AF16" s="2175"/>
      <c r="AG16" s="2175"/>
      <c r="AH16" s="2175"/>
      <c r="AI16" s="2175"/>
      <c r="AJ16" s="2178"/>
    </row>
    <row r="17" spans="1:37">
      <c r="A17" s="1931" t="s">
        <v>1407</v>
      </c>
      <c r="B17" s="1932" t="s">
        <v>1408</v>
      </c>
      <c r="C17" s="1933">
        <f>ROUND(IF(OR(E2="工业",E2="公共服务"),1,IF(AND(E18=0,E19=0),1,IF(AND(E18=J24,E19=G19),0.8,IF(E19=0,1+E17*(-0.2),1+E17*G17*(-0.2))))),4)</f>
        <v>1</v>
      </c>
      <c r="D17" s="1934" t="s">
        <v>1409</v>
      </c>
      <c r="E17" s="1933">
        <f>ROUND(G18/I18,2)</f>
        <v>0</v>
      </c>
      <c r="F17" s="1934" t="s">
        <v>1410</v>
      </c>
      <c r="G17" s="1933" t="e">
        <f>ROUND(E19/G19,2)</f>
        <v>#DIV/0!</v>
      </c>
      <c r="H17" s="1933"/>
      <c r="I17" s="1933"/>
      <c r="J17" s="2085"/>
      <c r="K17" s="1860"/>
      <c r="L17" s="1861"/>
      <c r="M17" s="1861"/>
      <c r="N17" s="1861"/>
      <c r="O17" s="1861"/>
      <c r="P17" s="1861"/>
      <c r="Q17" s="1860"/>
      <c r="R17" s="1860"/>
      <c r="S17" s="1860"/>
      <c r="T17" s="1860"/>
      <c r="U17" s="1860"/>
      <c r="V17" s="1860"/>
      <c r="W17" s="1860"/>
      <c r="X17" s="1860"/>
      <c r="Y17" s="1860"/>
      <c r="Z17" s="2027"/>
      <c r="AA17" s="2027"/>
      <c r="AB17" s="2027"/>
      <c r="AC17" s="2027"/>
      <c r="AD17" s="2027"/>
      <c r="AE17" s="1860"/>
      <c r="AF17" s="1860"/>
      <c r="AG17" s="1861"/>
      <c r="AH17" s="1861"/>
      <c r="AI17" s="1861"/>
      <c r="AJ17" s="1861"/>
    </row>
    <row r="18" spans="1:37" s="1859" customFormat="1" ht="14.25">
      <c r="A18" s="1935"/>
      <c r="B18" s="1936"/>
      <c r="C18" s="1937"/>
      <c r="D18" s="1938" t="s">
        <v>1411</v>
      </c>
      <c r="E18" s="1939"/>
      <c r="F18" s="1940" t="s">
        <v>1412</v>
      </c>
      <c r="G18" s="1937">
        <f>ROUND(1-(1/(POWER(1+G24,E18))),4)</f>
        <v>0</v>
      </c>
      <c r="H18" s="1940" t="s">
        <v>1413</v>
      </c>
      <c r="I18" s="1937">
        <f>ROUND(1-(1/(POWER(1+G24,J24))),4)</f>
        <v>0.88249999999999995</v>
      </c>
      <c r="J18" s="2086"/>
      <c r="K18" s="1860"/>
      <c r="L18" s="1861"/>
      <c r="M18" s="1861"/>
      <c r="N18" s="1861"/>
      <c r="O18" s="1861"/>
      <c r="P18" s="1861"/>
      <c r="Q18" s="1860"/>
      <c r="R18" s="2162"/>
      <c r="S18" s="2162"/>
      <c r="T18" s="2027"/>
      <c r="U18" s="2027"/>
      <c r="V18" s="2027"/>
      <c r="W18" s="1860"/>
      <c r="X18" s="1860"/>
      <c r="Y18" s="1860"/>
      <c r="Z18" s="2094"/>
      <c r="AA18" s="2094"/>
      <c r="AB18" s="2094"/>
      <c r="AC18" s="2094"/>
      <c r="AD18" s="2094"/>
      <c r="AE18" s="2027"/>
      <c r="AF18" s="2027"/>
      <c r="AG18" s="2179"/>
      <c r="AH18" s="2179"/>
      <c r="AI18" s="2179"/>
      <c r="AJ18" s="2095"/>
    </row>
    <row r="19" spans="1:37" s="1859" customFormat="1" ht="14.25">
      <c r="A19" s="1941"/>
      <c r="B19" s="1942"/>
      <c r="C19" s="1943"/>
      <c r="D19" s="1943" t="s">
        <v>1414</v>
      </c>
      <c r="E19" s="1944"/>
      <c r="F19" s="1945" t="s">
        <v>1415</v>
      </c>
      <c r="G19" s="1944"/>
      <c r="H19" s="1943"/>
      <c r="I19" s="1943"/>
      <c r="J19" s="2087"/>
      <c r="K19" s="1860"/>
      <c r="L19" s="1861"/>
      <c r="M19" s="1861"/>
      <c r="N19" s="1861"/>
      <c r="O19" s="1861"/>
      <c r="P19" s="1861"/>
      <c r="Q19" s="2162"/>
      <c r="R19" s="2162"/>
      <c r="S19" s="2162"/>
      <c r="T19" s="2027"/>
      <c r="U19" s="2027"/>
      <c r="V19" s="2027"/>
      <c r="W19" s="1860"/>
      <c r="X19" s="1860"/>
      <c r="Y19" s="1860"/>
      <c r="Z19" s="2094"/>
      <c r="AA19" s="2094"/>
      <c r="AB19" s="2094"/>
      <c r="AC19" s="2094"/>
      <c r="AD19" s="2094"/>
      <c r="AE19" s="2094"/>
      <c r="AF19" s="2162"/>
      <c r="AG19" s="2180"/>
      <c r="AH19" s="2179"/>
      <c r="AI19" s="2181"/>
      <c r="AJ19" s="2181"/>
      <c r="AK19" s="2182"/>
    </row>
    <row r="20" spans="1:37" s="1859" customFormat="1" ht="14.25">
      <c r="A20" s="3731" t="s">
        <v>1416</v>
      </c>
      <c r="B20" s="1946" t="s">
        <v>1417</v>
      </c>
      <c r="C20" s="1947">
        <f>ROUND(IF(F21="与级别开发程度一致",0,(G21-E21)/C21),0)</f>
        <v>0</v>
      </c>
      <c r="D20" s="1948" t="s">
        <v>1418</v>
      </c>
      <c r="E20" s="1949"/>
      <c r="F20" s="3727" t="s">
        <v>1419</v>
      </c>
      <c r="G20" s="3728"/>
      <c r="H20" s="1950" t="s">
        <v>342</v>
      </c>
      <c r="I20" s="1950" t="s">
        <v>343</v>
      </c>
      <c r="J20" s="2088" t="s">
        <v>344</v>
      </c>
      <c r="K20" s="2089" t="s">
        <v>345</v>
      </c>
      <c r="L20" s="2089" t="s">
        <v>346</v>
      </c>
      <c r="M20" s="2089" t="s">
        <v>347</v>
      </c>
      <c r="N20" s="2089" t="s">
        <v>349</v>
      </c>
      <c r="O20" s="2090" t="s">
        <v>1889</v>
      </c>
      <c r="P20" s="1861"/>
      <c r="Q20" s="2162"/>
      <c r="R20" s="2162"/>
      <c r="S20" s="2162"/>
      <c r="T20" s="2027"/>
      <c r="U20" s="2027"/>
      <c r="V20" s="2027"/>
      <c r="W20" s="1860"/>
      <c r="X20" s="1860"/>
      <c r="Y20" s="1860"/>
      <c r="Z20" s="2094"/>
      <c r="AA20" s="2094"/>
      <c r="AB20" s="2094"/>
      <c r="AC20" s="2094"/>
      <c r="AD20" s="2094"/>
      <c r="AE20" s="2094"/>
      <c r="AF20" s="2094"/>
      <c r="AG20" s="2095"/>
      <c r="AH20" s="2095"/>
      <c r="AI20" s="2095"/>
      <c r="AJ20" s="2095"/>
    </row>
    <row r="21" spans="1:37" s="1859" customFormat="1" ht="25.5">
      <c r="A21" s="3732"/>
      <c r="B21" s="1951" t="s">
        <v>1420</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315</v>
      </c>
      <c r="F21" s="1955" t="s">
        <v>2857</v>
      </c>
      <c r="G21" s="1956">
        <f>SUM(H21:O21)</f>
        <v>315</v>
      </c>
      <c r="H21" s="1952">
        <f>SUMPRODUCT((七通一平=H20)*(修正!B1:M1=G2)*(修正!B8:M16))</f>
        <v>70</v>
      </c>
      <c r="I21" s="1952">
        <f>SUMPRODUCT((七通一平=I20)*(修正!B1:M1=G2)*(修正!B8:M16))</f>
        <v>60</v>
      </c>
      <c r="J21" s="2091">
        <f>SUMPRODUCT((七通一平=J20)*(修正!B1:M1=G2)*(修正!B8:M16))</f>
        <v>15</v>
      </c>
      <c r="K21" s="1952">
        <f>SUMPRODUCT((七通一平=K20)*(修正!B1:M1=G2)*(修正!B8:M16))</f>
        <v>25</v>
      </c>
      <c r="L21" s="1952">
        <f>SUMPRODUCT((七通一平=L20)*(修正!B1:M1=G2)*(修正!B8:M16))</f>
        <v>40</v>
      </c>
      <c r="M21" s="1952">
        <f>SUMPRODUCT((七通一平=M20)*(修正!B1:M1=G2)*(修正!B8:M16))</f>
        <v>50</v>
      </c>
      <c r="N21" s="1952">
        <f>SUMPRODUCT((七通一平=N20)*(修正!B1:M1=G2)*(修正!B8:M16))</f>
        <v>15</v>
      </c>
      <c r="O21" s="2092">
        <f>SUMPRODUCT((七通一平=O20)*(修正!B1:M1=G2)*(修正!B8:M16))</f>
        <v>40</v>
      </c>
      <c r="P21" s="1861"/>
      <c r="Q21" s="2095"/>
      <c r="R21" s="2162"/>
      <c r="S21" s="2162"/>
      <c r="T21" s="2027"/>
      <c r="U21" s="2027"/>
      <c r="V21" s="2027"/>
      <c r="W21" s="1860"/>
      <c r="X21" s="1860"/>
      <c r="Y21" s="1860"/>
      <c r="Z21" s="2094"/>
      <c r="AA21" s="2094"/>
      <c r="AB21" s="2094"/>
      <c r="AC21" s="2094"/>
      <c r="AD21" s="2094"/>
      <c r="AE21" s="2094"/>
      <c r="AF21" s="2094"/>
      <c r="AG21" s="2095"/>
      <c r="AH21" s="2095"/>
      <c r="AI21" s="2095"/>
      <c r="AJ21" s="2095"/>
    </row>
    <row r="22" spans="1:37" s="1859" customFormat="1" ht="15">
      <c r="A22" s="1957" t="s">
        <v>901</v>
      </c>
      <c r="B22" s="1958" t="s">
        <v>1421</v>
      </c>
      <c r="C22" s="1959">
        <f>SUMIF(修正!C20:C51,E3,修正!E20:E51)</f>
        <v>1</v>
      </c>
      <c r="D22" s="1960"/>
      <c r="E22" s="1961"/>
      <c r="F22" s="1961"/>
      <c r="G22" s="1961"/>
      <c r="H22" s="1961"/>
      <c r="I22" s="1961"/>
      <c r="J22" s="2093"/>
      <c r="K22" s="2094"/>
      <c r="L22" s="2095"/>
      <c r="M22" s="2095"/>
      <c r="N22" s="2095"/>
      <c r="O22" s="2096"/>
      <c r="P22" s="2096"/>
      <c r="Q22" s="2095"/>
      <c r="R22" s="2162"/>
      <c r="S22" s="2162"/>
      <c r="T22" s="2027"/>
      <c r="U22" s="2027"/>
      <c r="V22" s="2027"/>
      <c r="W22" s="1860"/>
      <c r="X22" s="1860"/>
      <c r="Y22" s="1860"/>
      <c r="Z22" s="2094"/>
      <c r="AA22" s="2094"/>
      <c r="AB22" s="2094"/>
      <c r="AC22" s="2094"/>
      <c r="AD22" s="2094"/>
      <c r="AE22" s="2094"/>
      <c r="AF22" s="2094"/>
      <c r="AG22" s="2095"/>
      <c r="AH22" s="2095"/>
      <c r="AI22" s="2095"/>
      <c r="AJ22" s="2095"/>
    </row>
    <row r="23" spans="1:37" ht="25.5">
      <c r="A23" s="1962" t="s">
        <v>906</v>
      </c>
      <c r="B23" s="1963" t="s">
        <v>1422</v>
      </c>
      <c r="C23" s="196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5" t="s">
        <v>1423</v>
      </c>
      <c r="E23" s="1966">
        <v>44197</v>
      </c>
      <c r="F23" s="1965" t="s">
        <v>1424</v>
      </c>
      <c r="G23" s="1967">
        <f>'数据-取费表'!B2</f>
        <v>45545</v>
      </c>
      <c r="H23" s="1968" t="s">
        <v>1425</v>
      </c>
      <c r="I23" s="2097" t="str">
        <f>IF(H23="季度增幅（自定义）",SUMIF(N25:N28,E2,O25:O28),"")</f>
        <v/>
      </c>
      <c r="J23" s="2098" t="s">
        <v>2849</v>
      </c>
      <c r="K23" s="2094"/>
      <c r="L23" s="2099" t="s">
        <v>1426</v>
      </c>
      <c r="M23" s="2100">
        <f>ROUND(SUMIF(地价!B2:G2,E2,地价!B16:G16),0)</f>
        <v>350</v>
      </c>
      <c r="N23" s="2101" t="s">
        <v>1427</v>
      </c>
      <c r="O23" s="2102">
        <f>ROUNDDOWN(DATEDIF(E23,G23,"M")/3,0)</f>
        <v>14</v>
      </c>
      <c r="P23" s="2103"/>
      <c r="Q23" s="2095"/>
      <c r="R23" s="2162"/>
      <c r="S23" s="2162"/>
      <c r="T23" s="2027"/>
      <c r="U23" s="2027"/>
      <c r="V23" s="2027"/>
      <c r="W23" s="1860"/>
      <c r="X23" s="1860"/>
      <c r="Y23" s="1860"/>
      <c r="Z23" s="2094"/>
      <c r="AA23" s="2094"/>
      <c r="AB23" s="2094"/>
      <c r="AC23" s="2094"/>
      <c r="AD23" s="2094"/>
      <c r="AE23" s="2027"/>
      <c r="AF23" s="2027"/>
      <c r="AG23" s="2179"/>
      <c r="AH23" s="2179"/>
      <c r="AI23" s="2179"/>
      <c r="AJ23" s="2179"/>
      <c r="AK23" s="1862"/>
    </row>
    <row r="24" spans="1:37" s="1859" customFormat="1" ht="24">
      <c r="A24" s="1969" t="s">
        <v>909</v>
      </c>
      <c r="B24" s="1970" t="s">
        <v>1428</v>
      </c>
      <c r="C24" s="1971">
        <f>ROUND(POWER(1+G24,J24-I24)*(POWER(1+G24,I24)-1)/(POWER(1+G24,J24)-1),4)</f>
        <v>0.89319999999999999</v>
      </c>
      <c r="D24" s="1972" t="s">
        <v>1429</v>
      </c>
      <c r="E24" s="1973">
        <f>存贷款利率!E26/100</f>
        <v>4.3499999999999997E-2</v>
      </c>
      <c r="F24" s="1972" t="s">
        <v>1430</v>
      </c>
      <c r="G24" s="1974">
        <f>SUMIF(M30:Q30,E2,M33:Q33)</f>
        <v>5.5E-2</v>
      </c>
      <c r="H24" s="1972" t="s">
        <v>1431</v>
      </c>
      <c r="I24" s="2104">
        <f>SUMIF('数据-取费表'!C6:C15,E2,'数据-取费表'!F6:F15)/COUNTIF('数据-取费表'!C6:C15,E2)</f>
        <v>29</v>
      </c>
      <c r="J24" s="2105">
        <f>IF(E2="住宅",70,IF(E2="商业",40,50))</f>
        <v>40</v>
      </c>
      <c r="K24" s="2094"/>
      <c r="L24" s="2106" t="s">
        <v>1432</v>
      </c>
      <c r="M24" s="2107">
        <f>ROUND(SUMPRODUCT((地价!A4:A16=YEAR(G23)&amp;"-"&amp;ROUNDUP(MONTH(G23)/3,0))*(地价!B2:G2=E2)*(地价!B4:G16)),0)</f>
        <v>0</v>
      </c>
      <c r="N24" s="2108" t="s">
        <v>1433</v>
      </c>
      <c r="O24" s="2109" t="s">
        <v>1434</v>
      </c>
      <c r="P24" s="2110" t="s">
        <v>1435</v>
      </c>
      <c r="Q24" s="1861"/>
      <c r="R24" s="2162"/>
      <c r="S24" s="2162"/>
      <c r="T24" s="2027"/>
      <c r="U24" s="2027"/>
      <c r="V24" s="2027"/>
      <c r="W24" s="1860"/>
      <c r="X24" s="1860"/>
      <c r="Y24" s="1860"/>
      <c r="Z24" s="2094"/>
      <c r="AA24" s="2094"/>
      <c r="AB24" s="2094"/>
      <c r="AC24" s="2094"/>
      <c r="AD24" s="2094"/>
      <c r="AE24" s="2094"/>
      <c r="AF24" s="2094"/>
      <c r="AG24" s="2095"/>
      <c r="AH24" s="2095"/>
      <c r="AI24" s="2095"/>
      <c r="AJ24" s="2095"/>
    </row>
    <row r="25" spans="1:37" ht="15">
      <c r="A25" s="1975" t="s">
        <v>931</v>
      </c>
      <c r="B25" s="1976" t="s">
        <v>2848</v>
      </c>
      <c r="C25" s="813">
        <f>IF(B25="容积率修正",IF(G3&lt;10,D26,J26),C27)</f>
        <v>1.5019</v>
      </c>
      <c r="D25" s="1977"/>
      <c r="E25" s="1977"/>
      <c r="F25" s="1977"/>
      <c r="G25" s="1977"/>
      <c r="H25" s="1977"/>
      <c r="I25" s="1977"/>
      <c r="J25" s="2111"/>
      <c r="K25" s="2094"/>
      <c r="L25" s="2095"/>
      <c r="M25" s="2095"/>
      <c r="N25" s="2112" t="s">
        <v>1436</v>
      </c>
      <c r="O25" s="2113"/>
      <c r="P25" s="2114">
        <f>SUMPRODUCT((地价!A3:A40=YEAR(G23)&amp;"-"&amp;ROUNDUP(MONTH(G23)/3,0))*(地价!AD2:AH2=N25)*(地价!AD3:AH40))</f>
        <v>0</v>
      </c>
      <c r="Q25" s="2095"/>
      <c r="R25" s="2162"/>
      <c r="S25" s="2162"/>
      <c r="T25" s="2027"/>
      <c r="U25" s="2027"/>
      <c r="V25" s="2027"/>
      <c r="W25" s="1860"/>
      <c r="X25" s="1860"/>
      <c r="Y25" s="1860"/>
      <c r="Z25" s="2094"/>
      <c r="AA25" s="2094"/>
      <c r="AB25" s="2094"/>
      <c r="AC25" s="2094"/>
      <c r="AD25" s="2094"/>
      <c r="AE25" s="2027"/>
      <c r="AF25" s="2027"/>
      <c r="AG25" s="2179"/>
      <c r="AH25" s="2179"/>
      <c r="AI25" s="2179"/>
      <c r="AJ25" s="2179"/>
    </row>
    <row r="26" spans="1:37" ht="14.25">
      <c r="A26" s="1041" t="s">
        <v>1437</v>
      </c>
      <c r="B26" s="1978" t="s">
        <v>1438</v>
      </c>
      <c r="C26" s="1979" t="s">
        <v>1439</v>
      </c>
      <c r="D26" s="819">
        <f>IF(E26=G26,F26,IF(G3&lt;10,ROUND(F26+(H26-F26)*(G3-E26)/(G26-E26),4),"——"))</f>
        <v>1.2299</v>
      </c>
      <c r="E26" s="1873">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3">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79" t="s">
        <v>1440</v>
      </c>
      <c r="J26" s="2115" t="str">
        <f>IF(G3&gt;=10,D115,"——")</f>
        <v>——</v>
      </c>
      <c r="K26" s="2094"/>
      <c r="L26" s="2095"/>
      <c r="M26" s="2095"/>
      <c r="N26" s="2112" t="s">
        <v>1441</v>
      </c>
      <c r="O26" s="2113"/>
      <c r="P26" s="2114">
        <f>SUMPRODUCT((地价!A3:A40=YEAR(G23)&amp;"-"&amp;ROUNDUP(MONTH(G23)/3,0))*(地价!AD2:AH2=N26)*(地价!AD3:AH40))</f>
        <v>0</v>
      </c>
      <c r="Q26" s="1861"/>
      <c r="R26" s="2162"/>
      <c r="S26" s="2162"/>
      <c r="T26" s="2027"/>
      <c r="U26" s="2027"/>
      <c r="V26" s="2027"/>
      <c r="W26" s="1860"/>
      <c r="X26" s="1860"/>
      <c r="Y26" s="1860"/>
      <c r="Z26" s="2094"/>
      <c r="AA26" s="2094"/>
      <c r="AB26" s="2094"/>
      <c r="AC26" s="2094"/>
      <c r="AD26" s="2094"/>
      <c r="AE26" s="2027"/>
      <c r="AF26" s="2027"/>
      <c r="AG26" s="2179"/>
      <c r="AH26" s="2179"/>
      <c r="AI26" s="2179"/>
      <c r="AJ26" s="2179"/>
    </row>
    <row r="27" spans="1:37" ht="15">
      <c r="A27" s="1041" t="s">
        <v>1442</v>
      </c>
      <c r="B27" s="1980" t="s">
        <v>1443</v>
      </c>
      <c r="C27" s="1981">
        <f>ROUND(IF(I3&lt;6,SUMPRODUCT((B106:B110=I3)*(C105:N105=G2)*(C106:N110)),SUMIF(C105:N105,G2,C112:N112)),4)</f>
        <v>1.5019</v>
      </c>
      <c r="D27" s="1982"/>
      <c r="E27" s="1982"/>
      <c r="F27" s="1983"/>
      <c r="G27" s="1984"/>
      <c r="H27" s="1985"/>
      <c r="I27" s="2116"/>
      <c r="J27" s="2117"/>
      <c r="K27" s="1860"/>
      <c r="L27" s="1861"/>
      <c r="M27" s="1861"/>
      <c r="N27" s="2112" t="s">
        <v>1444</v>
      </c>
      <c r="O27" s="2113"/>
      <c r="P27" s="2114">
        <f>SUMPRODUCT((地价!A3:A40=YEAR(G23)&amp;"-"&amp;ROUNDUP(MONTH(G23)/3,0))*(地价!AD2:AH2=N27)*(地价!AD3:AH40))</f>
        <v>0</v>
      </c>
      <c r="Q27" s="1861"/>
      <c r="R27" s="2162"/>
      <c r="S27" s="2162"/>
      <c r="T27" s="2027"/>
      <c r="U27" s="2027"/>
      <c r="V27" s="2027"/>
      <c r="W27" s="1860"/>
      <c r="X27" s="1860"/>
      <c r="Y27" s="1860"/>
      <c r="Z27" s="2094"/>
      <c r="AA27" s="2094"/>
      <c r="AB27" s="2094"/>
      <c r="AC27" s="2094"/>
      <c r="AD27" s="2094"/>
      <c r="AE27" s="2027"/>
      <c r="AF27" s="2027"/>
      <c r="AG27" s="2179"/>
      <c r="AH27" s="2179"/>
      <c r="AI27" s="2179"/>
      <c r="AJ27" s="2179"/>
    </row>
    <row r="28" spans="1:37" ht="15">
      <c r="A28" s="1969" t="s">
        <v>1445</v>
      </c>
      <c r="B28" s="1963" t="s">
        <v>1446</v>
      </c>
      <c r="C28" s="1964">
        <f>SUMIF(A47:A101,E2,B47:B101)</f>
        <v>1.024</v>
      </c>
      <c r="D28" s="1986"/>
      <c r="E28" s="1987"/>
      <c r="F28" s="1987"/>
      <c r="G28" s="1987"/>
      <c r="H28" s="1987"/>
      <c r="I28" s="1987"/>
      <c r="J28" s="2118"/>
      <c r="K28" s="2094"/>
      <c r="L28" s="2095"/>
      <c r="M28" s="2095"/>
      <c r="N28" s="2119" t="s">
        <v>1447</v>
      </c>
      <c r="O28" s="2120"/>
      <c r="P28" s="2121">
        <f>SUMPRODUCT((地价!A3:A40=YEAR(G23)&amp;"-"&amp;ROUNDUP(MONTH(G23)/3,0))*(地价!AD2:AH2=N28)*(地价!AD3:AH40))</f>
        <v>0</v>
      </c>
      <c r="Q28" s="2162"/>
      <c r="R28" s="2162"/>
      <c r="S28" s="2162"/>
      <c r="T28" s="2027"/>
      <c r="U28" s="2027"/>
      <c r="V28" s="2027"/>
      <c r="W28" s="1860"/>
      <c r="X28" s="1860"/>
      <c r="Y28" s="1860"/>
      <c r="Z28" s="2094"/>
      <c r="AA28" s="2094"/>
      <c r="AB28" s="2094"/>
      <c r="AC28" s="2094"/>
      <c r="AD28" s="2094"/>
      <c r="AE28" s="2027"/>
      <c r="AF28" s="2027"/>
      <c r="AG28" s="2179"/>
      <c r="AH28" s="2179"/>
      <c r="AI28" s="2179"/>
      <c r="AJ28" s="2179"/>
    </row>
    <row r="29" spans="1:37" ht="15">
      <c r="A29" s="1969" t="s">
        <v>1448</v>
      </c>
      <c r="B29" s="1988" t="s">
        <v>1449</v>
      </c>
      <c r="C29" s="1989"/>
      <c r="D29" s="1893"/>
      <c r="E29" s="1893"/>
      <c r="F29" s="1990"/>
      <c r="G29" s="1893"/>
      <c r="H29" s="1893"/>
      <c r="I29" s="1893"/>
      <c r="J29" s="2072"/>
      <c r="K29" s="1860"/>
      <c r="L29" s="1861"/>
      <c r="M29" s="1861"/>
      <c r="N29" s="2122" t="s">
        <v>1450</v>
      </c>
      <c r="O29" s="2123"/>
      <c r="P29" s="2124">
        <f>SUMPRODUCT((地价!A3:A40=YEAR(G23)&amp;"-"&amp;ROUNDUP(MONTH(G23)/3,0))*(地价!AD2:AH2=N29)*(地价!AD3:AH40))</f>
        <v>0</v>
      </c>
      <c r="Q29" s="2162"/>
      <c r="R29" s="2162"/>
      <c r="S29" s="2162"/>
      <c r="T29" s="2027"/>
      <c r="U29" s="2027"/>
      <c r="V29" s="2027"/>
      <c r="W29" s="1860"/>
      <c r="X29" s="1860"/>
      <c r="Y29" s="1860"/>
      <c r="Z29" s="2094"/>
      <c r="AA29" s="2094"/>
      <c r="AB29" s="2094"/>
      <c r="AC29" s="2094"/>
      <c r="AD29" s="2094"/>
      <c r="AE29" s="1860"/>
      <c r="AF29" s="1860"/>
      <c r="AG29" s="1861"/>
      <c r="AH29" s="1861"/>
      <c r="AI29" s="1861"/>
      <c r="AJ29" s="1861"/>
    </row>
    <row r="30" spans="1:37" ht="15">
      <c r="A30" s="1991"/>
      <c r="B30" s="1978" t="s">
        <v>1451</v>
      </c>
      <c r="C30" s="1992">
        <f>IF(B25="容积率修正",E33+SUM(E37:E42),SUM(V2:V16)+SUM(E37:E42))</f>
        <v>512</v>
      </c>
      <c r="D30" s="1993"/>
      <c r="E30" s="1982"/>
      <c r="F30" s="1994"/>
      <c r="G30" s="1982"/>
      <c r="H30" s="1982"/>
      <c r="I30" s="1982"/>
      <c r="J30" s="2125"/>
      <c r="K30" s="1860"/>
      <c r="L30" s="2126" t="s">
        <v>1340</v>
      </c>
      <c r="M30" s="2127" t="s">
        <v>1452</v>
      </c>
      <c r="N30" s="2127" t="s">
        <v>1453</v>
      </c>
      <c r="O30" s="2127" t="s">
        <v>1454</v>
      </c>
      <c r="P30" s="2127" t="s">
        <v>1455</v>
      </c>
      <c r="Q30" s="2163" t="s">
        <v>280</v>
      </c>
      <c r="R30" s="2162"/>
      <c r="S30" s="2162"/>
      <c r="T30" s="2027"/>
      <c r="U30" s="2027"/>
      <c r="V30" s="2027"/>
      <c r="W30" s="1860"/>
      <c r="X30" s="1860"/>
      <c r="Y30" s="1860"/>
      <c r="Z30" s="2094"/>
      <c r="AA30" s="2094"/>
      <c r="AB30" s="2094"/>
      <c r="AC30" s="2094"/>
      <c r="AD30" s="2094"/>
      <c r="AE30" s="1860"/>
      <c r="AF30" s="1860"/>
      <c r="AG30" s="1861"/>
      <c r="AH30" s="1861"/>
      <c r="AI30" s="1861"/>
      <c r="AJ30" s="1861"/>
    </row>
    <row r="31" spans="1:37" ht="15">
      <c r="A31" s="1991"/>
      <c r="B31" s="1995" t="s">
        <v>1456</v>
      </c>
      <c r="C31" s="1996">
        <f>E34+SUM(I37:I42)</f>
        <v>0</v>
      </c>
      <c r="D31" s="1997"/>
      <c r="E31" s="1998"/>
      <c r="F31" s="1999"/>
      <c r="G31" s="1998"/>
      <c r="H31" s="1998"/>
      <c r="I31" s="1998"/>
      <c r="J31" s="2128"/>
      <c r="K31" s="1860"/>
      <c r="L31" s="2129" t="s">
        <v>1457</v>
      </c>
      <c r="M31" s="1869">
        <v>0.25</v>
      </c>
      <c r="N31" s="1869">
        <v>0.2</v>
      </c>
      <c r="O31" s="1869">
        <v>0.15</v>
      </c>
      <c r="P31" s="1869">
        <v>0.1</v>
      </c>
      <c r="Q31" s="2164">
        <v>0.15</v>
      </c>
      <c r="R31" s="2162"/>
      <c r="S31" s="2162"/>
      <c r="T31" s="2027"/>
      <c r="U31" s="2027"/>
      <c r="V31" s="2027"/>
      <c r="W31" s="1860"/>
      <c r="X31" s="1860"/>
      <c r="Y31" s="1860"/>
      <c r="Z31" s="2094"/>
      <c r="AA31" s="2094"/>
      <c r="AB31" s="2094"/>
      <c r="AC31" s="2094"/>
      <c r="AD31" s="2094"/>
      <c r="AE31" s="1860"/>
      <c r="AF31" s="1860"/>
      <c r="AG31" s="1861"/>
      <c r="AH31" s="1861"/>
      <c r="AI31" s="1861"/>
      <c r="AJ31" s="1861"/>
    </row>
    <row r="32" spans="1:37" ht="15">
      <c r="A32" s="2000"/>
      <c r="B32" s="2001" t="s">
        <v>1458</v>
      </c>
      <c r="C32" s="2002" t="s">
        <v>1459</v>
      </c>
      <c r="D32" s="2002" t="s">
        <v>561</v>
      </c>
      <c r="E32" s="2003" t="s">
        <v>1460</v>
      </c>
      <c r="F32" s="2004"/>
      <c r="G32" s="1915"/>
      <c r="H32" s="1915"/>
      <c r="I32" s="1915"/>
      <c r="J32" s="2078"/>
      <c r="K32" s="1860"/>
      <c r="L32" s="2130" t="s">
        <v>1430</v>
      </c>
      <c r="M32" s="2131">
        <f>ROUND($E$24*(1+M31),3)</f>
        <v>5.3999999999999999E-2</v>
      </c>
      <c r="N32" s="2131">
        <f>ROUND($E$24*(1+N31),3)</f>
        <v>5.1999999999999998E-2</v>
      </c>
      <c r="O32" s="2131">
        <f>ROUND($E$24*(1+O31),3)</f>
        <v>0.05</v>
      </c>
      <c r="P32" s="2131">
        <f>ROUND($E$24*(1+P31),3)</f>
        <v>4.8000000000000001E-2</v>
      </c>
      <c r="Q32" s="2165">
        <f>ROUND($E$24*(1+Q31),3)</f>
        <v>0.05</v>
      </c>
      <c r="R32" s="2162"/>
      <c r="S32" s="2162"/>
      <c r="T32" s="2027"/>
      <c r="U32" s="2027"/>
      <c r="V32" s="2027"/>
      <c r="W32" s="1860"/>
      <c r="X32" s="1860"/>
      <c r="Y32" s="1860"/>
      <c r="Z32" s="2094"/>
      <c r="AA32" s="2094"/>
      <c r="AB32" s="2094"/>
      <c r="AC32" s="2094"/>
      <c r="AD32" s="2094"/>
      <c r="AE32" s="1860"/>
      <c r="AF32" s="1860"/>
      <c r="AG32" s="1861"/>
      <c r="AH32" s="1861"/>
      <c r="AI32" s="1861"/>
      <c r="AJ32" s="1861"/>
    </row>
    <row r="33" spans="1:37" ht="14.25">
      <c r="A33" s="2005"/>
      <c r="B33" s="2006" t="s">
        <v>1461</v>
      </c>
      <c r="C33" s="2007">
        <f>ROUND(C5*C22*C23*C24*C25*C28,0)</f>
        <v>19477</v>
      </c>
      <c r="D33" s="2008">
        <f>'数据-基础表'!I13</f>
        <v>333.8</v>
      </c>
      <c r="E33" s="886">
        <f>ROUND(C33*D33/10000,0)</f>
        <v>650</v>
      </c>
      <c r="F33" s="2009" t="s">
        <v>1462</v>
      </c>
      <c r="G33" s="2010"/>
      <c r="H33" s="2010"/>
      <c r="I33" s="2010"/>
      <c r="J33" s="2132"/>
      <c r="K33" s="1860"/>
      <c r="L33" s="2133" t="s">
        <v>1463</v>
      </c>
      <c r="M33" s="2134">
        <v>5.5E-2</v>
      </c>
      <c r="N33" s="2134">
        <v>5.5E-2</v>
      </c>
      <c r="O33" s="2134">
        <v>0.05</v>
      </c>
      <c r="P33" s="2134">
        <v>0.05</v>
      </c>
      <c r="Q33" s="2134">
        <v>0.05</v>
      </c>
      <c r="R33" s="2162"/>
      <c r="S33" s="2162"/>
      <c r="T33" s="2027"/>
      <c r="U33" s="2027"/>
      <c r="V33" s="2027"/>
      <c r="W33" s="1860"/>
      <c r="X33" s="1860"/>
      <c r="Y33" s="1860"/>
      <c r="Z33" s="2094"/>
      <c r="AA33" s="2094"/>
      <c r="AB33" s="2094"/>
      <c r="AC33" s="2094"/>
      <c r="AD33" s="2094"/>
      <c r="AE33" s="2027"/>
      <c r="AF33" s="2027"/>
      <c r="AG33" s="2179"/>
      <c r="AH33" s="2179"/>
      <c r="AI33" s="2179"/>
      <c r="AJ33" s="2179"/>
    </row>
    <row r="34" spans="1:37" ht="24.75">
      <c r="A34" s="2011"/>
      <c r="B34" s="2012" t="s">
        <v>1464</v>
      </c>
      <c r="C34" s="1953" t="e">
        <f>ROUND(IF(E2="工业",C33*M42,IF(B25="楼层修正",SUM(V2:V16)*M41*10000/D34,C33*M41)),0)</f>
        <v>#DIV/0!</v>
      </c>
      <c r="D34" s="2013"/>
      <c r="E34" s="886">
        <f>ROUND(IF(B25="楼层修正",SUM(V2:V16)*M40,C34*D34/10000),0)</f>
        <v>0</v>
      </c>
      <c r="F34" s="2014" t="s">
        <v>1465</v>
      </c>
      <c r="G34" s="2015"/>
      <c r="H34" s="2015"/>
      <c r="I34" s="2015"/>
      <c r="J34" s="2135"/>
      <c r="K34" s="1860"/>
      <c r="L34" s="2133" t="s">
        <v>1466</v>
      </c>
      <c r="M34" s="2134">
        <v>6.5000000000000002E-2</v>
      </c>
      <c r="N34" s="2134">
        <v>6.5000000000000002E-2</v>
      </c>
      <c r="O34" s="2134">
        <v>0.06</v>
      </c>
      <c r="P34" s="2134">
        <v>0.06</v>
      </c>
      <c r="Q34" s="2134">
        <v>0.06</v>
      </c>
      <c r="R34" s="2162"/>
      <c r="S34" s="2162"/>
      <c r="T34" s="2027"/>
      <c r="U34" s="2027"/>
      <c r="V34" s="2027"/>
      <c r="W34" s="1860"/>
      <c r="X34" s="1860"/>
      <c r="Y34" s="1860"/>
      <c r="Z34" s="2094"/>
      <c r="AA34" s="2094"/>
      <c r="AB34" s="2094"/>
      <c r="AC34" s="2094"/>
      <c r="AD34" s="2094"/>
      <c r="AE34" s="2027"/>
      <c r="AF34" s="2027"/>
      <c r="AG34" s="2179"/>
      <c r="AH34" s="2179"/>
      <c r="AI34" s="2179"/>
      <c r="AJ34" s="2179"/>
    </row>
    <row r="35" spans="1:37">
      <c r="A35" s="2016"/>
      <c r="B35" s="2017" t="s">
        <v>1467</v>
      </c>
      <c r="C35" s="2018" t="s">
        <v>1468</v>
      </c>
      <c r="D35" s="1915"/>
      <c r="E35" s="2019"/>
      <c r="F35" s="2019"/>
      <c r="G35" s="1913" t="s">
        <v>1465</v>
      </c>
      <c r="H35" s="1915"/>
      <c r="I35" s="2136"/>
      <c r="J35" s="2078"/>
      <c r="K35" s="1860"/>
      <c r="L35" s="1860"/>
      <c r="M35" s="1860"/>
      <c r="N35" s="1860"/>
      <c r="O35" s="2096"/>
      <c r="P35" s="2096"/>
      <c r="Q35" s="2162"/>
      <c r="R35" s="1860"/>
      <c r="S35" s="1860"/>
      <c r="T35" s="1860"/>
      <c r="U35" s="1860"/>
      <c r="V35" s="1860"/>
      <c r="W35" s="1860"/>
      <c r="X35" s="1860"/>
      <c r="Y35" s="1860"/>
      <c r="Z35" s="2027"/>
      <c r="AA35" s="2027"/>
      <c r="AB35" s="2027"/>
      <c r="AC35" s="2027"/>
      <c r="AD35" s="2027"/>
      <c r="AE35" s="2027"/>
      <c r="AF35" s="2027"/>
      <c r="AG35" s="2179"/>
      <c r="AH35" s="2179"/>
      <c r="AI35" s="2179"/>
      <c r="AJ35" s="2179"/>
    </row>
    <row r="36" spans="1:37" ht="24">
      <c r="A36" s="2005"/>
      <c r="B36" s="2020"/>
      <c r="C36" s="802" t="s">
        <v>1459</v>
      </c>
      <c r="D36" s="799" t="s">
        <v>561</v>
      </c>
      <c r="E36" s="799" t="s">
        <v>1460</v>
      </c>
      <c r="F36" s="1852" t="s">
        <v>1469</v>
      </c>
      <c r="G36" s="2021" t="s">
        <v>1459</v>
      </c>
      <c r="H36" s="2021" t="s">
        <v>561</v>
      </c>
      <c r="I36" s="2021" t="s">
        <v>1460</v>
      </c>
      <c r="J36" s="431"/>
      <c r="K36" s="2137" t="s">
        <v>1470</v>
      </c>
      <c r="L36" s="2138">
        <f ca="1">'数据-取费表'!B40</f>
        <v>3.3500000000000002E-2</v>
      </c>
      <c r="M36" s="2139">
        <f ca="1">ROUND($L$36*(1+M31),3)</f>
        <v>4.2000000000000003E-2</v>
      </c>
      <c r="N36" s="2139">
        <f ca="1">ROUND($L$36*(1+N31),3)</f>
        <v>0.04</v>
      </c>
      <c r="O36" s="2139">
        <f ca="1">ROUND($L$36*(1+O31),3)</f>
        <v>3.9E-2</v>
      </c>
      <c r="P36" s="2139">
        <f ca="1">ROUND($L$36*(1+P31),3)</f>
        <v>3.6999999999999998E-2</v>
      </c>
      <c r="Q36" s="2139">
        <f ca="1">ROUND($L$36*(1+Q31),3)</f>
        <v>3.9E-2</v>
      </c>
      <c r="R36" s="1860"/>
      <c r="S36" s="1860"/>
      <c r="T36" s="1860"/>
      <c r="U36" s="1860"/>
      <c r="V36" s="1860"/>
      <c r="W36" s="1860"/>
      <c r="X36" s="1860"/>
      <c r="Y36" s="1860"/>
      <c r="Z36" s="2027"/>
      <c r="AA36" s="2027"/>
      <c r="AB36" s="2027"/>
      <c r="AC36" s="2027"/>
      <c r="AD36" s="2027"/>
      <c r="AE36" s="2027"/>
      <c r="AF36" s="2027"/>
      <c r="AG36" s="2179"/>
      <c r="AH36" s="2179"/>
      <c r="AI36" s="2179"/>
      <c r="AJ36" s="2179"/>
    </row>
    <row r="37" spans="1:37" ht="24">
      <c r="A37" s="3733"/>
      <c r="B37" s="2022" t="s">
        <v>1471</v>
      </c>
      <c r="C37" s="2007">
        <f>ROUND(D5*C22*C23*C24*C28*F37,0)</f>
        <v>7781</v>
      </c>
      <c r="D37" s="2008"/>
      <c r="E37" s="821">
        <f>ROUND(C37*D37/10000,0)</f>
        <v>0</v>
      </c>
      <c r="F37" s="821">
        <f>SUMIF(修正!A57:A68,G2,修正!B57:B68)</f>
        <v>0.6</v>
      </c>
      <c r="G37" s="821">
        <f>ROUND(IF(E2="工业",C37*$M$42,C37*$M$41),0)</f>
        <v>1945</v>
      </c>
      <c r="H37" s="821">
        <f>D37</f>
        <v>0</v>
      </c>
      <c r="I37" s="821">
        <f>ROUND(G37*H37/10000,0)</f>
        <v>0</v>
      </c>
      <c r="J37" s="2140"/>
      <c r="K37" s="2141" t="s">
        <v>1472</v>
      </c>
      <c r="L37" s="2137">
        <f ca="1">L36+K38</f>
        <v>3.85E-2</v>
      </c>
      <c r="M37" s="2139">
        <f ca="1">ROUND($L$37*(1+M31),3)</f>
        <v>4.8000000000000001E-2</v>
      </c>
      <c r="N37" s="2139">
        <f t="shared" ref="N37:Q37" ca="1" si="3">ROUND($L$37*(1+N31),3)</f>
        <v>4.5999999999999999E-2</v>
      </c>
      <c r="O37" s="2139">
        <f t="shared" ca="1" si="3"/>
        <v>4.3999999999999997E-2</v>
      </c>
      <c r="P37" s="2139">
        <f t="shared" ca="1" si="3"/>
        <v>4.2000000000000003E-2</v>
      </c>
      <c r="Q37" s="2139">
        <f t="shared" ca="1" si="3"/>
        <v>4.3999999999999997E-2</v>
      </c>
      <c r="R37" s="1860"/>
      <c r="S37" s="1860"/>
      <c r="T37" s="1860"/>
      <c r="U37" s="1860"/>
      <c r="V37" s="1860"/>
      <c r="W37" s="1860"/>
      <c r="X37" s="1860"/>
      <c r="Y37" s="1860"/>
      <c r="Z37" s="2027"/>
      <c r="AA37" s="2027"/>
      <c r="AB37" s="2027"/>
      <c r="AC37" s="2027"/>
      <c r="AD37" s="2027"/>
      <c r="AE37" s="2027"/>
      <c r="AF37" s="2027"/>
      <c r="AG37" s="2179"/>
      <c r="AH37" s="2179"/>
      <c r="AI37" s="2179"/>
      <c r="AJ37" s="2179"/>
    </row>
    <row r="38" spans="1:37">
      <c r="A38" s="3734"/>
      <c r="B38" s="1918" t="s">
        <v>1473</v>
      </c>
      <c r="C38" s="2007">
        <f>ROUND(D5*C22*C23*C24*C28*F38,0)</f>
        <v>3890</v>
      </c>
      <c r="D38" s="2008"/>
      <c r="E38" s="821">
        <f t="shared" ref="E38:E42" si="4">ROUND(C38*D38/10000,0)</f>
        <v>0</v>
      </c>
      <c r="F38" s="821">
        <f>SUMIF(修正!A57:A68,G2,修正!C57:C68)</f>
        <v>0.3</v>
      </c>
      <c r="G38" s="821">
        <f>ROUND(IF(E2="工业",C38*$M$42,C38*$M$41),0)</f>
        <v>973</v>
      </c>
      <c r="H38" s="821">
        <f t="shared" ref="H38:H42" si="5">D38</f>
        <v>0</v>
      </c>
      <c r="I38" s="821">
        <f t="shared" ref="I38:I42" si="6">ROUND(G38*H38/10000,0)</f>
        <v>0</v>
      </c>
      <c r="J38" s="2023"/>
      <c r="K38" s="2137">
        <v>5.0000000000000001E-3</v>
      </c>
      <c r="L38" s="2137"/>
      <c r="M38" s="2137"/>
      <c r="N38" s="2137"/>
      <c r="O38" s="2137"/>
      <c r="P38" s="2137"/>
      <c r="Q38" s="2137"/>
      <c r="R38" s="1860"/>
      <c r="S38" s="1860"/>
      <c r="T38" s="1860"/>
      <c r="U38" s="1860"/>
      <c r="V38" s="1860"/>
      <c r="W38" s="1860"/>
      <c r="X38" s="1860"/>
      <c r="Y38" s="1860"/>
      <c r="Z38" s="2027"/>
      <c r="AA38" s="2027"/>
      <c r="AB38" s="2027"/>
      <c r="AC38" s="2027"/>
      <c r="AD38" s="2027"/>
    </row>
    <row r="39" spans="1:37">
      <c r="A39" s="3734"/>
      <c r="B39" s="1918" t="s">
        <v>1474</v>
      </c>
      <c r="C39" s="2007">
        <f>ROUND(D5*C22*C23*C24*C28*F39,0)</f>
        <v>3242</v>
      </c>
      <c r="D39" s="2008"/>
      <c r="E39" s="821">
        <f t="shared" si="4"/>
        <v>0</v>
      </c>
      <c r="F39" s="821">
        <f>SUMIF(修正!A57:A68,G2,修正!D57:D68)</f>
        <v>0.25</v>
      </c>
      <c r="G39" s="821">
        <f>ROUND(IF(E2="工业",C39*$M$42,C39*$M$41),0)</f>
        <v>811</v>
      </c>
      <c r="H39" s="821">
        <f t="shared" si="5"/>
        <v>0</v>
      </c>
      <c r="I39" s="821">
        <f t="shared" si="6"/>
        <v>0</v>
      </c>
      <c r="J39" s="2023"/>
      <c r="K39" s="1860"/>
      <c r="L39" s="1860"/>
      <c r="M39" s="1860"/>
      <c r="N39" s="1860"/>
      <c r="O39" s="1860"/>
      <c r="P39" s="1860"/>
      <c r="Q39" s="1860"/>
      <c r="R39" s="1860"/>
      <c r="S39" s="1860"/>
      <c r="T39" s="1860"/>
      <c r="U39" s="1860"/>
      <c r="V39" s="1860"/>
      <c r="W39" s="1860"/>
      <c r="X39" s="1860"/>
      <c r="Y39" s="1860"/>
      <c r="Z39" s="2027"/>
      <c r="AA39" s="2027"/>
      <c r="AB39" s="2027"/>
      <c r="AC39" s="2027"/>
      <c r="AD39" s="2027"/>
    </row>
    <row r="40" spans="1:37" s="1860" customFormat="1">
      <c r="A40" s="2024"/>
      <c r="B40" s="1918" t="s">
        <v>1475</v>
      </c>
      <c r="C40" s="821">
        <f>ROUND(D5*C22*C23*C24*C28*F40,0)</f>
        <v>3242</v>
      </c>
      <c r="D40" s="2008"/>
      <c r="E40" s="821">
        <f t="shared" si="4"/>
        <v>0</v>
      </c>
      <c r="F40" s="2007">
        <f>SUMIF(修正!A57:A68,G2,修正!E57:E68)</f>
        <v>0.25</v>
      </c>
      <c r="G40" s="821">
        <f>ROUND(IF(E2="工业",C40*$M$42,C40*$M$41),0)</f>
        <v>811</v>
      </c>
      <c r="H40" s="821">
        <f t="shared" si="5"/>
        <v>0</v>
      </c>
      <c r="I40" s="821">
        <f t="shared" si="6"/>
        <v>0</v>
      </c>
      <c r="J40" s="2142"/>
      <c r="L40" s="2143" t="s">
        <v>1476</v>
      </c>
      <c r="M40" s="2144"/>
      <c r="Z40" s="2027"/>
      <c r="AA40" s="2027"/>
      <c r="AB40" s="2027"/>
      <c r="AC40" s="2027"/>
      <c r="AD40" s="2027"/>
      <c r="AE40" s="2027"/>
      <c r="AF40" s="2027"/>
      <c r="AG40" s="2027"/>
      <c r="AH40" s="2027"/>
      <c r="AI40" s="2027"/>
      <c r="AJ40" s="2027"/>
    </row>
    <row r="41" spans="1:37" s="1860" customFormat="1">
      <c r="A41" s="2024"/>
      <c r="B41" s="1918" t="s">
        <v>1477</v>
      </c>
      <c r="C41" s="821">
        <f>ROUND(D5*C22*C23*C44*C28*F41,0)</f>
        <v>0</v>
      </c>
      <c r="D41" s="2008"/>
      <c r="E41" s="821">
        <f t="shared" si="4"/>
        <v>0</v>
      </c>
      <c r="F41" s="2007">
        <f>SUMIF(修正!A57:A68,G2,修正!F57:F68)</f>
        <v>0.25</v>
      </c>
      <c r="G41" s="821">
        <f>ROUND(IF(E2="工业",C41*$M$42,C41*$M$41),0)</f>
        <v>0</v>
      </c>
      <c r="H41" s="821">
        <f t="shared" si="5"/>
        <v>0</v>
      </c>
      <c r="I41" s="821">
        <f t="shared" si="6"/>
        <v>0</v>
      </c>
      <c r="J41" s="2142"/>
      <c r="L41" s="2145" t="s">
        <v>1478</v>
      </c>
      <c r="M41" s="2146">
        <v>0.25</v>
      </c>
      <c r="Z41" s="2027"/>
      <c r="AA41" s="2027"/>
      <c r="AB41" s="2027"/>
      <c r="AC41" s="2027"/>
      <c r="AD41" s="2027"/>
      <c r="AE41" s="2027"/>
      <c r="AF41" s="2027"/>
      <c r="AG41" s="2027"/>
      <c r="AH41" s="2027"/>
      <c r="AI41" s="2027"/>
      <c r="AJ41" s="2027"/>
    </row>
    <row r="42" spans="1:37" s="1860" customFormat="1">
      <c r="A42" s="2011"/>
      <c r="B42" s="2025" t="s">
        <v>1479</v>
      </c>
      <c r="C42" s="1953">
        <f>ROUND(D5*C22*C23*C44*C28*F42,0)</f>
        <v>0</v>
      </c>
      <c r="D42" s="2013"/>
      <c r="E42" s="1953">
        <f t="shared" si="4"/>
        <v>0</v>
      </c>
      <c r="F42" s="2026">
        <f>SUMIF(修正!A57:A68,G2,修正!G57:G68)</f>
        <v>0.15</v>
      </c>
      <c r="G42" s="1953">
        <f>ROUND(IF(E2="工业",C42*$M$42,C42*$M$41),0)</f>
        <v>0</v>
      </c>
      <c r="H42" s="1953">
        <f t="shared" si="5"/>
        <v>0</v>
      </c>
      <c r="I42" s="1953">
        <f t="shared" si="6"/>
        <v>0</v>
      </c>
      <c r="J42" s="2147"/>
      <c r="L42" s="2148" t="s">
        <v>1455</v>
      </c>
      <c r="M42" s="2149">
        <v>0.15</v>
      </c>
      <c r="Z42" s="2027"/>
      <c r="AA42" s="2027"/>
      <c r="AB42" s="2027"/>
      <c r="AC42" s="2027"/>
      <c r="AD42" s="2027"/>
      <c r="AE42" s="2027"/>
      <c r="AF42" s="2027"/>
      <c r="AG42" s="2027"/>
      <c r="AH42" s="2027"/>
      <c r="AI42" s="2027"/>
      <c r="AJ42" s="2027"/>
    </row>
    <row r="43" spans="1:37" s="1860" customFormat="1">
      <c r="Z43" s="2027"/>
      <c r="AA43" s="2027"/>
      <c r="AB43" s="2027"/>
      <c r="AC43" s="2027"/>
      <c r="AD43" s="2027"/>
      <c r="AE43" s="2027"/>
      <c r="AF43" s="2027"/>
      <c r="AG43" s="2027"/>
      <c r="AH43" s="2027"/>
      <c r="AI43" s="2027"/>
      <c r="AJ43" s="2027"/>
    </row>
    <row r="44" spans="1:37" s="1860" customFormat="1">
      <c r="A44" s="2027"/>
      <c r="B44" s="2028" t="s">
        <v>1480</v>
      </c>
      <c r="C44" s="1852">
        <f>ROUND(POWER(1+E44,H44-G44)*(POWER(1+E44,G44)-1)/(POWER(1+E44,H44)-1),4)</f>
        <v>0</v>
      </c>
      <c r="D44" s="821" t="s">
        <v>1430</v>
      </c>
      <c r="E44" s="2029">
        <f>G24</f>
        <v>5.5E-2</v>
      </c>
      <c r="F44" s="821" t="s">
        <v>1431</v>
      </c>
      <c r="G44" s="2030"/>
      <c r="H44" s="821">
        <v>50</v>
      </c>
      <c r="Z44" s="2027"/>
      <c r="AA44" s="2027"/>
      <c r="AB44" s="2027"/>
      <c r="AC44" s="2027"/>
      <c r="AD44" s="2027"/>
      <c r="AE44" s="2027"/>
      <c r="AF44" s="2027"/>
      <c r="AG44" s="2027"/>
      <c r="AH44" s="2027"/>
      <c r="AI44" s="2027"/>
      <c r="AJ44" s="2027"/>
    </row>
    <row r="45" spans="1:37" s="1860" customFormat="1">
      <c r="A45" s="2027"/>
      <c r="B45" s="2031"/>
      <c r="Z45" s="2027"/>
      <c r="AA45" s="2027"/>
      <c r="AB45" s="2027"/>
      <c r="AC45" s="2027"/>
      <c r="AD45" s="2027"/>
      <c r="AE45" s="2027"/>
      <c r="AF45" s="2027"/>
      <c r="AG45" s="2027"/>
      <c r="AH45" s="2027"/>
      <c r="AI45" s="2027"/>
      <c r="AJ45" s="2027"/>
    </row>
    <row r="46" spans="1:37" s="1860" customFormat="1">
      <c r="A46" s="2027"/>
      <c r="B46" s="2031"/>
      <c r="AA46" s="2027"/>
      <c r="AB46" s="2027"/>
      <c r="AC46" s="2027"/>
      <c r="AD46" s="2027"/>
      <c r="AE46" s="2027"/>
      <c r="AF46" s="2027"/>
      <c r="AG46" s="2027"/>
      <c r="AH46" s="2027"/>
      <c r="AI46" s="2027"/>
      <c r="AJ46" s="2027"/>
      <c r="AK46" s="2027"/>
    </row>
    <row r="47" spans="1:37" s="1860" customFormat="1" ht="15">
      <c r="A47" s="2032" t="s">
        <v>1481</v>
      </c>
      <c r="B47" s="2033"/>
      <c r="C47" s="2034"/>
      <c r="D47" s="2034"/>
      <c r="E47" s="2034"/>
      <c r="F47" s="2035"/>
      <c r="G47" s="2035"/>
      <c r="H47" s="2035"/>
      <c r="I47" s="2150"/>
      <c r="J47" s="2150"/>
      <c r="K47" s="2150"/>
      <c r="L47" s="2150"/>
      <c r="M47" s="2150"/>
      <c r="AA47" s="2027"/>
      <c r="AB47" s="2027"/>
      <c r="AC47" s="2027"/>
      <c r="AD47" s="2027"/>
      <c r="AE47" s="2027"/>
      <c r="AF47" s="2027"/>
      <c r="AG47" s="2027"/>
      <c r="AH47" s="2027"/>
      <c r="AI47" s="2027"/>
      <c r="AJ47" s="2027"/>
      <c r="AK47" s="2027"/>
    </row>
    <row r="48" spans="1:37" s="1860" customFormat="1" ht="15">
      <c r="A48" s="2036" t="s">
        <v>1482</v>
      </c>
      <c r="B48" s="2037">
        <f>1+E50</f>
        <v>1.024</v>
      </c>
      <c r="C48" s="2038"/>
      <c r="D48" s="2039"/>
      <c r="E48" s="2040"/>
      <c r="F48" s="2041"/>
      <c r="G48" s="2035"/>
      <c r="H48" s="2034"/>
      <c r="I48" s="2150"/>
      <c r="J48" s="2150"/>
      <c r="K48" s="2150"/>
      <c r="L48" s="2150"/>
      <c r="M48" s="2150"/>
      <c r="AA48" s="2027"/>
      <c r="AB48" s="2027"/>
      <c r="AC48" s="2027"/>
      <c r="AD48" s="2027"/>
      <c r="AE48" s="2027"/>
      <c r="AF48" s="2027"/>
      <c r="AG48" s="2027"/>
      <c r="AH48" s="2027"/>
      <c r="AI48" s="2027"/>
      <c r="AJ48" s="2027"/>
      <c r="AK48" s="2027"/>
    </row>
    <row r="49" spans="1:37" s="1860" customFormat="1" ht="24.75">
      <c r="A49" s="2042" t="s">
        <v>1483</v>
      </c>
      <c r="B49" s="2043" t="s">
        <v>1484</v>
      </c>
      <c r="C49" s="2043" t="s">
        <v>1485</v>
      </c>
      <c r="D49" s="2043" t="s">
        <v>1486</v>
      </c>
      <c r="E49" s="2044" t="s">
        <v>1487</v>
      </c>
      <c r="F49" s="2045" t="s">
        <v>1488</v>
      </c>
      <c r="G49" s="2043" t="s">
        <v>1406</v>
      </c>
      <c r="H49" s="2046" t="s">
        <v>1489</v>
      </c>
      <c r="I49" s="2043" t="s">
        <v>1490</v>
      </c>
      <c r="J49" s="920" t="s">
        <v>1491</v>
      </c>
      <c r="K49" s="920" t="s">
        <v>1492</v>
      </c>
      <c r="L49" s="920" t="s">
        <v>1493</v>
      </c>
      <c r="M49" s="920" t="s">
        <v>1494</v>
      </c>
      <c r="N49" s="920" t="s">
        <v>1495</v>
      </c>
      <c r="AA49" s="2027"/>
      <c r="AB49" s="2027"/>
      <c r="AC49" s="2027"/>
      <c r="AD49" s="2027"/>
      <c r="AE49" s="2027"/>
      <c r="AF49" s="2027"/>
      <c r="AG49" s="2027"/>
      <c r="AH49" s="2027"/>
      <c r="AI49" s="2027"/>
      <c r="AJ49" s="2027"/>
      <c r="AK49" s="2027"/>
    </row>
    <row r="50" spans="1:37" s="1860" customFormat="1" ht="38.25">
      <c r="A50" s="2042" t="s">
        <v>1496</v>
      </c>
      <c r="B50" s="2047" t="str">
        <f>估价对象房地状况!C4</f>
        <v>估价对象位于XX商圈，周边商业氛围成熟，人流量大，商业繁华度好</v>
      </c>
      <c r="C50" s="1924" t="s">
        <v>1507</v>
      </c>
      <c r="D50" s="2048">
        <f t="shared" ref="D50:D58" si="7">SUMIF($J$49:$N$49,C50,J50:N50)</f>
        <v>0</v>
      </c>
      <c r="E50" s="2049">
        <f>ROUND(SUM(D50:D58),4)</f>
        <v>2.4E-2</v>
      </c>
      <c r="F50" s="2050">
        <f>IF(E2="商业",SUMIF(L1:L12,G2,N1:N12),"——")</f>
        <v>0.1</v>
      </c>
      <c r="G50" s="2051">
        <f>H50</f>
        <v>1.4999999999999999E-2</v>
      </c>
      <c r="H50" s="2052">
        <f t="shared" ref="H50:H58" si="8">IFERROR(ROUNDDOWN($F$50*I50/2,4),"——")</f>
        <v>1.4999999999999999E-2</v>
      </c>
      <c r="I50" s="2151">
        <v>0.3</v>
      </c>
      <c r="J50" s="2152">
        <f t="shared" ref="J50:J58" si="9">K50+$G50</f>
        <v>0.03</v>
      </c>
      <c r="K50" s="2152">
        <f t="shared" ref="K50:K58" si="10">$L50+$G50</f>
        <v>1.4999999999999999E-2</v>
      </c>
      <c r="L50" s="2152">
        <v>0</v>
      </c>
      <c r="M50" s="2152">
        <f t="shared" ref="M50:N58" si="11">L50-$G50</f>
        <v>-1.4999999999999999E-2</v>
      </c>
      <c r="N50" s="2152">
        <f t="shared" si="11"/>
        <v>-0.03</v>
      </c>
      <c r="AA50" s="2027"/>
      <c r="AB50" s="2027"/>
      <c r="AC50" s="2027"/>
      <c r="AD50" s="2027"/>
      <c r="AE50" s="2027"/>
      <c r="AF50" s="2027"/>
      <c r="AG50" s="2027"/>
      <c r="AH50" s="2027"/>
      <c r="AI50" s="2027"/>
      <c r="AJ50" s="2027"/>
      <c r="AK50" s="2027"/>
    </row>
    <row r="51" spans="1:37" s="1860" customFormat="1" ht="38.25">
      <c r="A51" s="2042" t="s">
        <v>1498</v>
      </c>
      <c r="B51" s="2053" t="str">
        <f>估价对象房地状况!C18</f>
        <v>估价对象周边道路状况、公共交通通达情况、停车便捷程度，综合评价交通便捷度较好</v>
      </c>
      <c r="C51" s="1924" t="s">
        <v>1507</v>
      </c>
      <c r="D51" s="2048">
        <f t="shared" si="7"/>
        <v>0</v>
      </c>
      <c r="E51" s="2054"/>
      <c r="F51" s="2050"/>
      <c r="G51" s="2051">
        <f t="shared" ref="G51:G58" si="12">H51</f>
        <v>1.0999999999999999E-2</v>
      </c>
      <c r="H51" s="2052">
        <f t="shared" si="8"/>
        <v>1.0999999999999999E-2</v>
      </c>
      <c r="I51" s="2151">
        <v>0.22</v>
      </c>
      <c r="J51" s="2152">
        <f t="shared" si="9"/>
        <v>2.1999999999999999E-2</v>
      </c>
      <c r="K51" s="2152">
        <f t="shared" si="10"/>
        <v>1.0999999999999999E-2</v>
      </c>
      <c r="L51" s="2152">
        <v>0</v>
      </c>
      <c r="M51" s="2152">
        <f t="shared" si="11"/>
        <v>-1.0999999999999999E-2</v>
      </c>
      <c r="N51" s="2152">
        <f t="shared" si="11"/>
        <v>-2.1999999999999999E-2</v>
      </c>
      <c r="AA51" s="2027"/>
      <c r="AB51" s="2027"/>
      <c r="AC51" s="2027"/>
      <c r="AD51" s="2027"/>
      <c r="AE51" s="2027"/>
      <c r="AF51" s="2027"/>
      <c r="AG51" s="2027"/>
      <c r="AH51" s="2027"/>
      <c r="AI51" s="2027"/>
      <c r="AJ51" s="2027"/>
      <c r="AK51" s="2027"/>
    </row>
    <row r="52" spans="1:37" s="1860" customFormat="1" ht="36">
      <c r="A52" s="2055" t="s">
        <v>1499</v>
      </c>
      <c r="B52" s="2053">
        <f>估价对象房地状况!C19</f>
        <v>0</v>
      </c>
      <c r="C52" s="1924" t="s">
        <v>1497</v>
      </c>
      <c r="D52" s="2048">
        <f t="shared" si="7"/>
        <v>6.0000000000000001E-3</v>
      </c>
      <c r="E52" s="2054"/>
      <c r="F52" s="2050"/>
      <c r="G52" s="2051">
        <f t="shared" si="12"/>
        <v>6.0000000000000001E-3</v>
      </c>
      <c r="H52" s="2052">
        <f t="shared" si="8"/>
        <v>6.0000000000000001E-3</v>
      </c>
      <c r="I52" s="2151">
        <v>0.12</v>
      </c>
      <c r="J52" s="2152">
        <f t="shared" si="9"/>
        <v>1.2E-2</v>
      </c>
      <c r="K52" s="2152">
        <f t="shared" si="10"/>
        <v>6.0000000000000001E-3</v>
      </c>
      <c r="L52" s="2152">
        <v>0</v>
      </c>
      <c r="M52" s="2152">
        <f t="shared" si="11"/>
        <v>-6.0000000000000001E-3</v>
      </c>
      <c r="N52" s="2152">
        <f t="shared" si="11"/>
        <v>-1.2E-2</v>
      </c>
      <c r="AA52" s="2027"/>
      <c r="AB52" s="2027"/>
      <c r="AC52" s="2027"/>
      <c r="AD52" s="2027"/>
      <c r="AE52" s="2027"/>
      <c r="AF52" s="2027"/>
      <c r="AG52" s="2027"/>
      <c r="AH52" s="2027"/>
      <c r="AI52" s="2027"/>
      <c r="AJ52" s="2027"/>
      <c r="AK52" s="2027"/>
    </row>
    <row r="53" spans="1:37" s="1860" customFormat="1" ht="36.75">
      <c r="A53" s="2042" t="s">
        <v>1500</v>
      </c>
      <c r="B53" s="2056" t="s">
        <v>1501</v>
      </c>
      <c r="C53" s="1924" t="s">
        <v>1497</v>
      </c>
      <c r="D53" s="2048">
        <f t="shared" si="7"/>
        <v>2.5000000000000001E-3</v>
      </c>
      <c r="E53" s="2054"/>
      <c r="F53" s="2050"/>
      <c r="G53" s="2051">
        <f t="shared" si="12"/>
        <v>2.5000000000000001E-3</v>
      </c>
      <c r="H53" s="2052">
        <f t="shared" si="8"/>
        <v>2.5000000000000001E-3</v>
      </c>
      <c r="I53" s="2151">
        <v>0.05</v>
      </c>
      <c r="J53" s="2152">
        <f t="shared" si="9"/>
        <v>5.0000000000000001E-3</v>
      </c>
      <c r="K53" s="2152">
        <f t="shared" si="10"/>
        <v>2.5000000000000001E-3</v>
      </c>
      <c r="L53" s="2152">
        <v>0</v>
      </c>
      <c r="M53" s="2152">
        <f t="shared" si="11"/>
        <v>-2.5000000000000001E-3</v>
      </c>
      <c r="N53" s="2152">
        <f t="shared" si="11"/>
        <v>-5.0000000000000001E-3</v>
      </c>
      <c r="AA53" s="2027"/>
      <c r="AB53" s="2027"/>
      <c r="AC53" s="2027"/>
      <c r="AD53" s="2027"/>
      <c r="AE53" s="2027"/>
      <c r="AF53" s="2027"/>
      <c r="AG53" s="2027"/>
      <c r="AH53" s="2027"/>
      <c r="AI53" s="2027"/>
      <c r="AJ53" s="2027"/>
      <c r="AK53" s="2027"/>
    </row>
    <row r="54" spans="1:37" s="1860" customFormat="1" ht="24">
      <c r="A54" s="2042" t="s">
        <v>1502</v>
      </c>
      <c r="B54" s="2053">
        <f>估价对象房地状况!C24</f>
        <v>0</v>
      </c>
      <c r="C54" s="1924" t="s">
        <v>1507</v>
      </c>
      <c r="D54" s="2048">
        <f t="shared" si="7"/>
        <v>0</v>
      </c>
      <c r="E54" s="2054"/>
      <c r="F54" s="2050"/>
      <c r="G54" s="2051">
        <f t="shared" si="12"/>
        <v>4.0000000000000001E-3</v>
      </c>
      <c r="H54" s="2052">
        <f t="shared" si="8"/>
        <v>4.0000000000000001E-3</v>
      </c>
      <c r="I54" s="2151">
        <v>0.08</v>
      </c>
      <c r="J54" s="2152">
        <f t="shared" si="9"/>
        <v>8.0000000000000002E-3</v>
      </c>
      <c r="K54" s="2152">
        <f t="shared" si="10"/>
        <v>4.0000000000000001E-3</v>
      </c>
      <c r="L54" s="2152">
        <v>0</v>
      </c>
      <c r="M54" s="2152">
        <f t="shared" si="11"/>
        <v>-4.0000000000000001E-3</v>
      </c>
      <c r="N54" s="2152">
        <f t="shared" si="11"/>
        <v>-8.0000000000000002E-3</v>
      </c>
      <c r="AA54" s="2027"/>
      <c r="AB54" s="2027"/>
      <c r="AC54" s="2027"/>
      <c r="AD54" s="2027"/>
      <c r="AE54" s="2027"/>
      <c r="AF54" s="2027"/>
      <c r="AG54" s="2027"/>
      <c r="AH54" s="2027"/>
      <c r="AI54" s="2027"/>
      <c r="AJ54" s="2027"/>
      <c r="AK54" s="2027"/>
    </row>
    <row r="55" spans="1:37" s="1860" customFormat="1" ht="24">
      <c r="A55" s="2042" t="s">
        <v>1504</v>
      </c>
      <c r="B55" s="2057" t="s">
        <v>1505</v>
      </c>
      <c r="C55" s="1924" t="s">
        <v>1497</v>
      </c>
      <c r="D55" s="2048">
        <f t="shared" si="7"/>
        <v>2.5000000000000001E-3</v>
      </c>
      <c r="E55" s="2054"/>
      <c r="F55" s="2050"/>
      <c r="G55" s="2051">
        <f t="shared" si="12"/>
        <v>2.5000000000000001E-3</v>
      </c>
      <c r="H55" s="2052">
        <f t="shared" si="8"/>
        <v>2.5000000000000001E-3</v>
      </c>
      <c r="I55" s="2151">
        <v>0.05</v>
      </c>
      <c r="J55" s="2152">
        <f t="shared" si="9"/>
        <v>5.0000000000000001E-3</v>
      </c>
      <c r="K55" s="2152">
        <f t="shared" si="10"/>
        <v>2.5000000000000001E-3</v>
      </c>
      <c r="L55" s="2152">
        <v>0</v>
      </c>
      <c r="M55" s="2152">
        <f t="shared" si="11"/>
        <v>-2.5000000000000001E-3</v>
      </c>
      <c r="N55" s="2152">
        <f t="shared" si="11"/>
        <v>-5.0000000000000001E-3</v>
      </c>
      <c r="AA55" s="2027"/>
      <c r="AB55" s="2027"/>
      <c r="AC55" s="2027"/>
      <c r="AD55" s="2027"/>
      <c r="AE55" s="2027"/>
      <c r="AF55" s="2027"/>
      <c r="AG55" s="2027"/>
      <c r="AH55" s="2027"/>
      <c r="AI55" s="2027"/>
      <c r="AJ55" s="2027"/>
      <c r="AK55" s="2027"/>
    </row>
    <row r="56" spans="1:37" s="1860" customFormat="1" ht="25.5">
      <c r="A56" s="2058" t="s">
        <v>1506</v>
      </c>
      <c r="B56" s="593" t="str">
        <f>估价对象房地状况!C21</f>
        <v>估价对象所在区域公共配套设施齐备情况</v>
      </c>
      <c r="C56" s="1924" t="s">
        <v>1497</v>
      </c>
      <c r="D56" s="2048">
        <f t="shared" si="7"/>
        <v>2.5000000000000001E-3</v>
      </c>
      <c r="E56" s="2054"/>
      <c r="F56" s="2050"/>
      <c r="G56" s="2051">
        <f t="shared" si="12"/>
        <v>2.5000000000000001E-3</v>
      </c>
      <c r="H56" s="2052">
        <f t="shared" si="8"/>
        <v>2.5000000000000001E-3</v>
      </c>
      <c r="I56" s="2151">
        <v>0.05</v>
      </c>
      <c r="J56" s="2152">
        <f t="shared" si="9"/>
        <v>5.0000000000000001E-3</v>
      </c>
      <c r="K56" s="2152">
        <f t="shared" si="10"/>
        <v>2.5000000000000001E-3</v>
      </c>
      <c r="L56" s="2152">
        <v>0</v>
      </c>
      <c r="M56" s="2152">
        <f t="shared" si="11"/>
        <v>-2.5000000000000001E-3</v>
      </c>
      <c r="N56" s="2152">
        <f t="shared" si="11"/>
        <v>-5.0000000000000001E-3</v>
      </c>
      <c r="AA56" s="2027"/>
      <c r="AB56" s="2027"/>
      <c r="AC56" s="2027"/>
      <c r="AD56" s="2027"/>
      <c r="AE56" s="2027"/>
      <c r="AF56" s="2027"/>
      <c r="AG56" s="2027"/>
      <c r="AH56" s="2027"/>
      <c r="AI56" s="2027"/>
      <c r="AJ56" s="2027"/>
      <c r="AK56" s="2027"/>
    </row>
    <row r="57" spans="1:37" s="1860" customFormat="1" ht="25.5">
      <c r="A57" s="2058" t="s">
        <v>1508</v>
      </c>
      <c r="B57" s="2053" t="str">
        <f>估价对象房地状况!C22</f>
        <v>估价对象所在区域基础设施水平</v>
      </c>
      <c r="C57" s="1924" t="s">
        <v>1509</v>
      </c>
      <c r="D57" s="2048">
        <f t="shared" si="7"/>
        <v>8.0000000000000002E-3</v>
      </c>
      <c r="E57" s="2054"/>
      <c r="F57" s="2050"/>
      <c r="G57" s="2051">
        <f t="shared" si="12"/>
        <v>4.0000000000000001E-3</v>
      </c>
      <c r="H57" s="2052">
        <f t="shared" si="8"/>
        <v>4.0000000000000001E-3</v>
      </c>
      <c r="I57" s="2151">
        <v>0.08</v>
      </c>
      <c r="J57" s="2152">
        <f t="shared" si="9"/>
        <v>8.0000000000000002E-3</v>
      </c>
      <c r="K57" s="2152">
        <f t="shared" si="10"/>
        <v>4.0000000000000001E-3</v>
      </c>
      <c r="L57" s="2152">
        <v>0</v>
      </c>
      <c r="M57" s="2152">
        <f t="shared" si="11"/>
        <v>-4.0000000000000001E-3</v>
      </c>
      <c r="N57" s="2152">
        <f t="shared" si="11"/>
        <v>-8.0000000000000002E-3</v>
      </c>
      <c r="AA57" s="2027"/>
      <c r="AB57" s="2027"/>
      <c r="AC57" s="2027"/>
      <c r="AD57" s="2027"/>
      <c r="AE57" s="2027"/>
      <c r="AF57" s="2027"/>
      <c r="AG57" s="2027"/>
      <c r="AH57" s="2027"/>
      <c r="AI57" s="2027"/>
      <c r="AJ57" s="2027"/>
      <c r="AK57" s="2027"/>
    </row>
    <row r="58" spans="1:37" s="1860" customFormat="1" ht="25.5">
      <c r="A58" s="2059" t="s">
        <v>1510</v>
      </c>
      <c r="B58" s="2060" t="str">
        <f>估价对象房地状况!C20</f>
        <v>区域自然环境：；人文环境；综合评价环境状况一般</v>
      </c>
      <c r="C58" s="1924" t="s">
        <v>1497</v>
      </c>
      <c r="D58" s="2048">
        <f t="shared" si="7"/>
        <v>2.5000000000000001E-3</v>
      </c>
      <c r="E58" s="2061"/>
      <c r="F58" s="2050"/>
      <c r="G58" s="2051">
        <f t="shared" si="12"/>
        <v>2.5000000000000001E-3</v>
      </c>
      <c r="H58" s="2052">
        <f t="shared" si="8"/>
        <v>2.5000000000000001E-3</v>
      </c>
      <c r="I58" s="2153">
        <v>0.05</v>
      </c>
      <c r="J58" s="2152">
        <f t="shared" si="9"/>
        <v>5.0000000000000001E-3</v>
      </c>
      <c r="K58" s="2152">
        <f t="shared" si="10"/>
        <v>2.5000000000000001E-3</v>
      </c>
      <c r="L58" s="2152">
        <v>0</v>
      </c>
      <c r="M58" s="2152">
        <f t="shared" si="11"/>
        <v>-2.5000000000000001E-3</v>
      </c>
      <c r="N58" s="2152">
        <f t="shared" si="11"/>
        <v>-5.0000000000000001E-3</v>
      </c>
      <c r="AA58" s="2027"/>
      <c r="AB58" s="2027"/>
      <c r="AC58" s="2027"/>
      <c r="AD58" s="2027"/>
      <c r="AE58" s="2027"/>
      <c r="AF58" s="2027"/>
      <c r="AG58" s="2027"/>
      <c r="AH58" s="2027"/>
      <c r="AI58" s="2027"/>
      <c r="AJ58" s="2027"/>
      <c r="AK58" s="2027"/>
    </row>
    <row r="59" spans="1:37" s="1860" customFormat="1" ht="15">
      <c r="A59" s="2036" t="s">
        <v>1511</v>
      </c>
      <c r="B59" s="2037" t="e">
        <f>1+E61</f>
        <v>#VALUE!</v>
      </c>
      <c r="C59" s="2039"/>
      <c r="D59" s="2039"/>
      <c r="E59" s="2040"/>
      <c r="F59" s="2041"/>
      <c r="G59" s="2035"/>
      <c r="H59" s="2035"/>
      <c r="I59" s="2035"/>
      <c r="J59" s="2034"/>
      <c r="K59" s="2034"/>
      <c r="L59" s="2034"/>
      <c r="M59" s="2034"/>
      <c r="N59" s="2034"/>
      <c r="AA59" s="2027"/>
      <c r="AB59" s="2027"/>
      <c r="AC59" s="2027"/>
      <c r="AD59" s="2027"/>
      <c r="AE59" s="2027"/>
      <c r="AF59" s="2027"/>
      <c r="AG59" s="2027"/>
      <c r="AH59" s="2027"/>
      <c r="AI59" s="2027"/>
      <c r="AJ59" s="2027"/>
      <c r="AK59" s="2027"/>
    </row>
    <row r="60" spans="1:37" s="1860" customFormat="1" ht="24.75">
      <c r="A60" s="2042" t="s">
        <v>1483</v>
      </c>
      <c r="B60" s="2043"/>
      <c r="C60" s="2043" t="s">
        <v>1485</v>
      </c>
      <c r="D60" s="2043" t="s">
        <v>1486</v>
      </c>
      <c r="E60" s="2044" t="s">
        <v>1487</v>
      </c>
      <c r="F60" s="2045" t="s">
        <v>1512</v>
      </c>
      <c r="G60" s="2043" t="s">
        <v>1406</v>
      </c>
      <c r="H60" s="2046" t="s">
        <v>1489</v>
      </c>
      <c r="I60" s="2043" t="s">
        <v>1490</v>
      </c>
      <c r="J60" s="920" t="s">
        <v>1491</v>
      </c>
      <c r="K60" s="920" t="s">
        <v>1492</v>
      </c>
      <c r="L60" s="920" t="s">
        <v>1493</v>
      </c>
      <c r="M60" s="920" t="s">
        <v>1494</v>
      </c>
      <c r="N60" s="920" t="s">
        <v>1495</v>
      </c>
      <c r="AA60" s="2027"/>
      <c r="AB60" s="2027"/>
      <c r="AC60" s="2027"/>
      <c r="AD60" s="2027"/>
      <c r="AE60" s="2027"/>
      <c r="AF60" s="2027"/>
      <c r="AG60" s="2027"/>
      <c r="AH60" s="2027"/>
      <c r="AI60" s="2027"/>
      <c r="AJ60" s="2027"/>
      <c r="AK60" s="2027"/>
    </row>
    <row r="61" spans="1:37" s="1860" customFormat="1" ht="38.25">
      <c r="A61" s="2042" t="s">
        <v>1513</v>
      </c>
      <c r="B61" s="2047" t="str">
        <f>估价对象房地状况!C17</f>
        <v>估价对象位于XX商圈，周边办公楼项目较多，入驻率高，办公集聚程度较好</v>
      </c>
      <c r="C61" s="1924" t="s">
        <v>1507</v>
      </c>
      <c r="D61" s="2048">
        <f t="shared" ref="D61:D69" si="13">SUMIF($J$60:$N$60,C61,J61:N61)</f>
        <v>0</v>
      </c>
      <c r="E61" s="2049" t="e">
        <f>ROUND(SUM(D61:D69),4)</f>
        <v>#VALUE!</v>
      </c>
      <c r="F61" s="2050" t="str">
        <f>IF(E2="办公",SUMIF(L1:L12,G2,N1:N12),"——")</f>
        <v>——</v>
      </c>
      <c r="G61" s="2051" t="str">
        <f>H61</f>
        <v>——</v>
      </c>
      <c r="H61" s="2052" t="str">
        <f t="shared" ref="H61:H69" si="14">IFERROR(ROUNDDOWN($F$61*I61/2,4),"——")</f>
        <v>——</v>
      </c>
      <c r="I61" s="2151">
        <v>0.25</v>
      </c>
      <c r="J61" s="2152" t="e">
        <f t="shared" ref="J61:J69" si="15">K61+$G61</f>
        <v>#VALUE!</v>
      </c>
      <c r="K61" s="2152" t="e">
        <f t="shared" ref="K61:K69" si="16">$L61+$G61</f>
        <v>#VALUE!</v>
      </c>
      <c r="L61" s="2152">
        <v>0</v>
      </c>
      <c r="M61" s="2152" t="e">
        <f t="shared" ref="M61:N69" si="17">L61-$G61</f>
        <v>#VALUE!</v>
      </c>
      <c r="N61" s="2152" t="e">
        <f t="shared" si="17"/>
        <v>#VALUE!</v>
      </c>
      <c r="AA61" s="2027"/>
      <c r="AB61" s="2027"/>
      <c r="AC61" s="2027"/>
      <c r="AD61" s="2027"/>
      <c r="AE61" s="2027"/>
      <c r="AF61" s="2027"/>
      <c r="AG61" s="2027"/>
      <c r="AH61" s="2027"/>
      <c r="AI61" s="2027"/>
      <c r="AJ61" s="2027"/>
      <c r="AK61" s="2027"/>
    </row>
    <row r="62" spans="1:37" s="1860" customFormat="1" ht="38.25">
      <c r="A62" s="2042" t="s">
        <v>1498</v>
      </c>
      <c r="B62" s="2053" t="str">
        <f>估价对象房地状况!C18</f>
        <v>估价对象周边道路状况、公共交通通达情况、停车便捷程度，综合评价交通便捷度较好</v>
      </c>
      <c r="C62" s="1924" t="s">
        <v>1497</v>
      </c>
      <c r="D62" s="2048" t="e">
        <f t="shared" si="13"/>
        <v>#VALUE!</v>
      </c>
      <c r="E62" s="2054"/>
      <c r="F62" s="2050"/>
      <c r="G62" s="2051" t="str">
        <f t="shared" ref="G62:G69" si="18">H62</f>
        <v>——</v>
      </c>
      <c r="H62" s="2052" t="str">
        <f t="shared" si="14"/>
        <v>——</v>
      </c>
      <c r="I62" s="2151">
        <v>0.26</v>
      </c>
      <c r="J62" s="2152" t="e">
        <f t="shared" si="15"/>
        <v>#VALUE!</v>
      </c>
      <c r="K62" s="2152" t="e">
        <f t="shared" si="16"/>
        <v>#VALUE!</v>
      </c>
      <c r="L62" s="2152">
        <v>0</v>
      </c>
      <c r="M62" s="2152" t="e">
        <f t="shared" si="17"/>
        <v>#VALUE!</v>
      </c>
      <c r="N62" s="2152" t="e">
        <f t="shared" si="17"/>
        <v>#VALUE!</v>
      </c>
      <c r="AA62" s="2027"/>
      <c r="AB62" s="2027"/>
      <c r="AC62" s="2027"/>
      <c r="AD62" s="2027"/>
      <c r="AE62" s="2027"/>
      <c r="AF62" s="2027"/>
      <c r="AG62" s="2027"/>
      <c r="AH62" s="2027"/>
      <c r="AI62" s="2027"/>
      <c r="AJ62" s="2027"/>
      <c r="AK62" s="2027"/>
    </row>
    <row r="63" spans="1:37" s="1860" customFormat="1" ht="36">
      <c r="A63" s="2055" t="s">
        <v>1499</v>
      </c>
      <c r="B63" s="2053">
        <f>估价对象房地状况!C19</f>
        <v>0</v>
      </c>
      <c r="C63" s="1924" t="s">
        <v>1497</v>
      </c>
      <c r="D63" s="2048" t="e">
        <f t="shared" si="13"/>
        <v>#VALUE!</v>
      </c>
      <c r="E63" s="2054"/>
      <c r="F63" s="2050"/>
      <c r="G63" s="2051" t="str">
        <f t="shared" si="18"/>
        <v>——</v>
      </c>
      <c r="H63" s="2052" t="str">
        <f t="shared" si="14"/>
        <v>——</v>
      </c>
      <c r="I63" s="2151">
        <v>0.11</v>
      </c>
      <c r="J63" s="2152" t="e">
        <f t="shared" si="15"/>
        <v>#VALUE!</v>
      </c>
      <c r="K63" s="2152" t="e">
        <f t="shared" si="16"/>
        <v>#VALUE!</v>
      </c>
      <c r="L63" s="2152">
        <v>0</v>
      </c>
      <c r="M63" s="2152" t="e">
        <f t="shared" si="17"/>
        <v>#VALUE!</v>
      </c>
      <c r="N63" s="2152" t="e">
        <f t="shared" si="17"/>
        <v>#VALUE!</v>
      </c>
      <c r="AA63" s="2027"/>
      <c r="AB63" s="2027"/>
      <c r="AC63" s="2027"/>
      <c r="AD63" s="2027"/>
      <c r="AE63" s="2027"/>
      <c r="AF63" s="2027"/>
      <c r="AG63" s="2027"/>
      <c r="AH63" s="2027"/>
      <c r="AI63" s="2027"/>
      <c r="AJ63" s="2027"/>
      <c r="AK63" s="2027"/>
    </row>
    <row r="64" spans="1:37" s="1860" customFormat="1" ht="36.75">
      <c r="A64" s="2042" t="s">
        <v>1500</v>
      </c>
      <c r="B64" s="2056" t="s">
        <v>1501</v>
      </c>
      <c r="C64" s="1924" t="s">
        <v>1497</v>
      </c>
      <c r="D64" s="2048" t="e">
        <f t="shared" si="13"/>
        <v>#VALUE!</v>
      </c>
      <c r="E64" s="2054"/>
      <c r="F64" s="2050"/>
      <c r="G64" s="2051" t="str">
        <f t="shared" si="18"/>
        <v>——</v>
      </c>
      <c r="H64" s="2052" t="str">
        <f t="shared" si="14"/>
        <v>——</v>
      </c>
      <c r="I64" s="2151">
        <v>0.05</v>
      </c>
      <c r="J64" s="2152" t="e">
        <f t="shared" si="15"/>
        <v>#VALUE!</v>
      </c>
      <c r="K64" s="2152" t="e">
        <f t="shared" si="16"/>
        <v>#VALUE!</v>
      </c>
      <c r="L64" s="2152">
        <v>0</v>
      </c>
      <c r="M64" s="2152" t="e">
        <f t="shared" si="17"/>
        <v>#VALUE!</v>
      </c>
      <c r="N64" s="2152" t="e">
        <f t="shared" si="17"/>
        <v>#VALUE!</v>
      </c>
      <c r="AA64" s="2027"/>
      <c r="AB64" s="2027"/>
      <c r="AC64" s="2027"/>
      <c r="AD64" s="2027"/>
      <c r="AE64" s="2027"/>
      <c r="AF64" s="2027"/>
      <c r="AG64" s="2027"/>
      <c r="AH64" s="2027"/>
      <c r="AI64" s="2027"/>
      <c r="AJ64" s="2027"/>
      <c r="AK64" s="2027"/>
    </row>
    <row r="65" spans="1:37" s="1860" customFormat="1" ht="24">
      <c r="A65" s="2042" t="s">
        <v>1502</v>
      </c>
      <c r="B65" s="2053">
        <f>估价对象房地状况!C24</f>
        <v>0</v>
      </c>
      <c r="C65" s="1924" t="s">
        <v>1507</v>
      </c>
      <c r="D65" s="2048">
        <f t="shared" si="13"/>
        <v>0</v>
      </c>
      <c r="E65" s="2054"/>
      <c r="F65" s="2050"/>
      <c r="G65" s="2051" t="str">
        <f t="shared" si="18"/>
        <v>——</v>
      </c>
      <c r="H65" s="2052" t="str">
        <f t="shared" si="14"/>
        <v>——</v>
      </c>
      <c r="I65" s="2151">
        <v>0.05</v>
      </c>
      <c r="J65" s="2152" t="e">
        <f t="shared" si="15"/>
        <v>#VALUE!</v>
      </c>
      <c r="K65" s="2152" t="e">
        <f t="shared" si="16"/>
        <v>#VALUE!</v>
      </c>
      <c r="L65" s="2152">
        <v>0</v>
      </c>
      <c r="M65" s="2152" t="e">
        <f t="shared" si="17"/>
        <v>#VALUE!</v>
      </c>
      <c r="N65" s="2152" t="e">
        <f t="shared" si="17"/>
        <v>#VALUE!</v>
      </c>
      <c r="AA65" s="2027"/>
      <c r="AB65" s="2027"/>
      <c r="AC65" s="2027"/>
      <c r="AD65" s="2027"/>
      <c r="AE65" s="2027"/>
      <c r="AF65" s="2027"/>
      <c r="AG65" s="2027"/>
      <c r="AH65" s="2027"/>
      <c r="AI65" s="2027"/>
      <c r="AJ65" s="2027"/>
      <c r="AK65" s="2027"/>
    </row>
    <row r="66" spans="1:37" s="1860" customFormat="1" ht="24">
      <c r="A66" s="2042" t="s">
        <v>1504</v>
      </c>
      <c r="B66" s="2057" t="s">
        <v>1505</v>
      </c>
      <c r="C66" s="1924" t="s">
        <v>1497</v>
      </c>
      <c r="D66" s="2048" t="e">
        <f t="shared" si="13"/>
        <v>#VALUE!</v>
      </c>
      <c r="E66" s="2054"/>
      <c r="F66" s="2050"/>
      <c r="G66" s="2051" t="str">
        <f t="shared" si="18"/>
        <v>——</v>
      </c>
      <c r="H66" s="2052" t="str">
        <f t="shared" si="14"/>
        <v>——</v>
      </c>
      <c r="I66" s="2151">
        <v>0.06</v>
      </c>
      <c r="J66" s="2152" t="e">
        <f t="shared" si="15"/>
        <v>#VALUE!</v>
      </c>
      <c r="K66" s="2152" t="e">
        <f t="shared" si="16"/>
        <v>#VALUE!</v>
      </c>
      <c r="L66" s="2152">
        <v>0</v>
      </c>
      <c r="M66" s="2152" t="e">
        <f t="shared" si="17"/>
        <v>#VALUE!</v>
      </c>
      <c r="N66" s="2152" t="e">
        <f t="shared" si="17"/>
        <v>#VALUE!</v>
      </c>
      <c r="AA66" s="2027"/>
      <c r="AB66" s="2027"/>
      <c r="AC66" s="2027"/>
      <c r="AD66" s="2027"/>
      <c r="AE66" s="2027"/>
      <c r="AF66" s="2027"/>
      <c r="AG66" s="2027"/>
      <c r="AH66" s="2027"/>
      <c r="AI66" s="2027"/>
      <c r="AJ66" s="2027"/>
      <c r="AK66" s="2027"/>
    </row>
    <row r="67" spans="1:37" s="1860" customFormat="1" ht="25.5">
      <c r="A67" s="2042" t="s">
        <v>1506</v>
      </c>
      <c r="B67" s="593" t="str">
        <f>估价对象房地状况!C21</f>
        <v>估价对象所在区域公共配套设施齐备情况</v>
      </c>
      <c r="C67" s="1924" t="s">
        <v>1509</v>
      </c>
      <c r="D67" s="2048" t="e">
        <f t="shared" si="13"/>
        <v>#VALUE!</v>
      </c>
      <c r="E67" s="2054"/>
      <c r="F67" s="2050"/>
      <c r="G67" s="2051" t="str">
        <f t="shared" si="18"/>
        <v>——</v>
      </c>
      <c r="H67" s="2052" t="str">
        <f t="shared" si="14"/>
        <v>——</v>
      </c>
      <c r="I67" s="2151">
        <v>0.06</v>
      </c>
      <c r="J67" s="2152" t="e">
        <f t="shared" si="15"/>
        <v>#VALUE!</v>
      </c>
      <c r="K67" s="2152" t="e">
        <f t="shared" si="16"/>
        <v>#VALUE!</v>
      </c>
      <c r="L67" s="2152">
        <v>0</v>
      </c>
      <c r="M67" s="2152" t="e">
        <f t="shared" si="17"/>
        <v>#VALUE!</v>
      </c>
      <c r="N67" s="2152" t="e">
        <f t="shared" si="17"/>
        <v>#VALUE!</v>
      </c>
      <c r="AA67" s="2027"/>
      <c r="AB67" s="2027"/>
      <c r="AC67" s="2027"/>
      <c r="AD67" s="2027"/>
      <c r="AE67" s="2027"/>
      <c r="AF67" s="2027"/>
      <c r="AG67" s="2027"/>
      <c r="AH67" s="2027"/>
      <c r="AI67" s="2027"/>
      <c r="AJ67" s="2027"/>
      <c r="AK67" s="2027"/>
    </row>
    <row r="68" spans="1:37" s="1860" customFormat="1" ht="25.5">
      <c r="A68" s="2042" t="s">
        <v>1508</v>
      </c>
      <c r="B68" s="593" t="str">
        <f>估价对象房地状况!C22</f>
        <v>估价对象所在区域基础设施水平</v>
      </c>
      <c r="C68" s="1924" t="s">
        <v>1497</v>
      </c>
      <c r="D68" s="2048" t="e">
        <f t="shared" si="13"/>
        <v>#VALUE!</v>
      </c>
      <c r="E68" s="2054"/>
      <c r="F68" s="2050"/>
      <c r="G68" s="2051" t="str">
        <f t="shared" si="18"/>
        <v>——</v>
      </c>
      <c r="H68" s="2052" t="str">
        <f t="shared" si="14"/>
        <v>——</v>
      </c>
      <c r="I68" s="2151">
        <v>0.09</v>
      </c>
      <c r="J68" s="2152" t="e">
        <f t="shared" si="15"/>
        <v>#VALUE!</v>
      </c>
      <c r="K68" s="2152" t="e">
        <f t="shared" si="16"/>
        <v>#VALUE!</v>
      </c>
      <c r="L68" s="2152">
        <v>0</v>
      </c>
      <c r="M68" s="2152" t="e">
        <f t="shared" si="17"/>
        <v>#VALUE!</v>
      </c>
      <c r="N68" s="2152" t="e">
        <f t="shared" si="17"/>
        <v>#VALUE!</v>
      </c>
      <c r="AA68" s="2027"/>
      <c r="AB68" s="2027"/>
      <c r="AC68" s="2027"/>
      <c r="AD68" s="2027"/>
      <c r="AE68" s="2027"/>
      <c r="AF68" s="2027"/>
      <c r="AG68" s="2027"/>
      <c r="AH68" s="2027"/>
      <c r="AI68" s="2027"/>
      <c r="AJ68" s="2027"/>
      <c r="AK68" s="2027"/>
    </row>
    <row r="69" spans="1:37" s="1860" customFormat="1" ht="25.5">
      <c r="A69" s="2059" t="s">
        <v>1510</v>
      </c>
      <c r="B69" s="2183" t="str">
        <f>估价对象房地状况!C20</f>
        <v>区域自然环境：；人文环境；综合评价环境状况一般</v>
      </c>
      <c r="C69" s="1924" t="s">
        <v>1497</v>
      </c>
      <c r="D69" s="2048" t="e">
        <f t="shared" si="13"/>
        <v>#VALUE!</v>
      </c>
      <c r="E69" s="2061"/>
      <c r="F69" s="2050"/>
      <c r="G69" s="2051" t="str">
        <f t="shared" si="18"/>
        <v>——</v>
      </c>
      <c r="H69" s="2052" t="str">
        <f t="shared" si="14"/>
        <v>——</v>
      </c>
      <c r="I69" s="2153">
        <v>7.0000000000000007E-2</v>
      </c>
      <c r="J69" s="2152" t="e">
        <f t="shared" si="15"/>
        <v>#VALUE!</v>
      </c>
      <c r="K69" s="2152" t="e">
        <f t="shared" si="16"/>
        <v>#VALUE!</v>
      </c>
      <c r="L69" s="2152">
        <v>0</v>
      </c>
      <c r="M69" s="2152" t="e">
        <f t="shared" si="17"/>
        <v>#VALUE!</v>
      </c>
      <c r="N69" s="2152" t="e">
        <f t="shared" si="17"/>
        <v>#VALUE!</v>
      </c>
      <c r="AA69" s="2027"/>
      <c r="AB69" s="2027"/>
      <c r="AC69" s="2027"/>
      <c r="AD69" s="2027"/>
      <c r="AE69" s="2027"/>
      <c r="AF69" s="2027"/>
      <c r="AG69" s="2027"/>
      <c r="AH69" s="2027"/>
      <c r="AI69" s="2027"/>
      <c r="AJ69" s="2027"/>
      <c r="AK69" s="2027"/>
    </row>
    <row r="70" spans="1:37" s="1860" customFormat="1" ht="15">
      <c r="A70" s="2036" t="s">
        <v>1514</v>
      </c>
      <c r="B70" s="2037">
        <f>1+E72</f>
        <v>1</v>
      </c>
      <c r="C70" s="2039"/>
      <c r="D70" s="2039"/>
      <c r="E70" s="2040"/>
      <c r="F70" s="2041"/>
      <c r="G70" s="2035"/>
      <c r="H70" s="2035"/>
      <c r="I70" s="2035"/>
      <c r="J70" s="2034"/>
      <c r="K70" s="2034"/>
      <c r="L70" s="2034"/>
      <c r="M70" s="2034"/>
      <c r="N70" s="2034"/>
      <c r="AA70" s="2027"/>
      <c r="AB70" s="2027"/>
      <c r="AC70" s="2027"/>
      <c r="AD70" s="2027"/>
      <c r="AE70" s="2027"/>
      <c r="AF70" s="2027"/>
      <c r="AG70" s="2027"/>
      <c r="AH70" s="2027"/>
      <c r="AI70" s="2027"/>
      <c r="AJ70" s="2027"/>
      <c r="AK70" s="2027"/>
    </row>
    <row r="71" spans="1:37" s="1860" customFormat="1" ht="24.75">
      <c r="A71" s="2042" t="s">
        <v>1483</v>
      </c>
      <c r="B71" s="2043"/>
      <c r="C71" s="2043" t="s">
        <v>1485</v>
      </c>
      <c r="D71" s="2043" t="s">
        <v>1486</v>
      </c>
      <c r="E71" s="2044" t="s">
        <v>1487</v>
      </c>
      <c r="F71" s="2045" t="s">
        <v>1512</v>
      </c>
      <c r="G71" s="2043" t="s">
        <v>1406</v>
      </c>
      <c r="H71" s="2046" t="s">
        <v>1489</v>
      </c>
      <c r="I71" s="2043" t="s">
        <v>1490</v>
      </c>
      <c r="J71" s="920" t="s">
        <v>1491</v>
      </c>
      <c r="K71" s="920" t="s">
        <v>1492</v>
      </c>
      <c r="L71" s="920" t="s">
        <v>1493</v>
      </c>
      <c r="M71" s="920" t="s">
        <v>1494</v>
      </c>
      <c r="N71" s="920" t="s">
        <v>1495</v>
      </c>
      <c r="AA71" s="2027"/>
      <c r="AB71" s="2027"/>
      <c r="AC71" s="2027"/>
      <c r="AD71" s="2027"/>
      <c r="AE71" s="2027"/>
      <c r="AF71" s="2027"/>
      <c r="AG71" s="2027"/>
      <c r="AH71" s="2027"/>
      <c r="AI71" s="2027"/>
      <c r="AJ71" s="2027"/>
      <c r="AK71" s="2027"/>
    </row>
    <row r="72" spans="1:37" s="1860" customFormat="1" ht="51">
      <c r="A72" s="2042" t="s">
        <v>1515</v>
      </c>
      <c r="B72" s="2047" t="str">
        <f>估价对象房地状况!C15</f>
        <v>估价对象周边居住用地比例、居住小区规模和社区发展完善程度，综合评价居住社区成熟度一般</v>
      </c>
      <c r="C72" s="1924"/>
      <c r="D72" s="2048">
        <f t="shared" ref="D72:D80" si="19">SUMIF($J$71:$N$71,C72,J72:N72)</f>
        <v>0</v>
      </c>
      <c r="E72" s="2049">
        <f>ROUND(SUM(D72:D80),4)</f>
        <v>0</v>
      </c>
      <c r="F72" s="2050" t="str">
        <f>IF(E2="住宅",SUMIF(L1:L12,G2,N1:N12),"——")</f>
        <v>——</v>
      </c>
      <c r="G72" s="2051"/>
      <c r="H72" s="2052" t="str">
        <f t="shared" ref="H72:H80" si="20">IFERROR(ROUNDDOWN($F$72*I72/2,4),"——")</f>
        <v>——</v>
      </c>
      <c r="I72" s="2151">
        <v>0.2</v>
      </c>
      <c r="J72" s="2152">
        <f t="shared" ref="J72:J80" si="21">K72+$G72</f>
        <v>0</v>
      </c>
      <c r="K72" s="2152">
        <f t="shared" ref="K72:K80" si="22">$L72+$G72</f>
        <v>0</v>
      </c>
      <c r="L72" s="2152">
        <v>0</v>
      </c>
      <c r="M72" s="2152">
        <f t="shared" ref="M72:N80" si="23">L72-$G72</f>
        <v>0</v>
      </c>
      <c r="N72" s="2152">
        <f t="shared" si="23"/>
        <v>0</v>
      </c>
      <c r="AA72" s="2027"/>
      <c r="AB72" s="2027"/>
      <c r="AC72" s="2027"/>
      <c r="AD72" s="2027"/>
      <c r="AE72" s="2027"/>
      <c r="AF72" s="2027"/>
      <c r="AG72" s="2027"/>
      <c r="AH72" s="2027"/>
      <c r="AI72" s="2027"/>
      <c r="AJ72" s="2027"/>
      <c r="AK72" s="2027"/>
    </row>
    <row r="73" spans="1:37" s="1860" customFormat="1" ht="38.25">
      <c r="A73" s="2042" t="s">
        <v>1498</v>
      </c>
      <c r="B73" s="2053" t="str">
        <f>估价对象房地状况!C18</f>
        <v>估价对象周边道路状况、公共交通通达情况、停车便捷程度，综合评价交通便捷度较好</v>
      </c>
      <c r="C73" s="1924"/>
      <c r="D73" s="2048">
        <f t="shared" si="19"/>
        <v>0</v>
      </c>
      <c r="E73" s="2184"/>
      <c r="F73" s="2050"/>
      <c r="G73" s="2051"/>
      <c r="H73" s="2052" t="str">
        <f t="shared" si="20"/>
        <v>——</v>
      </c>
      <c r="I73" s="2151">
        <v>0.26</v>
      </c>
      <c r="J73" s="2152">
        <f t="shared" si="21"/>
        <v>0</v>
      </c>
      <c r="K73" s="2152">
        <f t="shared" si="22"/>
        <v>0</v>
      </c>
      <c r="L73" s="2152">
        <v>0</v>
      </c>
      <c r="M73" s="2152">
        <f t="shared" si="23"/>
        <v>0</v>
      </c>
      <c r="N73" s="2152">
        <f t="shared" si="23"/>
        <v>0</v>
      </c>
      <c r="AA73" s="2027"/>
      <c r="AB73" s="2027"/>
      <c r="AC73" s="2027"/>
      <c r="AD73" s="2027"/>
      <c r="AE73" s="2027"/>
      <c r="AF73" s="2027"/>
      <c r="AG73" s="2027"/>
      <c r="AH73" s="2027"/>
      <c r="AI73" s="2027"/>
      <c r="AJ73" s="2027"/>
      <c r="AK73" s="2027"/>
    </row>
    <row r="74" spans="1:37" s="1861" customFormat="1" ht="36">
      <c r="A74" s="2055" t="s">
        <v>1499</v>
      </c>
      <c r="B74" s="2053">
        <f>估价对象房地状况!C19</f>
        <v>0</v>
      </c>
      <c r="C74" s="1924"/>
      <c r="D74" s="2048">
        <f t="shared" si="19"/>
        <v>0</v>
      </c>
      <c r="E74" s="2184"/>
      <c r="F74" s="2050"/>
      <c r="G74" s="2051"/>
      <c r="H74" s="2052" t="str">
        <f t="shared" si="20"/>
        <v>——</v>
      </c>
      <c r="I74" s="2151">
        <v>0.1</v>
      </c>
      <c r="J74" s="2152">
        <f t="shared" si="21"/>
        <v>0</v>
      </c>
      <c r="K74" s="2152">
        <f t="shared" si="22"/>
        <v>0</v>
      </c>
      <c r="L74" s="2152">
        <v>0</v>
      </c>
      <c r="M74" s="2152">
        <f t="shared" si="23"/>
        <v>0</v>
      </c>
      <c r="N74" s="2152">
        <f t="shared" si="23"/>
        <v>0</v>
      </c>
      <c r="O74" s="1860"/>
      <c r="P74" s="1860"/>
      <c r="Q74" s="1860"/>
      <c r="AA74" s="2179"/>
      <c r="AB74" s="2027"/>
      <c r="AC74" s="2027"/>
      <c r="AD74" s="2027"/>
      <c r="AE74" s="2027"/>
      <c r="AF74" s="2027"/>
      <c r="AG74" s="2027"/>
      <c r="AH74" s="2179"/>
      <c r="AI74" s="2179"/>
      <c r="AJ74" s="2179"/>
      <c r="AK74" s="2179"/>
    </row>
    <row r="75" spans="1:37" ht="14.25">
      <c r="A75" s="2042" t="s">
        <v>1516</v>
      </c>
      <c r="B75" s="2053">
        <f>估价对象房地状况!C24</f>
        <v>0</v>
      </c>
      <c r="C75" s="1924"/>
      <c r="D75" s="2048">
        <f t="shared" si="19"/>
        <v>0</v>
      </c>
      <c r="E75" s="2184"/>
      <c r="F75" s="2050"/>
      <c r="G75" s="2051"/>
      <c r="H75" s="2052" t="str">
        <f t="shared" si="20"/>
        <v>——</v>
      </c>
      <c r="I75" s="2151">
        <v>0.05</v>
      </c>
      <c r="J75" s="2152">
        <f t="shared" si="21"/>
        <v>0</v>
      </c>
      <c r="K75" s="2152">
        <f t="shared" si="22"/>
        <v>0</v>
      </c>
      <c r="L75" s="2152">
        <v>0</v>
      </c>
      <c r="M75" s="2152">
        <f t="shared" si="23"/>
        <v>0</v>
      </c>
      <c r="N75" s="2152">
        <f t="shared" si="23"/>
        <v>0</v>
      </c>
      <c r="O75" s="1860"/>
      <c r="P75" s="1860"/>
      <c r="Q75" s="1861"/>
      <c r="Z75" s="1864"/>
      <c r="AA75" s="1862"/>
      <c r="AG75" s="1866"/>
      <c r="AK75" s="1862"/>
    </row>
    <row r="76" spans="1:37" ht="25.5">
      <c r="A76" s="2042" t="s">
        <v>1506</v>
      </c>
      <c r="B76" s="593" t="str">
        <f>估价对象房地状况!C21</f>
        <v>估价对象所在区域公共配套设施齐备情况</v>
      </c>
      <c r="C76" s="1924"/>
      <c r="D76" s="2048">
        <f t="shared" si="19"/>
        <v>0</v>
      </c>
      <c r="E76" s="2184"/>
      <c r="F76" s="2050"/>
      <c r="G76" s="2051"/>
      <c r="H76" s="2052" t="str">
        <f t="shared" si="20"/>
        <v>——</v>
      </c>
      <c r="I76" s="2151">
        <v>0.08</v>
      </c>
      <c r="J76" s="2152">
        <f t="shared" si="21"/>
        <v>0</v>
      </c>
      <c r="K76" s="2152">
        <f t="shared" si="22"/>
        <v>0</v>
      </c>
      <c r="L76" s="2152">
        <v>0</v>
      </c>
      <c r="M76" s="2152">
        <f t="shared" si="23"/>
        <v>0</v>
      </c>
      <c r="N76" s="2152">
        <f t="shared" si="23"/>
        <v>0</v>
      </c>
      <c r="O76" s="1860"/>
      <c r="P76" s="1860"/>
      <c r="Z76" s="1864"/>
      <c r="AA76" s="1862"/>
      <c r="AG76" s="1866"/>
      <c r="AK76" s="1862"/>
    </row>
    <row r="77" spans="1:37" ht="25.5">
      <c r="A77" s="2042" t="s">
        <v>1508</v>
      </c>
      <c r="B77" s="593" t="str">
        <f>估价对象房地状况!C22</f>
        <v>估价对象所在区域基础设施水平</v>
      </c>
      <c r="C77" s="1924"/>
      <c r="D77" s="2048">
        <f t="shared" si="19"/>
        <v>0</v>
      </c>
      <c r="E77" s="2184"/>
      <c r="F77" s="2050"/>
      <c r="G77" s="2051"/>
      <c r="H77" s="2052" t="str">
        <f t="shared" si="20"/>
        <v>——</v>
      </c>
      <c r="I77" s="2151">
        <v>0.09</v>
      </c>
      <c r="J77" s="2152">
        <f t="shared" si="21"/>
        <v>0</v>
      </c>
      <c r="K77" s="2152">
        <f t="shared" si="22"/>
        <v>0</v>
      </c>
      <c r="L77" s="2152">
        <v>0</v>
      </c>
      <c r="M77" s="2152">
        <f t="shared" si="23"/>
        <v>0</v>
      </c>
      <c r="N77" s="2152">
        <f t="shared" si="23"/>
        <v>0</v>
      </c>
      <c r="O77" s="1860"/>
      <c r="P77" s="1860"/>
      <c r="Z77" s="1864"/>
      <c r="AA77" s="1862"/>
      <c r="AG77" s="1866"/>
      <c r="AK77" s="1862"/>
    </row>
    <row r="78" spans="1:37" ht="24">
      <c r="A78" s="2042" t="s">
        <v>1504</v>
      </c>
      <c r="B78" s="2057" t="s">
        <v>1505</v>
      </c>
      <c r="C78" s="1924"/>
      <c r="D78" s="2048">
        <f t="shared" si="19"/>
        <v>0</v>
      </c>
      <c r="E78" s="2184"/>
      <c r="F78" s="2050"/>
      <c r="G78" s="2051"/>
      <c r="H78" s="2052" t="str">
        <f t="shared" si="20"/>
        <v>——</v>
      </c>
      <c r="I78" s="2151">
        <v>0.05</v>
      </c>
      <c r="J78" s="2152">
        <f t="shared" si="21"/>
        <v>0</v>
      </c>
      <c r="K78" s="2152">
        <f t="shared" si="22"/>
        <v>0</v>
      </c>
      <c r="L78" s="2152">
        <v>0</v>
      </c>
      <c r="M78" s="2152">
        <f t="shared" si="23"/>
        <v>0</v>
      </c>
      <c r="N78" s="2152">
        <f t="shared" si="23"/>
        <v>0</v>
      </c>
      <c r="O78" s="1861"/>
      <c r="P78" s="1861"/>
      <c r="Z78" s="1864"/>
      <c r="AA78" s="1862"/>
      <c r="AG78" s="1866"/>
      <c r="AK78" s="1862"/>
    </row>
    <row r="79" spans="1:37" ht="25.5">
      <c r="A79" s="2042" t="s">
        <v>1510</v>
      </c>
      <c r="B79" s="2047" t="str">
        <f>估价对象房地状况!C20</f>
        <v>区域自然环境：；人文环境；综合评价环境状况一般</v>
      </c>
      <c r="C79" s="1924"/>
      <c r="D79" s="2048">
        <f t="shared" si="19"/>
        <v>0</v>
      </c>
      <c r="E79" s="2184"/>
      <c r="F79" s="2050"/>
      <c r="G79" s="2051"/>
      <c r="H79" s="2052" t="str">
        <f t="shared" si="20"/>
        <v>——</v>
      </c>
      <c r="I79" s="2151">
        <v>0.12</v>
      </c>
      <c r="J79" s="2152">
        <f t="shared" si="21"/>
        <v>0</v>
      </c>
      <c r="K79" s="2152">
        <f t="shared" si="22"/>
        <v>0</v>
      </c>
      <c r="L79" s="2152">
        <v>0</v>
      </c>
      <c r="M79" s="2152">
        <f t="shared" si="23"/>
        <v>0</v>
      </c>
      <c r="N79" s="2152">
        <f t="shared" si="23"/>
        <v>0</v>
      </c>
      <c r="Z79" s="1864"/>
      <c r="AA79" s="1862"/>
      <c r="AG79" s="1866"/>
      <c r="AK79" s="1862"/>
    </row>
    <row r="80" spans="1:37" ht="24">
      <c r="A80" s="2059" t="s">
        <v>1517</v>
      </c>
      <c r="B80" s="2185"/>
      <c r="C80" s="1924"/>
      <c r="D80" s="2048">
        <f t="shared" si="19"/>
        <v>0</v>
      </c>
      <c r="E80" s="2186"/>
      <c r="F80" s="2050"/>
      <c r="G80" s="2051"/>
      <c r="H80" s="2052" t="str">
        <f t="shared" si="20"/>
        <v>——</v>
      </c>
      <c r="I80" s="2153">
        <v>0.05</v>
      </c>
      <c r="J80" s="2152">
        <f t="shared" si="21"/>
        <v>0</v>
      </c>
      <c r="K80" s="2152">
        <f t="shared" si="22"/>
        <v>0</v>
      </c>
      <c r="L80" s="2152">
        <v>0</v>
      </c>
      <c r="M80" s="2152">
        <f t="shared" si="23"/>
        <v>0</v>
      </c>
      <c r="N80" s="2152">
        <f t="shared" si="23"/>
        <v>0</v>
      </c>
      <c r="Z80" s="1864"/>
      <c r="AA80" s="1862"/>
      <c r="AG80" s="1866"/>
      <c r="AK80" s="1862"/>
    </row>
    <row r="81" spans="1:37" ht="15">
      <c r="A81" s="2036" t="s">
        <v>1518</v>
      </c>
      <c r="B81" s="2037" t="e">
        <f>1+E83</f>
        <v>#VALUE!</v>
      </c>
      <c r="C81" s="2039"/>
      <c r="D81" s="2039"/>
      <c r="E81" s="2040"/>
      <c r="F81" s="2041"/>
      <c r="G81" s="2035"/>
      <c r="H81" s="2035"/>
      <c r="I81" s="2035"/>
      <c r="J81" s="2034"/>
      <c r="K81" s="2034"/>
      <c r="L81" s="2034"/>
      <c r="M81" s="2034"/>
      <c r="N81" s="2034"/>
      <c r="Z81" s="1864"/>
      <c r="AA81" s="1862"/>
      <c r="AG81" s="1866"/>
      <c r="AK81" s="1862"/>
    </row>
    <row r="82" spans="1:37" ht="24.75">
      <c r="A82" s="2042" t="s">
        <v>1483</v>
      </c>
      <c r="B82" s="2043"/>
      <c r="C82" s="2043" t="s">
        <v>1485</v>
      </c>
      <c r="D82" s="2043" t="s">
        <v>1486</v>
      </c>
      <c r="E82" s="2044" t="s">
        <v>1487</v>
      </c>
      <c r="F82" s="2045" t="s">
        <v>1512</v>
      </c>
      <c r="G82" s="2043" t="s">
        <v>1406</v>
      </c>
      <c r="H82" s="2046" t="s">
        <v>1489</v>
      </c>
      <c r="I82" s="2043" t="s">
        <v>1490</v>
      </c>
      <c r="J82" s="920" t="s">
        <v>1491</v>
      </c>
      <c r="K82" s="920" t="s">
        <v>1492</v>
      </c>
      <c r="L82" s="920" t="s">
        <v>1493</v>
      </c>
      <c r="M82" s="920" t="s">
        <v>1494</v>
      </c>
      <c r="N82" s="920" t="s">
        <v>1495</v>
      </c>
      <c r="Z82" s="1864"/>
      <c r="AA82" s="1862"/>
      <c r="AG82" s="1866"/>
      <c r="AK82" s="1862"/>
    </row>
    <row r="83" spans="1:37" ht="38.25">
      <c r="A83" s="2042" t="s">
        <v>1519</v>
      </c>
      <c r="B83" s="2053" t="str">
        <f>估价对象房地状况!G15</f>
        <v>估价对象位于XX开发区，园区建设成熟度XX，产业集聚程度XX</v>
      </c>
      <c r="C83" s="1924" t="s">
        <v>1507</v>
      </c>
      <c r="D83" s="2048">
        <f t="shared" ref="D83:D90" si="24">SUMIF($J$82:$N$82,C83,J83:N83)</f>
        <v>0</v>
      </c>
      <c r="E83" s="2049" t="e">
        <f>ROUND(SUM(D83:D90),4)</f>
        <v>#VALUE!</v>
      </c>
      <c r="F83" s="2050" t="str">
        <f>IF(E2="工业",SUMIF(L1:L12,G2,N1:N12),"——")</f>
        <v>——</v>
      </c>
      <c r="G83" s="2051" t="str">
        <f>H83</f>
        <v>——</v>
      </c>
      <c r="H83" s="2052" t="str">
        <f t="shared" ref="H83:H90" si="25">IFERROR(ROUNDDOWN($F$83*I83/2,4),"——")</f>
        <v>——</v>
      </c>
      <c r="I83" s="2151">
        <v>0.26</v>
      </c>
      <c r="J83" s="2152" t="e">
        <f t="shared" ref="J83:J90" si="26">K83+$G83</f>
        <v>#VALUE!</v>
      </c>
      <c r="K83" s="2152" t="e">
        <f t="shared" ref="K83:K90" si="27">$L83+$G83</f>
        <v>#VALUE!</v>
      </c>
      <c r="L83" s="2152">
        <v>0</v>
      </c>
      <c r="M83" s="2152" t="e">
        <f t="shared" ref="M83:N90" si="28">L83-$G83</f>
        <v>#VALUE!</v>
      </c>
      <c r="N83" s="2152" t="e">
        <f t="shared" si="28"/>
        <v>#VALUE!</v>
      </c>
      <c r="Z83" s="1864"/>
      <c r="AA83" s="1862"/>
      <c r="AG83" s="1866"/>
      <c r="AK83" s="1862"/>
    </row>
    <row r="84" spans="1:37" ht="38.25">
      <c r="A84" s="2042" t="s">
        <v>1498</v>
      </c>
      <c r="B84" s="2053" t="str">
        <f>估价对象房地状况!G16</f>
        <v>估价对象周边道路状况、公共交通通达情况、停车便捷程度，综合评价交通便捷度较好</v>
      </c>
      <c r="C84" s="1924" t="s">
        <v>1503</v>
      </c>
      <c r="D84" s="2048" t="e">
        <f t="shared" si="24"/>
        <v>#VALUE!</v>
      </c>
      <c r="E84" s="2184"/>
      <c r="F84" s="2050"/>
      <c r="G84" s="2051" t="str">
        <f t="shared" ref="G84:G90" si="29">H84</f>
        <v>——</v>
      </c>
      <c r="H84" s="2052" t="str">
        <f t="shared" si="25"/>
        <v>——</v>
      </c>
      <c r="I84" s="2151">
        <v>0.3</v>
      </c>
      <c r="J84" s="2152" t="e">
        <f t="shared" si="26"/>
        <v>#VALUE!</v>
      </c>
      <c r="K84" s="2152" t="e">
        <f t="shared" si="27"/>
        <v>#VALUE!</v>
      </c>
      <c r="L84" s="2152">
        <v>0</v>
      </c>
      <c r="M84" s="2152" t="e">
        <f t="shared" si="28"/>
        <v>#VALUE!</v>
      </c>
      <c r="N84" s="2152" t="e">
        <f t="shared" si="28"/>
        <v>#VALUE!</v>
      </c>
      <c r="Z84" s="1864"/>
      <c r="AA84" s="1862"/>
      <c r="AG84" s="1866"/>
      <c r="AK84" s="1862"/>
    </row>
    <row r="85" spans="1:37" ht="36">
      <c r="A85" s="2055" t="s">
        <v>1499</v>
      </c>
      <c r="B85" s="2053">
        <f>估价对象房地状况!G17</f>
        <v>0</v>
      </c>
      <c r="C85" s="1924" t="s">
        <v>1497</v>
      </c>
      <c r="D85" s="2048" t="e">
        <f t="shared" si="24"/>
        <v>#VALUE!</v>
      </c>
      <c r="E85" s="2184"/>
      <c r="F85" s="2050"/>
      <c r="G85" s="2051" t="str">
        <f t="shared" si="29"/>
        <v>——</v>
      </c>
      <c r="H85" s="2052" t="str">
        <f t="shared" si="25"/>
        <v>——</v>
      </c>
      <c r="I85" s="2151">
        <v>0.1</v>
      </c>
      <c r="J85" s="2152" t="e">
        <f t="shared" si="26"/>
        <v>#VALUE!</v>
      </c>
      <c r="K85" s="2152" t="e">
        <f t="shared" si="27"/>
        <v>#VALUE!</v>
      </c>
      <c r="L85" s="2152">
        <v>0</v>
      </c>
      <c r="M85" s="2152" t="e">
        <f t="shared" si="28"/>
        <v>#VALUE!</v>
      </c>
      <c r="N85" s="2152" t="e">
        <f t="shared" si="28"/>
        <v>#VALUE!</v>
      </c>
      <c r="Z85" s="1864"/>
      <c r="AA85" s="1862"/>
      <c r="AG85" s="1866"/>
      <c r="AK85" s="1862"/>
    </row>
    <row r="86" spans="1:37" ht="14.25">
      <c r="A86" s="2042" t="s">
        <v>1516</v>
      </c>
      <c r="B86" s="2053">
        <f>估价对象房地状况!G22</f>
        <v>0</v>
      </c>
      <c r="C86" s="1924" t="s">
        <v>1503</v>
      </c>
      <c r="D86" s="2048" t="e">
        <f t="shared" si="24"/>
        <v>#VALUE!</v>
      </c>
      <c r="E86" s="2184"/>
      <c r="F86" s="2050"/>
      <c r="G86" s="2051" t="str">
        <f t="shared" si="29"/>
        <v>——</v>
      </c>
      <c r="H86" s="2052" t="str">
        <f t="shared" si="25"/>
        <v>——</v>
      </c>
      <c r="I86" s="2151">
        <v>0.05</v>
      </c>
      <c r="J86" s="2152" t="e">
        <f t="shared" si="26"/>
        <v>#VALUE!</v>
      </c>
      <c r="K86" s="2152" t="e">
        <f t="shared" si="27"/>
        <v>#VALUE!</v>
      </c>
      <c r="L86" s="2152">
        <v>0</v>
      </c>
      <c r="M86" s="2152" t="e">
        <f t="shared" si="28"/>
        <v>#VALUE!</v>
      </c>
      <c r="N86" s="2152" t="e">
        <f t="shared" si="28"/>
        <v>#VALUE!</v>
      </c>
      <c r="Z86" s="1864"/>
      <c r="AA86" s="1862"/>
      <c r="AG86" s="1866"/>
      <c r="AK86" s="1862"/>
    </row>
    <row r="87" spans="1:37" ht="25.5">
      <c r="A87" s="2042" t="s">
        <v>1506</v>
      </c>
      <c r="B87" s="593" t="str">
        <f>估价对象房地状况!G19</f>
        <v>估价对象所在区域公共配套设施齐备情况</v>
      </c>
      <c r="C87" s="1924" t="s">
        <v>1507</v>
      </c>
      <c r="D87" s="2048">
        <f t="shared" si="24"/>
        <v>0</v>
      </c>
      <c r="E87" s="2184"/>
      <c r="F87" s="2050"/>
      <c r="G87" s="2051" t="str">
        <f t="shared" si="29"/>
        <v>——</v>
      </c>
      <c r="H87" s="2052" t="str">
        <f t="shared" si="25"/>
        <v>——</v>
      </c>
      <c r="I87" s="2151">
        <v>0.06</v>
      </c>
      <c r="J87" s="2152" t="e">
        <f t="shared" si="26"/>
        <v>#VALUE!</v>
      </c>
      <c r="K87" s="2152" t="e">
        <f t="shared" si="27"/>
        <v>#VALUE!</v>
      </c>
      <c r="L87" s="2152">
        <v>0</v>
      </c>
      <c r="M87" s="2152" t="e">
        <f t="shared" si="28"/>
        <v>#VALUE!</v>
      </c>
      <c r="N87" s="2152" t="e">
        <f t="shared" si="28"/>
        <v>#VALUE!</v>
      </c>
    </row>
    <row r="88" spans="1:37" ht="25.5">
      <c r="A88" s="2042" t="s">
        <v>1508</v>
      </c>
      <c r="B88" s="593" t="str">
        <f>估价对象房地状况!G20</f>
        <v>估价对象所在区域基础设施水平</v>
      </c>
      <c r="C88" s="1924" t="s">
        <v>1507</v>
      </c>
      <c r="D88" s="2048">
        <f t="shared" si="24"/>
        <v>0</v>
      </c>
      <c r="E88" s="2184"/>
      <c r="F88" s="2050"/>
      <c r="G88" s="2051" t="str">
        <f t="shared" si="29"/>
        <v>——</v>
      </c>
      <c r="H88" s="2052" t="str">
        <f t="shared" si="25"/>
        <v>——</v>
      </c>
      <c r="I88" s="2151">
        <v>0.12</v>
      </c>
      <c r="J88" s="2152" t="e">
        <f t="shared" si="26"/>
        <v>#VALUE!</v>
      </c>
      <c r="K88" s="2152" t="e">
        <f t="shared" si="27"/>
        <v>#VALUE!</v>
      </c>
      <c r="L88" s="2152">
        <v>0</v>
      </c>
      <c r="M88" s="2152" t="e">
        <f t="shared" si="28"/>
        <v>#VALUE!</v>
      </c>
      <c r="N88" s="2152" t="e">
        <f t="shared" si="28"/>
        <v>#VALUE!</v>
      </c>
    </row>
    <row r="89" spans="1:37" ht="24">
      <c r="A89" s="2042" t="s">
        <v>1504</v>
      </c>
      <c r="B89" s="2057" t="s">
        <v>1520</v>
      </c>
      <c r="C89" s="1924" t="s">
        <v>1497</v>
      </c>
      <c r="D89" s="2048" t="e">
        <f t="shared" si="24"/>
        <v>#VALUE!</v>
      </c>
      <c r="E89" s="2184"/>
      <c r="F89" s="2050"/>
      <c r="G89" s="2051" t="str">
        <f t="shared" si="29"/>
        <v>——</v>
      </c>
      <c r="H89" s="2052" t="str">
        <f t="shared" si="25"/>
        <v>——</v>
      </c>
      <c r="I89" s="2151">
        <v>0.06</v>
      </c>
      <c r="J89" s="2152" t="e">
        <f t="shared" si="26"/>
        <v>#VALUE!</v>
      </c>
      <c r="K89" s="2152" t="e">
        <f t="shared" si="27"/>
        <v>#VALUE!</v>
      </c>
      <c r="L89" s="2152">
        <v>0</v>
      </c>
      <c r="M89" s="2152" t="e">
        <f t="shared" si="28"/>
        <v>#VALUE!</v>
      </c>
      <c r="N89" s="2152" t="e">
        <f t="shared" si="28"/>
        <v>#VALUE!</v>
      </c>
    </row>
    <row r="90" spans="1:37" ht="38.25">
      <c r="A90" s="2059" t="s">
        <v>1521</v>
      </c>
      <c r="B90" s="2187" t="str">
        <f>估价对象房地状况!G18</f>
        <v>该园区内是否有污染型企业，绿化情况，卫生条件，整体环境状况判断</v>
      </c>
      <c r="C90" s="1924" t="s">
        <v>1497</v>
      </c>
      <c r="D90" s="2048" t="e">
        <f t="shared" si="24"/>
        <v>#VALUE!</v>
      </c>
      <c r="E90" s="2186"/>
      <c r="F90" s="2050"/>
      <c r="G90" s="2051" t="str">
        <f t="shared" si="29"/>
        <v>——</v>
      </c>
      <c r="H90" s="2052" t="str">
        <f t="shared" si="25"/>
        <v>——</v>
      </c>
      <c r="I90" s="2153">
        <v>0.05</v>
      </c>
      <c r="J90" s="2152" t="e">
        <f t="shared" si="26"/>
        <v>#VALUE!</v>
      </c>
      <c r="K90" s="2152" t="e">
        <f t="shared" si="27"/>
        <v>#VALUE!</v>
      </c>
      <c r="L90" s="2152">
        <v>0</v>
      </c>
      <c r="M90" s="2152" t="e">
        <f t="shared" si="28"/>
        <v>#VALUE!</v>
      </c>
      <c r="N90" s="2152" t="e">
        <f t="shared" si="28"/>
        <v>#VALUE!</v>
      </c>
    </row>
    <row r="91" spans="1:37" ht="15">
      <c r="A91" s="2188" t="s">
        <v>280</v>
      </c>
      <c r="B91" s="2189">
        <f>1+E93</f>
        <v>1</v>
      </c>
      <c r="C91" s="2190"/>
      <c r="D91" s="2191"/>
      <c r="E91" s="2050"/>
      <c r="F91" s="2050"/>
      <c r="G91" s="2192"/>
      <c r="H91" s="2193"/>
      <c r="I91" s="2227"/>
      <c r="J91" s="2228"/>
      <c r="K91" s="2228"/>
      <c r="L91" s="2228"/>
      <c r="M91" s="2228"/>
      <c r="N91" s="2228"/>
    </row>
    <row r="92" spans="1:37" ht="24.75">
      <c r="A92" s="2194" t="s">
        <v>1483</v>
      </c>
      <c r="B92" s="2195"/>
      <c r="C92" s="2195" t="s">
        <v>1485</v>
      </c>
      <c r="D92" s="2195" t="s">
        <v>1486</v>
      </c>
      <c r="E92" s="2164" t="s">
        <v>1487</v>
      </c>
      <c r="F92" s="2196" t="s">
        <v>1512</v>
      </c>
      <c r="G92" s="2195" t="s">
        <v>1406</v>
      </c>
      <c r="H92" s="2197" t="s">
        <v>1489</v>
      </c>
      <c r="I92" s="2195" t="s">
        <v>1490</v>
      </c>
      <c r="J92" s="2229" t="s">
        <v>1491</v>
      </c>
      <c r="K92" s="2229" t="s">
        <v>1492</v>
      </c>
      <c r="L92" s="2229" t="s">
        <v>1493</v>
      </c>
      <c r="M92" s="2229" t="s">
        <v>1494</v>
      </c>
      <c r="N92" s="2229" t="s">
        <v>1495</v>
      </c>
    </row>
    <row r="93" spans="1:37" ht="24">
      <c r="A93" s="2055" t="s">
        <v>1522</v>
      </c>
      <c r="B93" s="625"/>
      <c r="C93" s="1924"/>
      <c r="D93" s="2195">
        <f>SUMIF($J$92:$N$92,C93,J93:N93)</f>
        <v>0</v>
      </c>
      <c r="E93" s="2198">
        <f>ROUND(SUM(D93:D101),4)</f>
        <v>0</v>
      </c>
      <c r="F93" s="2050" t="str">
        <f>IF(E2="公共服务",SUMIF(L1:L12,G2,N1:N12),"——")</f>
        <v>——</v>
      </c>
      <c r="G93" s="2192"/>
      <c r="H93" s="2199" t="str">
        <f>IFERROR(ROUNDDOWN($F$93*I93/2,4),"——")</f>
        <v>——</v>
      </c>
      <c r="I93" s="2151">
        <v>0.25</v>
      </c>
      <c r="J93" s="1979">
        <f t="shared" ref="J93:J101" si="30">K93+$G93</f>
        <v>0</v>
      </c>
      <c r="K93" s="1979">
        <f t="shared" ref="K93:K101" si="31">$L93+$G93</f>
        <v>0</v>
      </c>
      <c r="L93" s="1979">
        <v>0</v>
      </c>
      <c r="M93" s="1979">
        <f t="shared" ref="M93:N101" si="32">L93-$G93</f>
        <v>0</v>
      </c>
      <c r="N93" s="1979">
        <f t="shared" si="32"/>
        <v>0</v>
      </c>
    </row>
    <row r="94" spans="1:37" ht="38.25">
      <c r="A94" s="2194" t="s">
        <v>1498</v>
      </c>
      <c r="B94" s="2200" t="str">
        <f>估价对象房地状况!C18</f>
        <v>估价对象周边道路状况、公共交通通达情况、停车便捷程度，综合评价交通便捷度较好</v>
      </c>
      <c r="C94" s="1924"/>
      <c r="D94" s="2195">
        <f t="shared" ref="D94:D101" si="33">SUMIF($J$60:$N$60,C94,J94:N94)</f>
        <v>0</v>
      </c>
      <c r="E94" s="2201"/>
      <c r="F94" s="2050"/>
      <c r="G94" s="2192"/>
      <c r="H94" s="2199" t="str">
        <f>IFERROR(ROUNDDOWN($F$93*I94/2,4),"——")</f>
        <v>——</v>
      </c>
      <c r="I94" s="2151">
        <v>0.26</v>
      </c>
      <c r="J94" s="1979">
        <f t="shared" si="30"/>
        <v>0</v>
      </c>
      <c r="K94" s="1979">
        <f t="shared" si="31"/>
        <v>0</v>
      </c>
      <c r="L94" s="1979">
        <v>0</v>
      </c>
      <c r="M94" s="1979">
        <f t="shared" si="32"/>
        <v>0</v>
      </c>
      <c r="N94" s="1979">
        <f t="shared" si="32"/>
        <v>0</v>
      </c>
    </row>
    <row r="95" spans="1:37" ht="36">
      <c r="A95" s="2055" t="s">
        <v>1499</v>
      </c>
      <c r="B95" s="2200">
        <f>估价对象房地状况!C19</f>
        <v>0</v>
      </c>
      <c r="C95" s="1924"/>
      <c r="D95" s="2195">
        <f t="shared" si="33"/>
        <v>0</v>
      </c>
      <c r="E95" s="2201"/>
      <c r="F95" s="2050"/>
      <c r="G95" s="2192"/>
      <c r="H95" s="2199" t="str">
        <f t="shared" ref="H95:H101" si="34">IFERROR(ROUNDDOWN($F$93*I95/2,4),"——")</f>
        <v>——</v>
      </c>
      <c r="I95" s="2151">
        <v>0.11</v>
      </c>
      <c r="J95" s="1979">
        <f t="shared" si="30"/>
        <v>0</v>
      </c>
      <c r="K95" s="1979">
        <f t="shared" si="31"/>
        <v>0</v>
      </c>
      <c r="L95" s="1979">
        <v>0</v>
      </c>
      <c r="M95" s="1979">
        <f t="shared" si="32"/>
        <v>0</v>
      </c>
      <c r="N95" s="1979">
        <f t="shared" si="32"/>
        <v>0</v>
      </c>
    </row>
    <row r="96" spans="1:37" ht="36.75">
      <c r="A96" s="2194" t="s">
        <v>1500</v>
      </c>
      <c r="B96" s="2202" t="s">
        <v>1501</v>
      </c>
      <c r="C96" s="1924"/>
      <c r="D96" s="2195">
        <f t="shared" si="33"/>
        <v>0</v>
      </c>
      <c r="E96" s="2201"/>
      <c r="F96" s="2050"/>
      <c r="G96" s="2192"/>
      <c r="H96" s="2199" t="str">
        <f t="shared" si="34"/>
        <v>——</v>
      </c>
      <c r="I96" s="2151">
        <v>0.05</v>
      </c>
      <c r="J96" s="1979">
        <f t="shared" si="30"/>
        <v>0</v>
      </c>
      <c r="K96" s="1979">
        <f t="shared" si="31"/>
        <v>0</v>
      </c>
      <c r="L96" s="1979">
        <v>0</v>
      </c>
      <c r="M96" s="1979">
        <f t="shared" si="32"/>
        <v>0</v>
      </c>
      <c r="N96" s="1979">
        <f t="shared" si="32"/>
        <v>0</v>
      </c>
    </row>
    <row r="97" spans="1:14" ht="24">
      <c r="A97" s="2194" t="s">
        <v>1502</v>
      </c>
      <c r="B97" s="2200">
        <f>估价对象房地状况!C24</f>
        <v>0</v>
      </c>
      <c r="C97" s="1924"/>
      <c r="D97" s="2195">
        <f t="shared" si="33"/>
        <v>0</v>
      </c>
      <c r="E97" s="2201"/>
      <c r="F97" s="2050"/>
      <c r="G97" s="2192"/>
      <c r="H97" s="2199" t="str">
        <f t="shared" si="34"/>
        <v>——</v>
      </c>
      <c r="I97" s="2151">
        <v>0.05</v>
      </c>
      <c r="J97" s="1979">
        <f t="shared" si="30"/>
        <v>0</v>
      </c>
      <c r="K97" s="1979">
        <f t="shared" si="31"/>
        <v>0</v>
      </c>
      <c r="L97" s="1979">
        <v>0</v>
      </c>
      <c r="M97" s="1979">
        <f t="shared" si="32"/>
        <v>0</v>
      </c>
      <c r="N97" s="1979">
        <f t="shared" si="32"/>
        <v>0</v>
      </c>
    </row>
    <row r="98" spans="1:14" ht="24">
      <c r="A98" s="2194" t="s">
        <v>1504</v>
      </c>
      <c r="B98" s="2203" t="s">
        <v>1505</v>
      </c>
      <c r="C98" s="1924"/>
      <c r="D98" s="2195">
        <f t="shared" si="33"/>
        <v>0</v>
      </c>
      <c r="E98" s="2201"/>
      <c r="F98" s="2050"/>
      <c r="G98" s="2192"/>
      <c r="H98" s="2199" t="str">
        <f t="shared" si="34"/>
        <v>——</v>
      </c>
      <c r="I98" s="2151">
        <v>0.06</v>
      </c>
      <c r="J98" s="1979">
        <f t="shared" si="30"/>
        <v>0</v>
      </c>
      <c r="K98" s="1979">
        <f t="shared" si="31"/>
        <v>0</v>
      </c>
      <c r="L98" s="1979">
        <v>0</v>
      </c>
      <c r="M98" s="1979">
        <f t="shared" si="32"/>
        <v>0</v>
      </c>
      <c r="N98" s="1979">
        <f t="shared" si="32"/>
        <v>0</v>
      </c>
    </row>
    <row r="99" spans="1:14" ht="25.5">
      <c r="A99" s="2194" t="s">
        <v>1506</v>
      </c>
      <c r="B99" s="2200" t="str">
        <f>估价对象房地状况!C21</f>
        <v>估价对象所在区域公共配套设施齐备情况</v>
      </c>
      <c r="C99" s="1924"/>
      <c r="D99" s="2195">
        <f t="shared" si="33"/>
        <v>0</v>
      </c>
      <c r="E99" s="2201"/>
      <c r="F99" s="2050"/>
      <c r="G99" s="2192"/>
      <c r="H99" s="2199" t="str">
        <f t="shared" si="34"/>
        <v>——</v>
      </c>
      <c r="I99" s="2151">
        <v>0.06</v>
      </c>
      <c r="J99" s="1979">
        <f t="shared" si="30"/>
        <v>0</v>
      </c>
      <c r="K99" s="1979">
        <f t="shared" si="31"/>
        <v>0</v>
      </c>
      <c r="L99" s="1979">
        <v>0</v>
      </c>
      <c r="M99" s="1979">
        <f t="shared" si="32"/>
        <v>0</v>
      </c>
      <c r="N99" s="1979">
        <f t="shared" si="32"/>
        <v>0</v>
      </c>
    </row>
    <row r="100" spans="1:14" ht="25.5">
      <c r="A100" s="2194" t="s">
        <v>1508</v>
      </c>
      <c r="B100" s="2200" t="str">
        <f>估价对象房地状况!C22</f>
        <v>估价对象所在区域基础设施水平</v>
      </c>
      <c r="C100" s="1924"/>
      <c r="D100" s="2195">
        <f t="shared" si="33"/>
        <v>0</v>
      </c>
      <c r="E100" s="2201"/>
      <c r="F100" s="2050"/>
      <c r="G100" s="2192"/>
      <c r="H100" s="2199" t="str">
        <f t="shared" si="34"/>
        <v>——</v>
      </c>
      <c r="I100" s="2151">
        <v>0.09</v>
      </c>
      <c r="J100" s="1979">
        <f t="shared" si="30"/>
        <v>0</v>
      </c>
      <c r="K100" s="1979">
        <f t="shared" si="31"/>
        <v>0</v>
      </c>
      <c r="L100" s="1979">
        <v>0</v>
      </c>
      <c r="M100" s="1979">
        <f t="shared" si="32"/>
        <v>0</v>
      </c>
      <c r="N100" s="1979">
        <f t="shared" si="32"/>
        <v>0</v>
      </c>
    </row>
    <row r="101" spans="1:14" ht="25.5">
      <c r="A101" s="2204" t="s">
        <v>1510</v>
      </c>
      <c r="B101" s="2205" t="str">
        <f>估价对象房地状况!C20</f>
        <v>区域自然环境：；人文环境；综合评价环境状况一般</v>
      </c>
      <c r="C101" s="1924"/>
      <c r="D101" s="2195">
        <f t="shared" si="33"/>
        <v>0</v>
      </c>
      <c r="E101" s="2206"/>
      <c r="F101" s="2050"/>
      <c r="G101" s="2192"/>
      <c r="H101" s="2199" t="str">
        <f t="shared" si="34"/>
        <v>——</v>
      </c>
      <c r="I101" s="2153">
        <v>7.0000000000000007E-2</v>
      </c>
      <c r="J101" s="1979">
        <f t="shared" si="30"/>
        <v>0</v>
      </c>
      <c r="K101" s="1979">
        <f t="shared" si="31"/>
        <v>0</v>
      </c>
      <c r="L101" s="1979">
        <v>0</v>
      </c>
      <c r="M101" s="1979">
        <f t="shared" si="32"/>
        <v>0</v>
      </c>
      <c r="N101" s="1979">
        <f t="shared" si="32"/>
        <v>0</v>
      </c>
    </row>
    <row r="103" spans="1:14">
      <c r="A103" s="3729" t="s">
        <v>1523</v>
      </c>
      <c r="B103" s="3729"/>
      <c r="C103" s="3729"/>
      <c r="D103" s="3729"/>
      <c r="E103" s="3729"/>
      <c r="F103" s="3729"/>
      <c r="G103" s="3729"/>
      <c r="H103" s="3729"/>
      <c r="I103" s="3729"/>
      <c r="J103" s="3729"/>
      <c r="K103" s="2207"/>
      <c r="L103" s="2207"/>
      <c r="M103" s="2207"/>
      <c r="N103" s="2207"/>
    </row>
    <row r="104" spans="1:14">
      <c r="A104" s="3735" t="s">
        <v>1524</v>
      </c>
      <c r="B104" s="3735" t="s">
        <v>1525</v>
      </c>
      <c r="C104" s="2209" t="s">
        <v>1526</v>
      </c>
      <c r="D104" s="2210"/>
      <c r="E104" s="2210"/>
      <c r="F104" s="2210"/>
      <c r="G104" s="2210"/>
      <c r="H104" s="2210"/>
      <c r="I104" s="2210"/>
      <c r="J104" s="2230"/>
      <c r="K104" s="2231"/>
      <c r="L104" s="2231"/>
      <c r="M104" s="2231"/>
      <c r="N104" s="2231"/>
    </row>
    <row r="105" spans="1:14">
      <c r="A105" s="3735"/>
      <c r="B105" s="3735"/>
      <c r="C105" s="2208" t="s">
        <v>1367</v>
      </c>
      <c r="D105" s="2208" t="s">
        <v>1368</v>
      </c>
      <c r="E105" s="2208" t="s">
        <v>1369</v>
      </c>
      <c r="F105" s="2208" t="s">
        <v>1370</v>
      </c>
      <c r="G105" s="2208" t="s">
        <v>1371</v>
      </c>
      <c r="H105" s="2208" t="s">
        <v>1372</v>
      </c>
      <c r="I105" s="2208" t="s">
        <v>1373</v>
      </c>
      <c r="J105" s="2208" t="s">
        <v>1374</v>
      </c>
      <c r="K105" s="2208" t="s">
        <v>1375</v>
      </c>
      <c r="L105" s="2208" t="s">
        <v>1376</v>
      </c>
      <c r="M105" s="2208" t="s">
        <v>1377</v>
      </c>
      <c r="N105" s="2208" t="s">
        <v>1378</v>
      </c>
    </row>
    <row r="106" spans="1:14">
      <c r="A106" s="3736" t="s">
        <v>1527</v>
      </c>
      <c r="B106" s="2208">
        <v>1</v>
      </c>
      <c r="C106" s="2208">
        <v>1.5206</v>
      </c>
      <c r="D106" s="2208">
        <v>1.5206</v>
      </c>
      <c r="E106" s="2208">
        <v>1.5019</v>
      </c>
      <c r="F106" s="2208">
        <v>1.5019</v>
      </c>
      <c r="G106" s="2208">
        <v>1.5019</v>
      </c>
      <c r="H106" s="2208">
        <v>1.5019</v>
      </c>
      <c r="I106" s="2208">
        <v>1.5019</v>
      </c>
      <c r="J106" s="2208">
        <v>1.5418000000000001</v>
      </c>
      <c r="K106" s="2208">
        <v>1.5418000000000001</v>
      </c>
      <c r="L106" s="2208">
        <v>1.5418000000000001</v>
      </c>
      <c r="M106" s="2208">
        <v>1.5418000000000001</v>
      </c>
      <c r="N106" s="2208">
        <v>1.5418000000000001</v>
      </c>
    </row>
    <row r="107" spans="1:14">
      <c r="A107" s="3737"/>
      <c r="B107" s="2208">
        <v>2</v>
      </c>
      <c r="C107" s="2208">
        <v>1.2072000000000001</v>
      </c>
      <c r="D107" s="2208">
        <v>1.2072000000000001</v>
      </c>
      <c r="E107" s="2208">
        <v>1.1838</v>
      </c>
      <c r="F107" s="2208">
        <v>1.1838</v>
      </c>
      <c r="G107" s="2208">
        <v>1.1838</v>
      </c>
      <c r="H107" s="2208">
        <v>1.1838</v>
      </c>
      <c r="I107" s="2208">
        <v>1.1838</v>
      </c>
      <c r="J107" s="2208">
        <v>1.1883999999999999</v>
      </c>
      <c r="K107" s="2208">
        <v>1.1883999999999999</v>
      </c>
      <c r="L107" s="2208">
        <v>1.1883999999999999</v>
      </c>
      <c r="M107" s="2208">
        <v>1.1883999999999999</v>
      </c>
      <c r="N107" s="2208">
        <v>1.1883999999999999</v>
      </c>
    </row>
    <row r="108" spans="1:14">
      <c r="A108" s="3737"/>
      <c r="B108" s="2208">
        <v>3</v>
      </c>
      <c r="C108" s="2208">
        <v>1.0430999999999999</v>
      </c>
      <c r="D108" s="2208">
        <v>1.0430999999999999</v>
      </c>
      <c r="E108" s="2208">
        <v>1.0004999999999999</v>
      </c>
      <c r="F108" s="2208">
        <v>1.0004999999999999</v>
      </c>
      <c r="G108" s="2208">
        <v>1.0004999999999999</v>
      </c>
      <c r="H108" s="2208">
        <v>1.0004999999999999</v>
      </c>
      <c r="I108" s="2208">
        <v>1.0004999999999999</v>
      </c>
      <c r="J108" s="2208">
        <v>0.96940000000000004</v>
      </c>
      <c r="K108" s="2208">
        <v>0.96940000000000004</v>
      </c>
      <c r="L108" s="2208">
        <v>0.96940000000000004</v>
      </c>
      <c r="M108" s="2208">
        <v>0.96940000000000004</v>
      </c>
      <c r="N108" s="2208">
        <v>0.96940000000000004</v>
      </c>
    </row>
    <row r="109" spans="1:14">
      <c r="A109" s="3737"/>
      <c r="B109" s="2208">
        <v>4</v>
      </c>
      <c r="C109" s="2208">
        <v>0.94389999999999996</v>
      </c>
      <c r="D109" s="2208">
        <v>0.94389999999999996</v>
      </c>
      <c r="E109" s="2208">
        <v>0.88239999999999996</v>
      </c>
      <c r="F109" s="2208">
        <v>0.88239999999999996</v>
      </c>
      <c r="G109" s="2208">
        <v>0.88239999999999996</v>
      </c>
      <c r="H109" s="2208">
        <v>0.88239999999999996</v>
      </c>
      <c r="I109" s="2208">
        <v>0.88239999999999996</v>
      </c>
      <c r="J109" s="2208">
        <v>0.82299999999999995</v>
      </c>
      <c r="K109" s="2208">
        <v>0.82299999999999995</v>
      </c>
      <c r="L109" s="2208">
        <v>0.82299999999999995</v>
      </c>
      <c r="M109" s="2208">
        <v>0.82299999999999995</v>
      </c>
      <c r="N109" s="2208">
        <v>0.82299999999999995</v>
      </c>
    </row>
    <row r="110" spans="1:14">
      <c r="A110" s="3737"/>
      <c r="B110" s="2208">
        <v>5</v>
      </c>
      <c r="C110" s="2208">
        <v>0.89959999999999996</v>
      </c>
      <c r="D110" s="2208">
        <v>0.89959999999999996</v>
      </c>
      <c r="E110" s="2208">
        <v>0.84799999999999998</v>
      </c>
      <c r="F110" s="2208">
        <v>0.84799999999999998</v>
      </c>
      <c r="G110" s="2208">
        <v>0.84799999999999998</v>
      </c>
      <c r="H110" s="2208">
        <v>0.84799999999999998</v>
      </c>
      <c r="I110" s="2208">
        <v>0.84799999999999998</v>
      </c>
      <c r="J110" s="2208">
        <v>0.74980000000000002</v>
      </c>
      <c r="K110" s="2208">
        <v>0.74980000000000002</v>
      </c>
      <c r="L110" s="2208">
        <v>0.74980000000000002</v>
      </c>
      <c r="M110" s="2208">
        <v>0.74980000000000002</v>
      </c>
      <c r="N110" s="2208">
        <v>0.74980000000000002</v>
      </c>
    </row>
    <row r="111" spans="1:14">
      <c r="A111" s="3737"/>
      <c r="B111" s="2208" t="s">
        <v>1383</v>
      </c>
      <c r="C111" s="2211">
        <f>$I$3</f>
        <v>1</v>
      </c>
      <c r="D111" s="2211">
        <f t="shared" ref="D111:N111" si="35">$I$3</f>
        <v>1</v>
      </c>
      <c r="E111" s="2211">
        <f t="shared" si="35"/>
        <v>1</v>
      </c>
      <c r="F111" s="2211">
        <f t="shared" si="35"/>
        <v>1</v>
      </c>
      <c r="G111" s="2211">
        <f t="shared" si="35"/>
        <v>1</v>
      </c>
      <c r="H111" s="2211">
        <f t="shared" si="35"/>
        <v>1</v>
      </c>
      <c r="I111" s="2211">
        <f t="shared" si="35"/>
        <v>1</v>
      </c>
      <c r="J111" s="2211">
        <f t="shared" si="35"/>
        <v>1</v>
      </c>
      <c r="K111" s="2211">
        <f t="shared" si="35"/>
        <v>1</v>
      </c>
      <c r="L111" s="2211">
        <f t="shared" si="35"/>
        <v>1</v>
      </c>
      <c r="M111" s="2211">
        <f t="shared" si="35"/>
        <v>1</v>
      </c>
      <c r="N111" s="2211">
        <f t="shared" si="35"/>
        <v>1</v>
      </c>
    </row>
    <row r="112" spans="1:14">
      <c r="A112" s="3738"/>
      <c r="B112" s="2208">
        <v>6</v>
      </c>
      <c r="C112" s="2197">
        <f>(-0.5556*(C111^2)-0.2719*C111+8944)*(10^(-4))</f>
        <v>0.89431725000000006</v>
      </c>
      <c r="D112" s="2197">
        <f>(-0.5556*(D111^2)-0.2719*D111+8944)*(10^(-4))</f>
        <v>0.89431725000000006</v>
      </c>
      <c r="E112" s="2197">
        <f>(-0.7912*(E111^2)-11.3794*E111+8482)*(10^(-4))</f>
        <v>0.84698294000000007</v>
      </c>
      <c r="F112" s="2197">
        <f t="shared" ref="F112:I112" si="36">(-0.7912*(F111^2)-11.3794*F111+8482)*(10^(-4))</f>
        <v>0.84698294000000007</v>
      </c>
      <c r="G112" s="2197">
        <f t="shared" si="36"/>
        <v>0.84698294000000007</v>
      </c>
      <c r="H112" s="2197">
        <f t="shared" si="36"/>
        <v>0.84698294000000007</v>
      </c>
      <c r="I112" s="2197">
        <f t="shared" si="36"/>
        <v>0.84698294000000007</v>
      </c>
      <c r="J112" s="2197">
        <f>(-0.989*(J111^2)-63.78*J111+7771)*(10^(-4))</f>
        <v>0.77062310000000001</v>
      </c>
      <c r="K112" s="2197">
        <f t="shared" ref="K112:N112" si="37">(-0.989*(K111^2)-63.78*K111+7771)*(10^(-4))</f>
        <v>0.77062310000000001</v>
      </c>
      <c r="L112" s="2197">
        <f t="shared" si="37"/>
        <v>0.77062310000000001</v>
      </c>
      <c r="M112" s="2197">
        <f t="shared" si="37"/>
        <v>0.77062310000000001</v>
      </c>
      <c r="N112" s="2197">
        <f t="shared" si="37"/>
        <v>0.77062310000000001</v>
      </c>
    </row>
    <row r="113" spans="1:14">
      <c r="A113" s="3730" t="s">
        <v>1528</v>
      </c>
      <c r="B113" s="3730"/>
      <c r="C113" s="3730"/>
      <c r="D113" s="3730"/>
      <c r="E113" s="3730"/>
      <c r="F113" s="3730"/>
      <c r="G113" s="3730"/>
      <c r="H113" s="3730"/>
      <c r="I113" s="3730"/>
      <c r="J113" s="3730"/>
      <c r="K113" s="2212"/>
      <c r="L113" s="2212"/>
      <c r="M113" s="2212"/>
      <c r="N113" s="2212"/>
    </row>
    <row r="114" spans="1:14">
      <c r="A114" s="2213"/>
      <c r="B114" s="2213"/>
      <c r="C114" s="2213"/>
      <c r="D114" s="2213"/>
      <c r="E114" s="2213"/>
      <c r="F114" s="2213"/>
      <c r="G114" s="2213"/>
      <c r="H114" s="2213"/>
      <c r="I114" s="2213"/>
      <c r="J114" s="2213"/>
      <c r="K114" s="2137"/>
      <c r="L114" s="2213"/>
      <c r="M114" s="2213"/>
      <c r="N114" s="2213"/>
    </row>
    <row r="115" spans="1:14">
      <c r="A115" s="2213"/>
      <c r="B115" s="2213"/>
      <c r="C115" s="2213"/>
      <c r="D115" s="2213"/>
      <c r="E115" s="2213"/>
      <c r="F115" s="2213"/>
      <c r="G115" s="2213"/>
      <c r="H115" s="2213"/>
      <c r="I115" s="2213"/>
      <c r="J115" s="2213"/>
      <c r="K115" s="2137"/>
      <c r="L115" s="2213"/>
      <c r="M115" s="2213"/>
      <c r="N115" s="2213"/>
    </row>
    <row r="116" spans="1:14" ht="24.75">
      <c r="A116" s="2214" t="s">
        <v>1529</v>
      </c>
      <c r="B116" s="2215">
        <f>G3</f>
        <v>1</v>
      </c>
      <c r="C116" s="2216" t="s">
        <v>1530</v>
      </c>
      <c r="D116" s="2217">
        <f>SUMPRODUCT((A118:A122=F116)*(B117:M117=H116)*B118:M122)</f>
        <v>0.93500000000000005</v>
      </c>
      <c r="E116" s="1869" t="s">
        <v>1340</v>
      </c>
      <c r="F116" s="2218" t="str">
        <f>E2</f>
        <v>商业</v>
      </c>
      <c r="G116" s="1869" t="s">
        <v>1341</v>
      </c>
      <c r="H116" s="2218" t="str">
        <f>G2</f>
        <v>五级</v>
      </c>
      <c r="I116" s="1869"/>
      <c r="J116" s="2232"/>
      <c r="K116" s="2232"/>
      <c r="L116" s="2232"/>
      <c r="M116" s="2232"/>
      <c r="N116" s="2213"/>
    </row>
    <row r="117" spans="1:14">
      <c r="A117" s="2219"/>
      <c r="B117" s="2220" t="s">
        <v>1531</v>
      </c>
      <c r="C117" s="2220" t="s">
        <v>1532</v>
      </c>
      <c r="D117" s="2220" t="s">
        <v>1533</v>
      </c>
      <c r="E117" s="2221" t="s">
        <v>1534</v>
      </c>
      <c r="F117" s="2221" t="s">
        <v>1535</v>
      </c>
      <c r="G117" s="2221" t="s">
        <v>1536</v>
      </c>
      <c r="H117" s="2222" t="s">
        <v>1537</v>
      </c>
      <c r="I117" s="2222" t="s">
        <v>1538</v>
      </c>
      <c r="J117" s="2233" t="s">
        <v>1539</v>
      </c>
      <c r="K117" s="2233" t="s">
        <v>1540</v>
      </c>
      <c r="L117" s="2233" t="s">
        <v>1541</v>
      </c>
      <c r="M117" s="2234" t="s">
        <v>1542</v>
      </c>
      <c r="N117" s="2213"/>
    </row>
    <row r="118" spans="1:14">
      <c r="A118" s="2223" t="s">
        <v>1452</v>
      </c>
      <c r="B118" s="2197">
        <f>ROUND(0.9968-0.011*B116,4)</f>
        <v>0.98580000000000001</v>
      </c>
      <c r="C118" s="2197">
        <f>B118</f>
        <v>0.98580000000000001</v>
      </c>
      <c r="D118" s="2197">
        <f>ROUND(0.949-0.014*B116,4)</f>
        <v>0.93500000000000005</v>
      </c>
      <c r="E118" s="2197">
        <f>D118</f>
        <v>0.93500000000000005</v>
      </c>
      <c r="F118" s="2197">
        <f>E118</f>
        <v>0.93500000000000005</v>
      </c>
      <c r="G118" s="2197">
        <f>F118</f>
        <v>0.93500000000000005</v>
      </c>
      <c r="H118" s="2197">
        <f>G118</f>
        <v>0.93500000000000005</v>
      </c>
      <c r="I118" s="2197">
        <f>ROUND(0.8486-0.018*B116,4)</f>
        <v>0.8306</v>
      </c>
      <c r="J118" s="2197">
        <f t="shared" ref="J118:M122" si="38">I118</f>
        <v>0.8306</v>
      </c>
      <c r="K118" s="2197">
        <f t="shared" si="38"/>
        <v>0.8306</v>
      </c>
      <c r="L118" s="2197">
        <f t="shared" si="38"/>
        <v>0.8306</v>
      </c>
      <c r="M118" s="2235">
        <f t="shared" si="38"/>
        <v>0.8306</v>
      </c>
      <c r="N118" s="2213"/>
    </row>
    <row r="119" spans="1:14">
      <c r="A119" s="2223" t="s">
        <v>1453</v>
      </c>
      <c r="B119" s="2197">
        <f>ROUND(0.993-0.0112*B116,4)</f>
        <v>0.98180000000000001</v>
      </c>
      <c r="C119" s="2197">
        <f>B119</f>
        <v>0.98180000000000001</v>
      </c>
      <c r="D119" s="2197">
        <f>ROUND(0.9415-0.0142*B116,4)</f>
        <v>0.92730000000000001</v>
      </c>
      <c r="E119" s="2197">
        <f t="shared" ref="E119:H120" si="39">D119</f>
        <v>0.92730000000000001</v>
      </c>
      <c r="F119" s="2197">
        <f t="shared" si="39"/>
        <v>0.92730000000000001</v>
      </c>
      <c r="G119" s="2197">
        <f t="shared" si="39"/>
        <v>0.92730000000000001</v>
      </c>
      <c r="H119" s="2197">
        <f t="shared" si="39"/>
        <v>0.92730000000000001</v>
      </c>
      <c r="I119" s="2197">
        <f>ROUND(0.838-0.0182*B116,4)</f>
        <v>0.81979999999999997</v>
      </c>
      <c r="J119" s="2197">
        <f t="shared" si="38"/>
        <v>0.81979999999999997</v>
      </c>
      <c r="K119" s="2197">
        <f t="shared" si="38"/>
        <v>0.81979999999999997</v>
      </c>
      <c r="L119" s="2197">
        <f t="shared" si="38"/>
        <v>0.81979999999999997</v>
      </c>
      <c r="M119" s="2235">
        <f t="shared" si="38"/>
        <v>0.81979999999999997</v>
      </c>
      <c r="N119" s="2213"/>
    </row>
    <row r="120" spans="1:14">
      <c r="A120" s="2223" t="s">
        <v>1454</v>
      </c>
      <c r="B120" s="2197">
        <f>ROUND(0.9448-0.0115*B116,4)</f>
        <v>0.93330000000000002</v>
      </c>
      <c r="C120" s="2197">
        <f>B120</f>
        <v>0.93330000000000002</v>
      </c>
      <c r="D120" s="2197">
        <f>ROUND(0.937-0.0145*B116,4)</f>
        <v>0.92249999999999999</v>
      </c>
      <c r="E120" s="2197">
        <f t="shared" si="39"/>
        <v>0.92249999999999999</v>
      </c>
      <c r="F120" s="2197">
        <f t="shared" si="39"/>
        <v>0.92249999999999999</v>
      </c>
      <c r="G120" s="2197">
        <f t="shared" si="39"/>
        <v>0.92249999999999999</v>
      </c>
      <c r="H120" s="2197">
        <f t="shared" si="39"/>
        <v>0.92249999999999999</v>
      </c>
      <c r="I120" s="2197">
        <f>ROUND(0.7965-0.0185*B116,4)</f>
        <v>0.77800000000000002</v>
      </c>
      <c r="J120" s="2197">
        <f t="shared" si="38"/>
        <v>0.77800000000000002</v>
      </c>
      <c r="K120" s="2197">
        <f t="shared" si="38"/>
        <v>0.77800000000000002</v>
      </c>
      <c r="L120" s="2197">
        <f t="shared" si="38"/>
        <v>0.77800000000000002</v>
      </c>
      <c r="M120" s="2235">
        <f t="shared" si="38"/>
        <v>0.77800000000000002</v>
      </c>
      <c r="N120" s="2213"/>
    </row>
    <row r="121" spans="1:14">
      <c r="A121" s="2224" t="s">
        <v>1455</v>
      </c>
      <c r="B121" s="2225">
        <f>ROUND(0.7836-0.012*B116,4)</f>
        <v>0.77159999999999995</v>
      </c>
      <c r="C121" s="2225">
        <f>B121</f>
        <v>0.77159999999999995</v>
      </c>
      <c r="D121" s="2225">
        <f>ROUND(0.753-0.015*B116,4)</f>
        <v>0.73799999999999999</v>
      </c>
      <c r="E121" s="2225">
        <f>D121</f>
        <v>0.73799999999999999</v>
      </c>
      <c r="F121" s="2225">
        <f>E121</f>
        <v>0.73799999999999999</v>
      </c>
      <c r="G121" s="2225">
        <f>ROUND(0.6612-0.018*B116,4)</f>
        <v>0.64319999999999999</v>
      </c>
      <c r="H121" s="2225">
        <f>G121</f>
        <v>0.64319999999999999</v>
      </c>
      <c r="I121" s="2225">
        <f>ROUND(0.5905-0.019*B116,4)</f>
        <v>0.57150000000000001</v>
      </c>
      <c r="J121" s="2225">
        <f t="shared" si="38"/>
        <v>0.57150000000000001</v>
      </c>
      <c r="K121" s="2225">
        <f t="shared" si="38"/>
        <v>0.57150000000000001</v>
      </c>
      <c r="L121" s="2225">
        <f t="shared" si="38"/>
        <v>0.57150000000000001</v>
      </c>
      <c r="M121" s="2236">
        <f t="shared" si="38"/>
        <v>0.57150000000000001</v>
      </c>
      <c r="N121" s="2213"/>
    </row>
    <row r="122" spans="1:14">
      <c r="A122" s="2226" t="s">
        <v>280</v>
      </c>
      <c r="B122" s="2197">
        <f>ROUND(0.9404-0.0106*B116,4)</f>
        <v>0.92979999999999996</v>
      </c>
      <c r="C122" s="2197">
        <f>B122</f>
        <v>0.92979999999999996</v>
      </c>
      <c r="D122" s="2197">
        <f>ROUND(0.8955-0.0135*B116,4)</f>
        <v>0.88200000000000001</v>
      </c>
      <c r="E122" s="2197">
        <f t="shared" ref="E122:H122" si="40">D122</f>
        <v>0.88200000000000001</v>
      </c>
      <c r="F122" s="2197">
        <f t="shared" si="40"/>
        <v>0.88200000000000001</v>
      </c>
      <c r="G122" s="2197">
        <f t="shared" si="40"/>
        <v>0.88200000000000001</v>
      </c>
      <c r="H122" s="2197">
        <f t="shared" si="40"/>
        <v>0.88200000000000001</v>
      </c>
      <c r="I122" s="2197">
        <f>ROUND(0.7632-0.0166*B116,4)</f>
        <v>0.74660000000000004</v>
      </c>
      <c r="J122" s="2197">
        <f t="shared" si="38"/>
        <v>0.74660000000000004</v>
      </c>
      <c r="K122" s="2197">
        <f t="shared" si="38"/>
        <v>0.74660000000000004</v>
      </c>
      <c r="L122" s="2197">
        <f t="shared" si="38"/>
        <v>0.74660000000000004</v>
      </c>
      <c r="M122" s="2235">
        <f t="shared" si="38"/>
        <v>0.74660000000000004</v>
      </c>
      <c r="N122" s="22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93:H101">
    <cfRule type="cellIs" dxfId="117" priority="1" operator="notEqual">
      <formula>"——"</formula>
    </cfRule>
  </conditionalFormatting>
  <conditionalFormatting sqref="H50:H58 H61:H69 H72:H80 H83:H91">
    <cfRule type="cellIs" dxfId="11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J35" sqref="J35"/>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1766</v>
      </c>
      <c r="D1" s="1580" t="s">
        <v>124</v>
      </c>
      <c r="E1" s="1581" t="s">
        <v>1143</v>
      </c>
      <c r="F1" s="1582">
        <f ca="1">J53</f>
        <v>29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533.05889999999999</v>
      </c>
      <c r="C2" s="1586" t="s">
        <v>1145</v>
      </c>
      <c r="D2" s="1587">
        <f ca="1">C40+J29+L46</f>
        <v>5330589</v>
      </c>
      <c r="E2" s="1588" t="s">
        <v>1543</v>
      </c>
      <c r="F2" s="1589"/>
      <c r="G2" s="1590"/>
      <c r="H2" s="1591"/>
      <c r="I2" s="1591"/>
      <c r="J2" s="1591"/>
      <c r="K2" s="1750"/>
      <c r="L2" s="1591"/>
      <c r="M2" s="1591"/>
    </row>
    <row r="3" spans="1:37" ht="18" customHeight="1" thickBot="1">
      <c r="A3" s="1592" t="s">
        <v>1146</v>
      </c>
      <c r="B3" s="1593">
        <f ca="1">IF(ISERROR(D2/F43),0,ROUND(D2/F43,0))</f>
        <v>15969</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329371</v>
      </c>
      <c r="D5" s="1602" t="s">
        <v>1155</v>
      </c>
      <c r="E5" s="1603"/>
      <c r="F5" s="1604"/>
      <c r="G5" s="1576"/>
      <c r="H5" s="1599">
        <v>1</v>
      </c>
      <c r="I5" s="1600" t="s">
        <v>1154</v>
      </c>
      <c r="J5" s="1601">
        <f ca="1">J6+J10+J12</f>
        <v>0</v>
      </c>
      <c r="K5" s="1602" t="s">
        <v>1155</v>
      </c>
      <c r="L5" s="1603"/>
      <c r="M5" s="1604"/>
    </row>
    <row r="6" spans="1:37" ht="18" customHeight="1">
      <c r="A6" s="1605" t="s">
        <v>894</v>
      </c>
      <c r="B6" s="3657" t="s">
        <v>1156</v>
      </c>
      <c r="C6" s="1606">
        <f ca="1">ROUND(F6*F8*F7*(1-F9),0)</f>
        <v>328960</v>
      </c>
      <c r="D6" s="1607" t="s">
        <v>1544</v>
      </c>
      <c r="E6" s="1608" t="s">
        <v>1158</v>
      </c>
      <c r="F6" s="1609">
        <f ca="1">INDIRECT("'数据-取费表'!u"&amp;$G$1)</f>
        <v>3</v>
      </c>
      <c r="G6" s="1576"/>
      <c r="H6" s="1605" t="s">
        <v>894</v>
      </c>
      <c r="I6" s="3657" t="s">
        <v>1156</v>
      </c>
      <c r="J6" s="1680">
        <f ca="1">ROUND(M6*M8*M7*(1-M9),0)</f>
        <v>0</v>
      </c>
      <c r="K6" s="1753" t="s">
        <v>1545</v>
      </c>
      <c r="L6" s="1608" t="s">
        <v>1158</v>
      </c>
      <c r="M6" s="1609">
        <f ca="1">INDIRECT("'数据-取费表'!z"&amp;$G$1)</f>
        <v>0</v>
      </c>
    </row>
    <row r="7" spans="1:37" ht="18" customHeight="1">
      <c r="A7" s="1610"/>
      <c r="B7" s="3658"/>
      <c r="C7" s="1611"/>
      <c r="D7" s="1612"/>
      <c r="E7" s="3453" t="s">
        <v>1160</v>
      </c>
      <c r="F7" s="1609">
        <f ca="1">IF(INDIRECT("'数据-取费表'!ah"&amp;$G$1)="",INDIRECT("'数据-取费表'!k"&amp;$G$1),INDIRECT("'数据-取费表'!ah"&amp;$G$1))</f>
        <v>333.8</v>
      </c>
      <c r="G7" s="1576"/>
      <c r="H7" s="1614"/>
      <c r="I7" s="3658"/>
      <c r="J7" s="1615"/>
      <c r="K7" s="1612"/>
      <c r="L7" s="1608" t="s">
        <v>1160</v>
      </c>
      <c r="M7" s="1609">
        <f ca="1">F7</f>
        <v>333.8</v>
      </c>
    </row>
    <row r="8" spans="1:37" ht="18" customHeight="1">
      <c r="A8" s="1614"/>
      <c r="B8" s="3658"/>
      <c r="C8" s="1615"/>
      <c r="D8" s="1612"/>
      <c r="E8" s="1608" t="s">
        <v>1161</v>
      </c>
      <c r="F8" s="1609">
        <f ca="1">INDIRECT("'数据-取费表'!ai"&amp;$G$1)</f>
        <v>365</v>
      </c>
      <c r="G8" s="1576"/>
      <c r="H8" s="1614"/>
      <c r="I8" s="3658"/>
      <c r="J8" s="1615"/>
      <c r="K8" s="1612"/>
      <c r="L8" s="1608" t="s">
        <v>1161</v>
      </c>
      <c r="M8" s="1609">
        <f ca="1">INDIRECT("'数据-取费表'!ai"&amp;$G$1)</f>
        <v>365</v>
      </c>
    </row>
    <row r="9" spans="1:37" ht="18" customHeight="1">
      <c r="A9" s="1614"/>
      <c r="B9" s="3659"/>
      <c r="C9" s="1615"/>
      <c r="D9" s="1612"/>
      <c r="E9" s="1608" t="s">
        <v>1162</v>
      </c>
      <c r="F9" s="1616">
        <f ca="1">INDIRECT("'数据-取费表'!w"&amp;$G$1)</f>
        <v>0.1</v>
      </c>
      <c r="G9" s="1576"/>
      <c r="H9" s="1614"/>
      <c r="I9" s="3659"/>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411</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f ca="1">ROUND(C29*F13,0)</f>
        <v>1402748</v>
      </c>
      <c r="D13" s="3440" t="s">
        <v>1171</v>
      </c>
      <c r="E13" s="3440" t="s">
        <v>1172</v>
      </c>
      <c r="F13" s="1636">
        <f ca="1">INDIRECT("'数据-取费表'!y"&amp;$G$1)</f>
        <v>0.83</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1168300</v>
      </c>
      <c r="D14" s="3449" t="s">
        <v>1174</v>
      </c>
      <c r="E14" s="3450"/>
      <c r="F14" s="1641"/>
      <c r="G14" s="1576"/>
      <c r="H14" s="1637" t="s">
        <v>894</v>
      </c>
      <c r="I14" s="1608" t="s">
        <v>1175</v>
      </c>
      <c r="J14" s="615">
        <f ca="1">C29</f>
        <v>1690058</v>
      </c>
      <c r="K14" s="3452"/>
      <c r="L14" s="1763"/>
      <c r="M14" s="1764"/>
    </row>
    <row r="15" spans="1:37" s="1575" customFormat="1" ht="18" customHeight="1" thickBot="1">
      <c r="A15" s="1637" t="s">
        <v>921</v>
      </c>
      <c r="B15" s="1608" t="s">
        <v>1103</v>
      </c>
      <c r="C15" s="615">
        <f ca="1">ROUND(C14*F15,0)</f>
        <v>35049</v>
      </c>
      <c r="D15" s="3441" t="s">
        <v>1176</v>
      </c>
      <c r="E15" s="3441"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8450</v>
      </c>
      <c r="K16" s="1658" t="s">
        <v>1180</v>
      </c>
      <c r="L16" s="3461"/>
      <c r="M16" s="1604"/>
    </row>
    <row r="17" spans="1:37" s="1575" customFormat="1" ht="18" customHeight="1">
      <c r="A17" s="1637" t="s">
        <v>1181</v>
      </c>
      <c r="B17" s="1608" t="s">
        <v>1182</v>
      </c>
      <c r="C17" s="615">
        <f ca="1">ROUND(F17*(F43+INDIRECT("'数据-取费表'!S"&amp;$G$1)),0)</f>
        <v>66760</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3449" t="s">
        <v>1186</v>
      </c>
      <c r="L17" s="3459"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23366</v>
      </c>
      <c r="D18" s="1608" t="s">
        <v>1176</v>
      </c>
      <c r="E18" s="1608" t="s">
        <v>1177</v>
      </c>
      <c r="F18" s="1646">
        <f>'数据-取费表'!B36</f>
        <v>0.02</v>
      </c>
      <c r="G18" s="1644"/>
      <c r="H18" s="1637" t="s">
        <v>917</v>
      </c>
      <c r="I18" s="1608" t="s">
        <v>1189</v>
      </c>
      <c r="J18" s="615">
        <f ca="1">ROUND(J6*M18/(1+'数据-取费表'!C42),0)</f>
        <v>0</v>
      </c>
      <c r="K18" s="3459"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1293475</v>
      </c>
      <c r="D19" s="1648" t="s">
        <v>1192</v>
      </c>
      <c r="E19" s="3463"/>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25870</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3"/>
      <c r="F22" s="1647"/>
      <c r="G22" s="1576"/>
      <c r="H22" s="1637" t="s">
        <v>898</v>
      </c>
      <c r="I22" s="1608" t="s">
        <v>1205</v>
      </c>
      <c r="J22" s="615">
        <f ca="1">ROUND(J14*M22,0)</f>
        <v>8450</v>
      </c>
      <c r="K22" s="3459"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44198</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3459"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3"/>
      <c r="F25" s="1647"/>
      <c r="G25" s="1576"/>
      <c r="H25" s="1632" t="s">
        <v>1216</v>
      </c>
      <c r="I25" s="1676" t="s">
        <v>1217</v>
      </c>
      <c r="J25" s="1634">
        <f ca="1">J5-J16</f>
        <v>-8450</v>
      </c>
      <c r="K25" s="1677" t="s">
        <v>1218</v>
      </c>
      <c r="L25" s="1678"/>
      <c r="M25" s="1679"/>
    </row>
    <row r="26" spans="1:37" ht="18" customHeight="1">
      <c r="A26" s="1637" t="s">
        <v>917</v>
      </c>
      <c r="B26" s="1608" t="s">
        <v>1219</v>
      </c>
      <c r="C26" s="615">
        <f ca="1">ROUND((C19+C20)*F26,0)</f>
        <v>197902</v>
      </c>
      <c r="D26" s="1649" t="s">
        <v>1220</v>
      </c>
      <c r="E26" s="1619" t="s">
        <v>1221</v>
      </c>
      <c r="F26" s="1616">
        <f ca="1">INDIRECT("'数据-取费表'!q"&amp;$G$1)</f>
        <v>0.15</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3.0000000000000001E-3</v>
      </c>
      <c r="D27" s="1649" t="s">
        <v>1227</v>
      </c>
      <c r="E27" s="3441"/>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f ca="1">ROUND((C19+C20+C23+C26)/(1-F21-C24-C27-C28),0)</f>
        <v>1690058</v>
      </c>
      <c r="D29" s="1655"/>
      <c r="E29" s="1630"/>
      <c r="F29" s="1656"/>
      <c r="G29" s="1644"/>
      <c r="H29" s="1657" t="s">
        <v>1234</v>
      </c>
      <c r="I29" s="1687" t="s">
        <v>1235</v>
      </c>
      <c r="J29" s="1688">
        <f ca="1">ROUND(J26/(1+F40)^F41,0)</f>
        <v>0</v>
      </c>
      <c r="K29" s="1689" t="s">
        <v>1236</v>
      </c>
      <c r="L29" s="1690"/>
      <c r="M29" s="1691">
        <f ca="1">INDIRECT("'数据-取费表'!k"&amp;$G$1)</f>
        <v>333.8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f ca="1">ROUND(C31+C36+C37+C38,0)</f>
        <v>35078</v>
      </c>
      <c r="D30" s="1658" t="s">
        <v>1180</v>
      </c>
      <c r="E30" s="3461"/>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21931</v>
      </c>
      <c r="D31" s="3449" t="s">
        <v>1186</v>
      </c>
      <c r="E31" s="3459"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59"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8450</v>
      </c>
      <c r="D36" s="3459"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1403</v>
      </c>
      <c r="D37" s="3459" t="s">
        <v>1210</v>
      </c>
      <c r="E37" s="1608" t="s">
        <v>1177</v>
      </c>
      <c r="F37" s="1675">
        <f ca="1">INDIRECT("'数据-取费表'!Al"&amp;$G$1)</f>
        <v>1E-3</v>
      </c>
      <c r="G37" s="1576"/>
      <c r="H37" s="1666"/>
      <c r="I37" s="1769"/>
      <c r="J37" s="1770"/>
      <c r="K37" s="1777"/>
      <c r="L37" s="1666"/>
      <c r="M37" s="1666"/>
    </row>
    <row r="38" spans="1:18" ht="18" customHeight="1" thickBot="1">
      <c r="A38" s="1645" t="s">
        <v>946</v>
      </c>
      <c r="B38" s="1630" t="s">
        <v>1195</v>
      </c>
      <c r="C38" s="1654">
        <f ca="1">ROUND(C5*F38,0)</f>
        <v>3294</v>
      </c>
      <c r="D38" s="1655" t="s">
        <v>1213</v>
      </c>
      <c r="E38" s="1630" t="s">
        <v>1177</v>
      </c>
      <c r="F38" s="1631">
        <f ca="1">INDIRECT("'数据-取费表'!Am"&amp;$G$1)</f>
        <v>0.01</v>
      </c>
      <c r="G38" s="1576"/>
      <c r="H38" s="1666"/>
      <c r="I38" s="1769"/>
      <c r="J38" s="1770"/>
      <c r="K38" s="1778"/>
      <c r="L38" s="1666"/>
      <c r="M38" s="1666"/>
    </row>
    <row r="39" spans="1:18" ht="24.6" customHeight="1" thickTop="1">
      <c r="A39" s="1632" t="s">
        <v>1216</v>
      </c>
      <c r="B39" s="1676" t="s">
        <v>1217</v>
      </c>
      <c r="C39" s="1634">
        <f ca="1">C5-C30</f>
        <v>294293</v>
      </c>
      <c r="D39" s="1677" t="s">
        <v>1218</v>
      </c>
      <c r="E39" s="1678"/>
      <c r="F39" s="1679"/>
      <c r="G39" s="1576"/>
      <c r="H39" s="1666">
        <f ca="1">C39/C5</f>
        <v>0.89350003491503505</v>
      </c>
      <c r="I39" s="1769"/>
      <c r="J39" s="1770"/>
      <c r="K39" s="1778"/>
      <c r="L39" s="1666"/>
      <c r="M39" s="1666"/>
    </row>
    <row r="40" spans="1:18" ht="18" customHeight="1">
      <c r="A40" s="1599" t="s">
        <v>1222</v>
      </c>
      <c r="B40" s="1600" t="s">
        <v>1239</v>
      </c>
      <c r="C40" s="1680">
        <f ca="1">ROUND(C39*(1-((1+F42)/(1+F40))^F41)/(F40-F42),0)</f>
        <v>5247582</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thickBot="1">
      <c r="A43" s="1657" t="s">
        <v>1234</v>
      </c>
      <c r="B43" s="1687" t="s">
        <v>1240</v>
      </c>
      <c r="C43" s="1688">
        <f ca="1">ROUND(C40/F43,0)</f>
        <v>15721</v>
      </c>
      <c r="D43" s="1689" t="s">
        <v>1241</v>
      </c>
      <c r="E43" s="1690" t="s">
        <v>1242</v>
      </c>
      <c r="F43" s="1691">
        <f ca="1">INDIRECT("'数据-取费表'!k"&amp;$G$1)</f>
        <v>333.8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f ca="1">ROUND((C68-C40)/10000,4)</f>
        <v>-538.88059999999996</v>
      </c>
      <c r="D45" s="1696" t="s">
        <v>1550</v>
      </c>
      <c r="E45" s="1692"/>
      <c r="F45" s="1692"/>
      <c r="O45" s="1780" t="s">
        <v>1243</v>
      </c>
      <c r="P45" s="1681"/>
      <c r="Q45" s="1681"/>
      <c r="R45" s="1681"/>
    </row>
    <row r="46" spans="1:18" s="1576" customFormat="1" ht="13.5" thickBot="1">
      <c r="A46" s="1697" t="s">
        <v>1244</v>
      </c>
      <c r="C46" s="1698">
        <f ca="1">ROUND(C45,0)</f>
        <v>-539</v>
      </c>
      <c r="D46" s="1699" t="str">
        <f>C2</f>
        <v>万元</v>
      </c>
      <c r="I46" s="1781" t="s">
        <v>1245</v>
      </c>
      <c r="J46" s="1782"/>
      <c r="K46" s="1783"/>
      <c r="L46" s="1784">
        <f ca="1">IF(M47="住宅",0,IF(L48&gt;J51,L60,J60))</f>
        <v>83007</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5247582</v>
      </c>
      <c r="R47" s="1833" t="s">
        <v>1254</v>
      </c>
    </row>
    <row r="48" spans="1:18" s="1576" customFormat="1" ht="28.5" thickBot="1">
      <c r="A48" s="1704" t="s">
        <v>1255</v>
      </c>
      <c r="B48" s="1600" t="s">
        <v>1154</v>
      </c>
      <c r="C48" s="3462">
        <f ca="1">C49+C53+C55</f>
        <v>0</v>
      </c>
      <c r="D48" s="1705"/>
      <c r="E48" s="1706"/>
      <c r="F48" s="1707"/>
      <c r="G48" s="1703"/>
      <c r="H48" s="1708"/>
      <c r="I48" s="1794" t="s">
        <v>1256</v>
      </c>
      <c r="J48" s="1795" t="s">
        <v>1552</v>
      </c>
      <c r="K48" s="1796" t="s">
        <v>1258</v>
      </c>
      <c r="L48" s="1797">
        <f ca="1">INDIRECT("'数据-取费表'!f"&amp;$G$1)</f>
        <v>29</v>
      </c>
      <c r="O48" s="1792" t="s">
        <v>1004</v>
      </c>
      <c r="P48" s="1793" t="s">
        <v>1259</v>
      </c>
      <c r="Q48" s="1833">
        <f ca="1">J60</f>
        <v>83007</v>
      </c>
      <c r="R48" s="1833" t="s">
        <v>1260</v>
      </c>
    </row>
    <row r="49" spans="1:18" s="1576" customFormat="1" ht="13.5" thickBot="1">
      <c r="A49" s="1709" t="s">
        <v>1261</v>
      </c>
      <c r="B49" s="1710" t="s">
        <v>1262</v>
      </c>
      <c r="C49" s="1711">
        <f ca="1">ROUND(F49*F51*F50*(1-F52),0)</f>
        <v>0</v>
      </c>
      <c r="D49" s="1712" t="s">
        <v>1553</v>
      </c>
      <c r="E49" s="1713" t="s">
        <v>1263</v>
      </c>
      <c r="F49" s="1714"/>
      <c r="G49" s="1715"/>
      <c r="H49" s="1708"/>
      <c r="I49" s="1794" t="s">
        <v>1264</v>
      </c>
      <c r="J49" s="1798">
        <f>'数据-取费表'!N17</f>
        <v>2014</v>
      </c>
      <c r="K49" s="1796" t="s">
        <v>1265</v>
      </c>
      <c r="L49" s="1799"/>
      <c r="O49" s="1800" t="s">
        <v>1266</v>
      </c>
      <c r="P49" s="1793" t="s">
        <v>1267</v>
      </c>
      <c r="Q49" s="1833">
        <f ca="1">C29</f>
        <v>1690058</v>
      </c>
      <c r="R49" s="1833" t="s">
        <v>1254</v>
      </c>
    </row>
    <row r="50" spans="1:18" s="1576" customFormat="1" ht="13.5" thickBot="1">
      <c r="A50" s="1716"/>
      <c r="B50" s="1717"/>
      <c r="C50" s="1718"/>
      <c r="D50" s="1719"/>
      <c r="E50" s="1720" t="s">
        <v>1160</v>
      </c>
      <c r="F50" s="1721">
        <f ca="1">F7</f>
        <v>333.8</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ht="13.5" thickBot="1">
      <c r="A51" s="1722"/>
      <c r="B51" s="1717"/>
      <c r="C51" s="1718"/>
      <c r="D51" s="1719"/>
      <c r="E51" s="1723" t="s">
        <v>1161</v>
      </c>
      <c r="F51" s="1609">
        <f ca="1">F8</f>
        <v>365</v>
      </c>
      <c r="I51" s="1803" t="s">
        <v>1272</v>
      </c>
      <c r="J51" s="1804">
        <f>IF(J49="",J50,J49+J50-YEAR('数据-取费表'!B2))</f>
        <v>50</v>
      </c>
      <c r="K51" s="1805" t="s">
        <v>1273</v>
      </c>
      <c r="L51" s="1806">
        <f ca="1">ROUND(-PV(INDIRECT("'数据-取费表'!h"&amp;$G$1),J51,(C39-C13*C76),0),0)</f>
        <v>3579999</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f ca="1">J53</f>
        <v>29</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29</v>
      </c>
      <c r="K53" s="3655" t="s">
        <v>1283</v>
      </c>
      <c r="L53" s="3656"/>
      <c r="O53" s="1792" t="s">
        <v>1105</v>
      </c>
      <c r="P53" s="1793" t="s">
        <v>1284</v>
      </c>
      <c r="Q53" s="1833">
        <f ca="1">Q47+Q48</f>
        <v>5330589</v>
      </c>
      <c r="R53" s="1833" t="s">
        <v>1285</v>
      </c>
    </row>
    <row r="54" spans="1:18" s="1576" customFormat="1" ht="13.5" thickBot="1">
      <c r="A54" s="1709"/>
      <c r="B54" s="1726" t="s">
        <v>1548</v>
      </c>
      <c r="C54" s="1623"/>
      <c r="D54" s="1618"/>
      <c r="E54" s="3443"/>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ht="13.5" thickBot="1">
      <c r="A55" s="1626" t="s">
        <v>943</v>
      </c>
      <c r="B55" s="1627" t="s">
        <v>1169</v>
      </c>
      <c r="C55" s="1628"/>
      <c r="D55" s="1618"/>
      <c r="E55" s="3443"/>
      <c r="F55" s="1728"/>
      <c r="I55" s="1816" t="s">
        <v>1287</v>
      </c>
      <c r="J55" s="1817">
        <f ca="1">ROUND(IF(J47="钢混",J57/J50,1-(1-2%)*(J50-J57)/J50),3)</f>
        <v>0.35</v>
      </c>
      <c r="K55" s="1818" t="s">
        <v>1288</v>
      </c>
      <c r="L55" s="1819"/>
      <c r="O55" s="1785" t="s">
        <v>1246</v>
      </c>
      <c r="P55" s="1786" t="s">
        <v>1247</v>
      </c>
      <c r="Q55" s="1832" t="s">
        <v>1248</v>
      </c>
      <c r="R55" s="1832" t="s">
        <v>1249</v>
      </c>
    </row>
    <row r="56" spans="1:18" s="1576" customFormat="1" ht="36" customHeight="1" thickTop="1" thickBot="1">
      <c r="A56" s="1729">
        <v>2</v>
      </c>
      <c r="B56" s="1730" t="s">
        <v>1170</v>
      </c>
      <c r="C56" s="416">
        <f ca="1">C13</f>
        <v>1402748</v>
      </c>
      <c r="D56" s="1731"/>
      <c r="E56" s="1732"/>
      <c r="F56" s="1728"/>
      <c r="I56" s="1820" t="s">
        <v>1289</v>
      </c>
      <c r="J56" s="1821" t="s">
        <v>484</v>
      </c>
      <c r="K56" s="1794" t="s">
        <v>1290</v>
      </c>
      <c r="L56" s="1797" t="str">
        <f ca="1">IF(L48&lt;J51,"——",L48-J51)</f>
        <v>——</v>
      </c>
      <c r="O56" s="1792" t="s">
        <v>1000</v>
      </c>
      <c r="P56" s="1793" t="s">
        <v>1253</v>
      </c>
      <c r="Q56" s="1833">
        <f ca="1">C40+J29</f>
        <v>5247582</v>
      </c>
      <c r="R56" s="1833" t="s">
        <v>1254</v>
      </c>
    </row>
    <row r="57" spans="1:18" s="1576" customFormat="1" ht="24.75" thickBot="1">
      <c r="A57" s="1733"/>
      <c r="B57" s="1734" t="s">
        <v>1233</v>
      </c>
      <c r="C57" s="426">
        <f ca="1">C29</f>
        <v>1690058</v>
      </c>
      <c r="D57" s="1735"/>
      <c r="E57" s="1736"/>
      <c r="F57" s="1737"/>
      <c r="I57" s="1822" t="s">
        <v>1291</v>
      </c>
      <c r="J57" s="1823">
        <f ca="1">IF(OR(M47="住宅",J51&lt;L48,J56="是"),"——",J51-L48)</f>
        <v>21</v>
      </c>
      <c r="K57" s="1794" t="s">
        <v>1555</v>
      </c>
      <c r="L57" s="1797" t="str">
        <f ca="1">IF(L48&lt;J51,"——",IF(L55="比较法",L49,IF(L55="基准地价",L50,L51)))</f>
        <v>——</v>
      </c>
      <c r="O57" s="1792" t="s">
        <v>1004</v>
      </c>
      <c r="P57" s="1793" t="s">
        <v>1293</v>
      </c>
      <c r="Q57" s="1833">
        <f ca="1">L60</f>
        <v>0</v>
      </c>
      <c r="R57" s="1833" t="s">
        <v>1294</v>
      </c>
    </row>
    <row r="58" spans="1:18" s="1576" customFormat="1" ht="24.75" thickBot="1">
      <c r="A58" s="1738" t="s">
        <v>1178</v>
      </c>
      <c r="B58" s="1730" t="s">
        <v>1179</v>
      </c>
      <c r="C58" s="614">
        <f ca="1">ROUND(C59+C64+C65+C66,0)</f>
        <v>9853</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75" thickBot="1">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676023</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83007</v>
      </c>
      <c r="K60" s="1827" t="s">
        <v>1301</v>
      </c>
      <c r="L60" s="1826">
        <f ca="1">IF(OR(M47="住宅",L48&lt;J51),0,ROUND(L57*(L58/L59-1),0))</f>
        <v>0</v>
      </c>
      <c r="O60" s="1800" t="s">
        <v>1274</v>
      </c>
      <c r="P60" s="1793" t="s">
        <v>1302</v>
      </c>
      <c r="Q60" s="1833" t="e">
        <f ca="1">L58</f>
        <v>#DIV/0!</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5247582</v>
      </c>
      <c r="R62" s="1833" t="s">
        <v>1285</v>
      </c>
    </row>
    <row r="63" spans="1:18" s="1576" customFormat="1" ht="13.5" thickBo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f ca="1">ROUND(C57*F64,0)</f>
        <v>8450</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f ca="1">ROUND(C56*F65,0)</f>
        <v>1403</v>
      </c>
      <c r="D65" s="1742" t="s">
        <v>1210</v>
      </c>
      <c r="E65" s="1734" t="s">
        <v>1177</v>
      </c>
      <c r="F65" s="1675">
        <f t="shared" ca="1" si="0"/>
        <v>1E-3</v>
      </c>
      <c r="I65" s="1828" t="s">
        <v>1313</v>
      </c>
      <c r="J65" s="1829">
        <v>40</v>
      </c>
      <c r="K65" s="1829">
        <v>30</v>
      </c>
      <c r="L65" s="1829">
        <v>50</v>
      </c>
      <c r="M65" s="1831">
        <v>0.02</v>
      </c>
      <c r="O65" s="1792" t="s">
        <v>1000</v>
      </c>
      <c r="P65" s="1793" t="s">
        <v>1253</v>
      </c>
      <c r="Q65" s="1833">
        <f ca="1">C40+J29</f>
        <v>5247582</v>
      </c>
      <c r="R65" s="1833" t="s">
        <v>1254</v>
      </c>
    </row>
    <row r="66" spans="1:18" s="1576" customFormat="1" ht="16.5" thickBot="1">
      <c r="A66" s="1637" t="s">
        <v>946</v>
      </c>
      <c r="B66" s="1734" t="s">
        <v>1195</v>
      </c>
      <c r="C66" s="615">
        <f ca="1">ROUND(C48*F66,0)</f>
        <v>0</v>
      </c>
      <c r="D66" s="1742" t="s">
        <v>1213</v>
      </c>
      <c r="E66" s="1734" t="s">
        <v>1177</v>
      </c>
      <c r="F66" s="1616">
        <f t="shared" ca="1" si="0"/>
        <v>0.01</v>
      </c>
      <c r="O66" s="1792" t="s">
        <v>1004</v>
      </c>
      <c r="P66" s="1793" t="s">
        <v>1293</v>
      </c>
      <c r="Q66" s="1833">
        <f ca="1">L60</f>
        <v>0</v>
      </c>
      <c r="R66" s="1833" t="s">
        <v>1294</v>
      </c>
    </row>
    <row r="67" spans="1:18" s="1576" customFormat="1" ht="16.5" thickBot="1">
      <c r="A67" s="1729" t="s">
        <v>1216</v>
      </c>
      <c r="B67" s="1835" t="s">
        <v>1217</v>
      </c>
      <c r="C67" s="614">
        <f ca="1">C48-C58</f>
        <v>-9853</v>
      </c>
      <c r="D67" s="1741" t="s">
        <v>1218</v>
      </c>
      <c r="E67" s="1836"/>
      <c r="F67" s="1837"/>
      <c r="O67" s="1800" t="s">
        <v>1266</v>
      </c>
      <c r="P67" s="1793" t="s">
        <v>1297</v>
      </c>
      <c r="Q67" s="1858">
        <f ca="1">L51</f>
        <v>3579999</v>
      </c>
      <c r="R67" s="1833" t="s">
        <v>1314</v>
      </c>
    </row>
    <row r="68" spans="1:18" s="1576" customFormat="1" ht="16.5" thickBot="1">
      <c r="A68" s="1838" t="s">
        <v>1222</v>
      </c>
      <c r="B68" s="1839" t="s">
        <v>1239</v>
      </c>
      <c r="C68" s="1680">
        <f ca="1">ROUND(C67*(1-((1+F70)/(1+F68))^F69)/(F68-F70),0)</f>
        <v>-141224</v>
      </c>
      <c r="D68" s="1744" t="s">
        <v>1224</v>
      </c>
      <c r="E68" s="1734" t="s">
        <v>1225</v>
      </c>
      <c r="F68" s="1616">
        <f ca="1">F40</f>
        <v>5.5E-2</v>
      </c>
      <c r="O68" s="1800" t="s">
        <v>1270</v>
      </c>
      <c r="P68" s="1857" t="s">
        <v>1315</v>
      </c>
      <c r="Q68" s="1833">
        <f ca="1">ROUND(Q69-Q70*Q71,0)</f>
        <v>196101</v>
      </c>
      <c r="R68" s="1833" t="s">
        <v>1316</v>
      </c>
    </row>
    <row r="69" spans="1:18" s="1576" customFormat="1" ht="13.5" thickBot="1">
      <c r="A69" s="1840"/>
      <c r="B69" s="1841"/>
      <c r="C69" s="1615"/>
      <c r="D69" s="1842" t="s">
        <v>1228</v>
      </c>
      <c r="E69" s="1734" t="s">
        <v>1229</v>
      </c>
      <c r="F69" s="1684">
        <f ca="1">F41</f>
        <v>29</v>
      </c>
      <c r="O69" s="1800" t="s">
        <v>1317</v>
      </c>
      <c r="P69" s="1857" t="s">
        <v>1318</v>
      </c>
      <c r="Q69" s="1833">
        <f ca="1">C39</f>
        <v>294293</v>
      </c>
      <c r="R69" s="1833" t="s">
        <v>1254</v>
      </c>
    </row>
    <row r="70" spans="1:18" s="1576" customFormat="1" ht="13.5" thickBot="1">
      <c r="A70" s="1843"/>
      <c r="B70" s="1844"/>
      <c r="C70" s="1634"/>
      <c r="D70" s="1746"/>
      <c r="E70" s="1734" t="s">
        <v>1232</v>
      </c>
      <c r="F70" s="1724"/>
      <c r="O70" s="1800" t="s">
        <v>1319</v>
      </c>
      <c r="P70" s="1857" t="s">
        <v>1320</v>
      </c>
      <c r="Q70" s="1833">
        <f ca="1">C13</f>
        <v>1402748</v>
      </c>
      <c r="R70" s="1833" t="s">
        <v>1254</v>
      </c>
    </row>
    <row r="71" spans="1:18" s="1576" customFormat="1" ht="13.5" thickBot="1">
      <c r="A71" s="1845" t="s">
        <v>1234</v>
      </c>
      <c r="B71" s="1846" t="s">
        <v>1240</v>
      </c>
      <c r="C71" s="1688">
        <f ca="1">ROUND(C68/F71,0)</f>
        <v>-423</v>
      </c>
      <c r="D71" s="1847" t="s">
        <v>1241</v>
      </c>
      <c r="E71" s="1848" t="s">
        <v>1242</v>
      </c>
      <c r="F71" s="1691">
        <f ca="1">F43</f>
        <v>333.8</v>
      </c>
      <c r="O71" s="1800" t="s">
        <v>1321</v>
      </c>
      <c r="P71" s="1857" t="s">
        <v>1322</v>
      </c>
      <c r="Q71" s="1834">
        <f ca="1">C76</f>
        <v>7.0000000000000007E-2</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#DIV/0!</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ht="13.5" thickBot="1">
      <c r="A75" s="1576"/>
      <c r="B75" s="1850" t="s">
        <v>1325</v>
      </c>
      <c r="C75" s="1851">
        <f ca="1">ROUND(C13*C76,0)</f>
        <v>98192</v>
      </c>
      <c r="D75" s="1576"/>
      <c r="E75" s="1576"/>
      <c r="F75" s="1576"/>
      <c r="K75" s="1779"/>
      <c r="L75" s="1576"/>
      <c r="O75" s="1792" t="s">
        <v>1105</v>
      </c>
      <c r="P75" s="1793" t="s">
        <v>1284</v>
      </c>
      <c r="Q75" s="1833">
        <f ca="1">Q65+Q66</f>
        <v>5247582</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0.66599999999999993</v>
      </c>
    </row>
    <row r="80" spans="1:18">
      <c r="B80" s="1850" t="s">
        <v>1330</v>
      </c>
      <c r="C80" s="459">
        <f ca="1">ROUND(C75/C39,3)</f>
        <v>0.33400000000000002</v>
      </c>
    </row>
    <row r="81" spans="2:3">
      <c r="B81" s="456" t="s">
        <v>1331</v>
      </c>
      <c r="C81" s="426"/>
    </row>
    <row r="82" spans="2:3">
      <c r="B82" s="458" t="s">
        <v>1081</v>
      </c>
      <c r="C82" s="460">
        <f ca="1">1-C83</f>
        <v>0.73299999999999998</v>
      </c>
    </row>
    <row r="83" spans="2:3">
      <c r="B83" s="458" t="s">
        <v>1082</v>
      </c>
      <c r="C83" s="459">
        <f ca="1">ROUND(C13/C40,3)</f>
        <v>0.26700000000000002</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估价对象为北京市房地产，为所有。根据《国有土地使用证》[]，估价对象（分摊）出让国有建设用地使用权面积为0平方米，建筑面积为333.8平方米。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估价对象为北京市房地产,属开发建设的商业项目，该项目尚在开发建设中。根据《国有土地使用证》[]，估价对象（分摊）出让国有建设用地使用权面积为0平方米，规划建筑面积为333.8平方米。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2024年9月10日（评估专业人员实地查勘之日）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52" t="s">
        <v>1560</v>
      </c>
      <c r="K2" s="3753"/>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6" t="s">
        <v>1568</v>
      </c>
      <c r="K3" s="3747"/>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6" t="s">
        <v>1570</v>
      </c>
      <c r="K4" s="3747"/>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56" t="s">
        <v>1574</v>
      </c>
      <c r="B6" s="3757"/>
      <c r="C6" s="3758"/>
      <c r="D6" s="1425"/>
      <c r="E6" s="1426"/>
      <c r="F6" s="1427"/>
      <c r="G6" s="1428"/>
      <c r="H6" s="1416"/>
      <c r="I6" s="1513"/>
      <c r="J6" s="3740">
        <v>1</v>
      </c>
      <c r="K6" s="3743"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40"/>
      <c r="K7" s="3744"/>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54" t="s">
        <v>1588</v>
      </c>
      <c r="C8" s="3755"/>
      <c r="D8" s="1439" t="s">
        <v>1589</v>
      </c>
      <c r="E8" s="1440" t="s">
        <v>1590</v>
      </c>
      <c r="F8" s="1441" t="s">
        <v>1591</v>
      </c>
      <c r="G8" s="1442"/>
      <c r="H8" s="1416"/>
      <c r="I8" s="1513"/>
      <c r="J8" s="3740"/>
      <c r="K8" s="3744"/>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54" t="s">
        <v>1594</v>
      </c>
      <c r="C9" s="3755"/>
      <c r="D9" s="1439">
        <f>ROUND(D6*E9,0)</f>
        <v>0</v>
      </c>
      <c r="E9" s="1443"/>
      <c r="F9" s="1444" t="s">
        <v>1595</v>
      </c>
      <c r="G9" s="1428"/>
      <c r="H9" s="1416"/>
      <c r="I9" s="1513"/>
      <c r="J9" s="3740"/>
      <c r="K9" s="3744"/>
      <c r="L9" s="1523" t="s">
        <v>1596</v>
      </c>
      <c r="M9" s="1524"/>
      <c r="N9" s="1421"/>
      <c r="O9" s="1525"/>
      <c r="P9" s="1525"/>
      <c r="Q9" s="1454">
        <v>365</v>
      </c>
      <c r="R9" s="1559">
        <f t="shared" si="0"/>
        <v>0</v>
      </c>
      <c r="S9" s="1552"/>
      <c r="T9" s="1552"/>
      <c r="U9" s="1552"/>
      <c r="V9" s="1513"/>
    </row>
    <row r="10" spans="1:22" s="1397" customFormat="1" ht="13.15" customHeight="1">
      <c r="A10" s="1436">
        <v>2</v>
      </c>
      <c r="B10" s="3754" t="s">
        <v>1597</v>
      </c>
      <c r="C10" s="3755"/>
      <c r="D10" s="1439">
        <f>ROUND(D6*E10,0)</f>
        <v>0</v>
      </c>
      <c r="E10" s="1443"/>
      <c r="F10" s="1444" t="s">
        <v>1598</v>
      </c>
      <c r="G10" s="1428"/>
      <c r="H10" s="1416"/>
      <c r="I10" s="1513"/>
      <c r="J10" s="3740"/>
      <c r="K10" s="3744"/>
      <c r="L10" s="1523" t="s">
        <v>1599</v>
      </c>
      <c r="M10" s="1524"/>
      <c r="N10" s="1421"/>
      <c r="O10" s="1525"/>
      <c r="P10" s="1525"/>
      <c r="Q10" s="1454">
        <v>365</v>
      </c>
      <c r="R10" s="1559">
        <f t="shared" si="0"/>
        <v>0</v>
      </c>
      <c r="S10" s="1552"/>
      <c r="T10" s="1552"/>
      <c r="U10" s="1552"/>
      <c r="V10" s="1513"/>
    </row>
    <row r="11" spans="1:22" s="1397" customFormat="1" ht="13.15" customHeight="1">
      <c r="A11" s="1436">
        <v>3</v>
      </c>
      <c r="B11" s="3754" t="s">
        <v>1600</v>
      </c>
      <c r="C11" s="3755"/>
      <c r="D11" s="1439">
        <f>D12+D14+D15+D16</f>
        <v>0</v>
      </c>
      <c r="E11" s="1445" t="e">
        <f>D11/D6</f>
        <v>#DIV/0!</v>
      </c>
      <c r="F11" s="1441"/>
      <c r="G11" s="1442"/>
      <c r="H11" s="1416"/>
      <c r="I11" s="1513"/>
      <c r="J11" s="3740"/>
      <c r="K11" s="3744"/>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8" t="s">
        <v>1603</v>
      </c>
      <c r="C12" s="3749"/>
      <c r="D12" s="1449">
        <f>ROUND(D13*1.2%*(1-30%),0)</f>
        <v>0</v>
      </c>
      <c r="E12" s="1450">
        <v>1.2E-2</v>
      </c>
      <c r="F12" s="1441" t="s">
        <v>1604</v>
      </c>
      <c r="G12" s="1442"/>
      <c r="H12" s="1416"/>
      <c r="I12" s="1513"/>
      <c r="J12" s="3740"/>
      <c r="K12" s="3744"/>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40"/>
      <c r="K13" s="3744"/>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8" t="s">
        <v>1609</v>
      </c>
      <c r="C14" s="3749"/>
      <c r="D14" s="1449">
        <f>ROUND(E14*B5/10000,0)</f>
        <v>0</v>
      </c>
      <c r="E14" s="1454"/>
      <c r="F14" s="1441" t="s">
        <v>1610</v>
      </c>
      <c r="G14" s="1442"/>
      <c r="H14" s="1416"/>
      <c r="I14" s="1513"/>
      <c r="J14" s="3740"/>
      <c r="K14" s="3745"/>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8" t="s">
        <v>1613</v>
      </c>
      <c r="C15" s="3749"/>
      <c r="D15" s="1449">
        <f>ROUND(D6*E15,0)</f>
        <v>0</v>
      </c>
      <c r="E15" s="1450">
        <v>5.5E-2</v>
      </c>
      <c r="F15" s="1441" t="s">
        <v>1614</v>
      </c>
      <c r="G15" s="1428"/>
      <c r="H15" s="1416"/>
      <c r="I15" s="1513"/>
      <c r="J15" s="3740">
        <v>2</v>
      </c>
      <c r="K15" s="3743"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8" t="s">
        <v>1621</v>
      </c>
      <c r="C16" s="3749"/>
      <c r="D16" s="1455">
        <f>D6*E16</f>
        <v>0</v>
      </c>
      <c r="E16" s="1456"/>
      <c r="F16" s="1444" t="s">
        <v>1622</v>
      </c>
      <c r="G16" s="1428"/>
      <c r="H16" s="1416"/>
      <c r="I16" s="1513"/>
      <c r="J16" s="3740"/>
      <c r="K16" s="3744"/>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50" t="s">
        <v>1624</v>
      </c>
      <c r="C17" s="3751"/>
      <c r="D17" s="1458">
        <f>ROUND(D6*E17,0)</f>
        <v>0</v>
      </c>
      <c r="E17" s="1459"/>
      <c r="F17" s="1460" t="s">
        <v>1625</v>
      </c>
      <c r="G17" s="1428"/>
      <c r="H17" s="1416"/>
      <c r="I17" s="1513"/>
      <c r="J17" s="3740"/>
      <c r="K17" s="3744"/>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40"/>
      <c r="K18" s="3744"/>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40"/>
      <c r="K19" s="3745"/>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40">
        <v>3</v>
      </c>
      <c r="K20" s="3743"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40"/>
      <c r="K21" s="3744"/>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40"/>
      <c r="K22" s="3744"/>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40"/>
      <c r="K23" s="3744"/>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40"/>
      <c r="K24" s="3745"/>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41">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42"/>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52" t="s">
        <v>1560</v>
      </c>
      <c r="K32" s="3753"/>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6" t="s">
        <v>1568</v>
      </c>
      <c r="K33" s="3747"/>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6" t="s">
        <v>1570</v>
      </c>
      <c r="K34" s="3747"/>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40">
        <v>1</v>
      </c>
      <c r="K36" s="3743"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40"/>
      <c r="K37" s="3744"/>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40"/>
      <c r="K38" s="3744"/>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40"/>
      <c r="K39" s="3744"/>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40"/>
      <c r="K40" s="3745"/>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41">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42"/>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533.05889999999999</v>
      </c>
      <c r="C2" s="1380" t="s">
        <v>1671</v>
      </c>
      <c r="D2" s="1381" t="s">
        <v>1672</v>
      </c>
      <c r="E2" s="1382">
        <f>SUM(E6:E13)</f>
        <v>333.8</v>
      </c>
      <c r="F2" s="1376"/>
      <c r="G2" s="1377"/>
      <c r="H2" s="1377"/>
      <c r="I2" s="1377"/>
      <c r="J2" s="1377"/>
      <c r="K2" s="1377"/>
      <c r="L2" s="1377"/>
      <c r="M2" s="1377"/>
      <c r="N2" s="1377"/>
      <c r="O2" s="1377"/>
      <c r="P2" s="1377"/>
      <c r="Q2" s="1377"/>
      <c r="R2" s="1377"/>
      <c r="S2" s="1377"/>
    </row>
    <row r="3" spans="1:22" ht="15.75">
      <c r="A3" s="1378" t="s">
        <v>986</v>
      </c>
      <c r="B3" s="1383">
        <f ca="1">ROUND(B2*10000/E2,0)</f>
        <v>15969</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9" t="s">
        <v>1675</v>
      </c>
      <c r="C5" s="3760"/>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收益法-207</v>
      </c>
      <c r="B6" s="545">
        <f ca="1">IF(F6="是",'数据-取费表'!AO6,0)</f>
        <v>533.05889999999999</v>
      </c>
      <c r="C6" s="1380" t="s">
        <v>1671</v>
      </c>
      <c r="D6" s="1384"/>
      <c r="E6" s="1392">
        <f>IF(OR(A6=0,F6="否"),0,'数据-取费表'!K6+'数据-取费表'!S6)</f>
        <v>333.8</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333.8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703" t="s">
        <v>1684</v>
      </c>
      <c r="D4" s="3704"/>
      <c r="E4" s="3705" t="s">
        <v>1685</v>
      </c>
      <c r="F4" s="3706"/>
      <c r="G4" s="3703" t="s">
        <v>1686</v>
      </c>
      <c r="H4" s="3704"/>
      <c r="I4" s="3703" t="s">
        <v>1687</v>
      </c>
      <c r="J4" s="3704"/>
      <c r="K4" s="1308"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711" t="s">
        <v>1686</v>
      </c>
      <c r="AC4" s="3711" t="s">
        <v>1687</v>
      </c>
    </row>
    <row r="5" spans="1:29" ht="15">
      <c r="A5" s="703"/>
      <c r="B5" s="704"/>
      <c r="C5" s="3707" t="s">
        <v>1690</v>
      </c>
      <c r="D5" s="3708"/>
      <c r="E5" s="3709" t="s">
        <v>1691</v>
      </c>
      <c r="F5" s="3710"/>
      <c r="G5" s="3707" t="s">
        <v>1692</v>
      </c>
      <c r="H5" s="3708"/>
      <c r="I5" s="3707" t="s">
        <v>1693</v>
      </c>
      <c r="J5" s="3708"/>
      <c r="K5" s="1309"/>
      <c r="L5" s="852"/>
      <c r="M5" s="853"/>
      <c r="N5" s="853"/>
      <c r="O5" s="853"/>
      <c r="P5" s="3714"/>
      <c r="Q5" s="3669"/>
      <c r="R5" s="3674"/>
      <c r="S5" s="3675"/>
      <c r="T5" s="3674"/>
      <c r="U5" s="3675"/>
      <c r="V5" s="3679"/>
      <c r="W5" s="3679"/>
      <c r="X5" s="895"/>
      <c r="Y5" s="3674"/>
      <c r="Z5" s="3675"/>
      <c r="AA5" s="3661"/>
      <c r="AB5" s="3661"/>
      <c r="AC5" s="3661"/>
    </row>
    <row r="6" spans="1:29" ht="15">
      <c r="A6" s="705"/>
      <c r="B6" s="706"/>
      <c r="C6" s="3698" t="s">
        <v>1694</v>
      </c>
      <c r="D6" s="3699"/>
      <c r="E6" s="3700" t="s">
        <v>1694</v>
      </c>
      <c r="F6" s="3701"/>
      <c r="G6" s="3698" t="s">
        <v>1694</v>
      </c>
      <c r="H6" s="3699"/>
      <c r="I6" s="3698" t="s">
        <v>1694</v>
      </c>
      <c r="J6" s="3699"/>
      <c r="K6" s="1309" t="s">
        <v>1695</v>
      </c>
      <c r="L6" s="852"/>
      <c r="M6" s="853"/>
      <c r="N6" s="853"/>
      <c r="O6" s="853"/>
      <c r="P6" s="3715"/>
      <c r="Q6" s="3671"/>
      <c r="R6" s="3674"/>
      <c r="S6" s="3675"/>
      <c r="T6" s="3676"/>
      <c r="U6" s="3677"/>
      <c r="V6" s="3679"/>
      <c r="W6" s="3679"/>
      <c r="X6" s="895"/>
      <c r="Y6" s="3676"/>
      <c r="Z6" s="3677"/>
      <c r="AA6" s="3662"/>
      <c r="AB6" s="3662"/>
      <c r="AC6" s="3662"/>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686" t="s">
        <v>1697</v>
      </c>
      <c r="Q7" s="3702"/>
      <c r="R7" s="896" t="s">
        <v>1698</v>
      </c>
      <c r="S7" s="897">
        <f t="shared" ref="S7:S15" si="0">F7</f>
        <v>0</v>
      </c>
      <c r="T7" s="896" t="s">
        <v>1698</v>
      </c>
      <c r="U7" s="897">
        <f t="shared" ref="U7:U15" si="1">H7</f>
        <v>0</v>
      </c>
      <c r="V7" s="896" t="s">
        <v>1698</v>
      </c>
      <c r="W7" s="897">
        <f t="shared" ref="W7:W15" si="2">J7</f>
        <v>0</v>
      </c>
      <c r="X7" s="898"/>
      <c r="Y7" s="3686" t="s">
        <v>1697</v>
      </c>
      <c r="Z7" s="3687"/>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86" t="s">
        <v>1700</v>
      </c>
      <c r="Q8" s="3687"/>
      <c r="R8" s="896" t="s">
        <v>1698</v>
      </c>
      <c r="S8" s="897">
        <f t="shared" si="0"/>
        <v>100</v>
      </c>
      <c r="T8" s="896" t="s">
        <v>1698</v>
      </c>
      <c r="U8" s="897">
        <f t="shared" si="1"/>
        <v>100</v>
      </c>
      <c r="V8" s="896" t="s">
        <v>1698</v>
      </c>
      <c r="W8" s="897">
        <f t="shared" si="2"/>
        <v>100</v>
      </c>
      <c r="X8" s="898"/>
      <c r="Y8" s="3686" t="s">
        <v>1700</v>
      </c>
      <c r="Z8" s="3687"/>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80"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80"/>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80"/>
      <c r="Q11" s="900" t="str">
        <f t="shared" si="6"/>
        <v>容积率</v>
      </c>
      <c r="R11" s="896" t="s">
        <v>1698</v>
      </c>
      <c r="S11" s="897" t="e">
        <f t="shared" si="0"/>
        <v>#N/A</v>
      </c>
      <c r="T11" s="896" t="s">
        <v>1698</v>
      </c>
      <c r="U11" s="897" t="e">
        <f t="shared" si="1"/>
        <v>#N/A</v>
      </c>
      <c r="V11" s="896" t="s">
        <v>1698</v>
      </c>
      <c r="W11" s="897" t="e">
        <f t="shared" si="2"/>
        <v>#N/A</v>
      </c>
      <c r="X11" s="898"/>
      <c r="Y11" s="3567"/>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80"/>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80"/>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80"/>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89" t="s">
        <v>1709</v>
      </c>
      <c r="Q15" s="819" t="str">
        <f t="shared" si="6"/>
        <v>居住社区成熟度</v>
      </c>
      <c r="R15" s="901" t="s">
        <v>1698</v>
      </c>
      <c r="S15" s="902">
        <f t="shared" si="0"/>
        <v>100</v>
      </c>
      <c r="T15" s="901" t="s">
        <v>1698</v>
      </c>
      <c r="U15" s="902">
        <f t="shared" si="1"/>
        <v>100</v>
      </c>
      <c r="V15" s="901" t="s">
        <v>1698</v>
      </c>
      <c r="W15" s="902">
        <f t="shared" si="2"/>
        <v>100</v>
      </c>
      <c r="X15" s="895"/>
      <c r="Y15" s="3694"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90"/>
      <c r="Q16" s="819"/>
      <c r="R16" s="901"/>
      <c r="S16" s="902"/>
      <c r="T16" s="901"/>
      <c r="U16" s="902"/>
      <c r="V16" s="901"/>
      <c r="W16" s="902"/>
      <c r="X16" s="895"/>
      <c r="Y16" s="3695"/>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90"/>
      <c r="Q17" s="819" t="str">
        <f>B17</f>
        <v>交通便捷度</v>
      </c>
      <c r="R17" s="901" t="s">
        <v>1698</v>
      </c>
      <c r="S17" s="902">
        <f>F17</f>
        <v>100</v>
      </c>
      <c r="T17" s="901" t="s">
        <v>1698</v>
      </c>
      <c r="U17" s="902">
        <f>H17</f>
        <v>100</v>
      </c>
      <c r="V17" s="901" t="s">
        <v>1698</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90"/>
      <c r="Q19" s="819" t="str">
        <f>B19</f>
        <v>公共配套设施</v>
      </c>
      <c r="R19" s="901" t="s">
        <v>1698</v>
      </c>
      <c r="S19" s="902">
        <f>F19</f>
        <v>100</v>
      </c>
      <c r="T19" s="901" t="s">
        <v>1698</v>
      </c>
      <c r="U19" s="902">
        <f>H19</f>
        <v>100</v>
      </c>
      <c r="V19" s="901" t="s">
        <v>1698</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90"/>
      <c r="Q21" s="819" t="str">
        <f>B21</f>
        <v>基础设施水平</v>
      </c>
      <c r="R21" s="901" t="s">
        <v>1698</v>
      </c>
      <c r="S21" s="902">
        <f>F21</f>
        <v>100</v>
      </c>
      <c r="T21" s="901" t="s">
        <v>1698</v>
      </c>
      <c r="U21" s="902">
        <f>H21</f>
        <v>100</v>
      </c>
      <c r="V21" s="901" t="s">
        <v>1698</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90"/>
      <c r="Q22" s="819"/>
      <c r="R22" s="901"/>
      <c r="S22" s="902"/>
      <c r="T22" s="901"/>
      <c r="U22" s="902"/>
      <c r="V22" s="901"/>
      <c r="W22" s="902"/>
      <c r="X22" s="895"/>
      <c r="Y22" s="3695"/>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90"/>
      <c r="Q23" s="819" t="str">
        <f>B23</f>
        <v>自然及人文环境</v>
      </c>
      <c r="R23" s="901" t="s">
        <v>1698</v>
      </c>
      <c r="S23" s="902">
        <f>F23</f>
        <v>100</v>
      </c>
      <c r="T23" s="901" t="s">
        <v>1698</v>
      </c>
      <c r="U23" s="902">
        <f>H23</f>
        <v>100</v>
      </c>
      <c r="V23" s="901" t="s">
        <v>1698</v>
      </c>
      <c r="W23" s="902">
        <f>J23</f>
        <v>100</v>
      </c>
      <c r="X23" s="895"/>
      <c r="Y23" s="3695"/>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90"/>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695"/>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90"/>
      <c r="Q26" s="819" t="str">
        <f t="shared" si="11"/>
        <v>朝向</v>
      </c>
      <c r="R26" s="901" t="s">
        <v>1698</v>
      </c>
      <c r="S26" s="902">
        <f t="shared" si="12"/>
        <v>100</v>
      </c>
      <c r="T26" s="901" t="s">
        <v>1698</v>
      </c>
      <c r="U26" s="902">
        <f t="shared" si="13"/>
        <v>100</v>
      </c>
      <c r="V26" s="901" t="s">
        <v>1698</v>
      </c>
      <c r="W26" s="902">
        <f t="shared" si="14"/>
        <v>100</v>
      </c>
      <c r="X26" s="895"/>
      <c r="Y26" s="3695"/>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90"/>
      <c r="Q27" s="900">
        <f t="shared" si="11"/>
        <v>111</v>
      </c>
      <c r="R27" s="896" t="s">
        <v>1698</v>
      </c>
      <c r="S27" s="897">
        <f t="shared" si="12"/>
        <v>100</v>
      </c>
      <c r="T27" s="896" t="s">
        <v>1698</v>
      </c>
      <c r="U27" s="897">
        <f t="shared" si="13"/>
        <v>100</v>
      </c>
      <c r="V27" s="896" t="s">
        <v>1698</v>
      </c>
      <c r="W27" s="897">
        <f t="shared" si="14"/>
        <v>100</v>
      </c>
      <c r="X27" s="898"/>
      <c r="Y27" s="3695"/>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90"/>
      <c r="Q28" s="819">
        <f t="shared" si="11"/>
        <v>111</v>
      </c>
      <c r="R28" s="901" t="s">
        <v>1698</v>
      </c>
      <c r="S28" s="902">
        <f t="shared" si="12"/>
        <v>100</v>
      </c>
      <c r="T28" s="901" t="s">
        <v>1698</v>
      </c>
      <c r="U28" s="902">
        <f t="shared" si="13"/>
        <v>100</v>
      </c>
      <c r="V28" s="901" t="s">
        <v>1698</v>
      </c>
      <c r="W28" s="902">
        <f t="shared" si="14"/>
        <v>100</v>
      </c>
      <c r="X28" s="895"/>
      <c r="Y28" s="3695"/>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90"/>
      <c r="Q29" s="819">
        <f t="shared" si="11"/>
        <v>111</v>
      </c>
      <c r="R29" s="901" t="s">
        <v>1698</v>
      </c>
      <c r="S29" s="902">
        <f t="shared" si="12"/>
        <v>100</v>
      </c>
      <c r="T29" s="901" t="s">
        <v>1698</v>
      </c>
      <c r="U29" s="902">
        <f t="shared" si="13"/>
        <v>100</v>
      </c>
      <c r="V29" s="901" t="s">
        <v>1698</v>
      </c>
      <c r="W29" s="902">
        <f t="shared" si="14"/>
        <v>100</v>
      </c>
      <c r="X29" s="895"/>
      <c r="Y29" s="3695"/>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90"/>
      <c r="Q30" s="819">
        <f t="shared" si="11"/>
        <v>111</v>
      </c>
      <c r="R30" s="901" t="s">
        <v>1698</v>
      </c>
      <c r="S30" s="902">
        <f t="shared" si="12"/>
        <v>100</v>
      </c>
      <c r="T30" s="901" t="s">
        <v>1698</v>
      </c>
      <c r="U30" s="902">
        <f t="shared" si="13"/>
        <v>100</v>
      </c>
      <c r="V30" s="901" t="s">
        <v>1698</v>
      </c>
      <c r="W30" s="902">
        <f t="shared" si="14"/>
        <v>100</v>
      </c>
      <c r="X30" s="895"/>
      <c r="Y30" s="3695"/>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90"/>
      <c r="Q31" s="819">
        <f t="shared" si="11"/>
        <v>111</v>
      </c>
      <c r="R31" s="901" t="s">
        <v>1698</v>
      </c>
      <c r="S31" s="902">
        <f t="shared" si="12"/>
        <v>100</v>
      </c>
      <c r="T31" s="901" t="s">
        <v>1698</v>
      </c>
      <c r="U31" s="902">
        <f t="shared" si="13"/>
        <v>100</v>
      </c>
      <c r="V31" s="901" t="s">
        <v>1698</v>
      </c>
      <c r="W31" s="902">
        <f t="shared" si="14"/>
        <v>100</v>
      </c>
      <c r="X31" s="895"/>
      <c r="Y31" s="3695"/>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1" t="s">
        <v>1718</v>
      </c>
      <c r="Q32" s="819" t="str">
        <f t="shared" si="11"/>
        <v>建筑类型</v>
      </c>
      <c r="R32" s="901" t="s">
        <v>1698</v>
      </c>
      <c r="S32" s="902">
        <f t="shared" si="12"/>
        <v>100</v>
      </c>
      <c r="T32" s="901" t="s">
        <v>1698</v>
      </c>
      <c r="U32" s="902">
        <f t="shared" si="13"/>
        <v>100</v>
      </c>
      <c r="V32" s="901" t="s">
        <v>1698</v>
      </c>
      <c r="W32" s="902">
        <f t="shared" si="14"/>
        <v>100</v>
      </c>
      <c r="X32" s="895"/>
      <c r="Y32" s="3696"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2"/>
      <c r="Q33" s="1136" t="str">
        <f t="shared" si="11"/>
        <v>项目建筑规模</v>
      </c>
      <c r="R33" s="903" t="s">
        <v>1698</v>
      </c>
      <c r="S33" s="904" t="e">
        <f t="shared" si="12"/>
        <v>#N/A</v>
      </c>
      <c r="T33" s="903" t="s">
        <v>1698</v>
      </c>
      <c r="U33" s="904" t="e">
        <f t="shared" si="13"/>
        <v>#N/A</v>
      </c>
      <c r="V33" s="903" t="s">
        <v>1698</v>
      </c>
      <c r="W33" s="904" t="e">
        <f t="shared" si="14"/>
        <v>#N/A</v>
      </c>
      <c r="X33" s="905"/>
      <c r="Y33" s="3696"/>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2"/>
      <c r="Q34" s="819" t="str">
        <f t="shared" si="11"/>
        <v>建筑结构</v>
      </c>
      <c r="R34" s="901" t="s">
        <v>1698</v>
      </c>
      <c r="S34" s="902">
        <f t="shared" si="12"/>
        <v>100</v>
      </c>
      <c r="T34" s="901" t="s">
        <v>1698</v>
      </c>
      <c r="U34" s="902">
        <f t="shared" si="13"/>
        <v>100</v>
      </c>
      <c r="V34" s="901" t="s">
        <v>1698</v>
      </c>
      <c r="W34" s="902">
        <f t="shared" si="14"/>
        <v>100</v>
      </c>
      <c r="X34" s="895"/>
      <c r="Y34" s="3696"/>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2"/>
      <c r="Q35" s="819" t="str">
        <f t="shared" si="11"/>
        <v>建筑品质</v>
      </c>
      <c r="R35" s="901" t="s">
        <v>1698</v>
      </c>
      <c r="S35" s="902">
        <f t="shared" si="12"/>
        <v>100</v>
      </c>
      <c r="T35" s="901" t="s">
        <v>1698</v>
      </c>
      <c r="U35" s="902">
        <f t="shared" si="13"/>
        <v>100</v>
      </c>
      <c r="V35" s="901" t="s">
        <v>1698</v>
      </c>
      <c r="W35" s="902">
        <f t="shared" si="14"/>
        <v>100</v>
      </c>
      <c r="X35" s="895"/>
      <c r="Y35" s="3696"/>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2"/>
      <c r="Q36" s="819" t="str">
        <f t="shared" si="11"/>
        <v>公共部分装修</v>
      </c>
      <c r="R36" s="901" t="s">
        <v>1698</v>
      </c>
      <c r="S36" s="902">
        <f t="shared" si="12"/>
        <v>100</v>
      </c>
      <c r="T36" s="901" t="s">
        <v>1698</v>
      </c>
      <c r="U36" s="902">
        <f t="shared" si="13"/>
        <v>100</v>
      </c>
      <c r="V36" s="901" t="s">
        <v>1698</v>
      </c>
      <c r="W36" s="902">
        <f t="shared" si="14"/>
        <v>100</v>
      </c>
      <c r="X36" s="895"/>
      <c r="Y36" s="3696"/>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2"/>
      <c r="Q37" s="900" t="str">
        <f t="shared" si="11"/>
        <v>成新度</v>
      </c>
      <c r="R37" s="896" t="s">
        <v>1698</v>
      </c>
      <c r="S37" s="897" t="e">
        <f t="shared" si="12"/>
        <v>#N/A</v>
      </c>
      <c r="T37" s="896" t="s">
        <v>1698</v>
      </c>
      <c r="U37" s="897" t="e">
        <f t="shared" si="13"/>
        <v>#N/A</v>
      </c>
      <c r="V37" s="896" t="s">
        <v>1698</v>
      </c>
      <c r="W37" s="897" t="e">
        <f t="shared" si="14"/>
        <v>#N/A</v>
      </c>
      <c r="X37" s="898"/>
      <c r="Y37" s="3696"/>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2" t="s">
        <v>1718</v>
      </c>
      <c r="Q38" s="819" t="str">
        <f t="shared" si="11"/>
        <v>物业管理</v>
      </c>
      <c r="R38" s="901" t="s">
        <v>1698</v>
      </c>
      <c r="S38" s="902">
        <f t="shared" si="12"/>
        <v>100</v>
      </c>
      <c r="T38" s="901" t="s">
        <v>1698</v>
      </c>
      <c r="U38" s="902">
        <f t="shared" si="13"/>
        <v>100</v>
      </c>
      <c r="V38" s="901" t="s">
        <v>1698</v>
      </c>
      <c r="W38" s="902">
        <f t="shared" si="14"/>
        <v>100</v>
      </c>
      <c r="X38" s="895"/>
      <c r="Y38" s="3696"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2"/>
      <c r="Q39" s="819" t="str">
        <f t="shared" si="11"/>
        <v>市政基础设施</v>
      </c>
      <c r="R39" s="901" t="s">
        <v>1698</v>
      </c>
      <c r="S39" s="902">
        <f t="shared" si="12"/>
        <v>100</v>
      </c>
      <c r="T39" s="901" t="s">
        <v>1698</v>
      </c>
      <c r="U39" s="902">
        <f t="shared" si="13"/>
        <v>100</v>
      </c>
      <c r="V39" s="901" t="s">
        <v>1698</v>
      </c>
      <c r="W39" s="902">
        <f t="shared" si="14"/>
        <v>100</v>
      </c>
      <c r="X39" s="895"/>
      <c r="Y39" s="3696"/>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2"/>
      <c r="Q40" s="819" t="str">
        <f t="shared" si="11"/>
        <v>房型</v>
      </c>
      <c r="R40" s="901" t="s">
        <v>1698</v>
      </c>
      <c r="S40" s="902">
        <f t="shared" si="12"/>
        <v>100</v>
      </c>
      <c r="T40" s="901" t="s">
        <v>1698</v>
      </c>
      <c r="U40" s="902">
        <f t="shared" si="13"/>
        <v>100</v>
      </c>
      <c r="V40" s="901" t="s">
        <v>1698</v>
      </c>
      <c r="W40" s="902">
        <f t="shared" si="14"/>
        <v>100</v>
      </c>
      <c r="X40" s="895"/>
      <c r="Y40" s="3696"/>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2"/>
      <c r="Q41" s="1136" t="str">
        <f t="shared" si="11"/>
        <v>单套/主力户型建筑面积</v>
      </c>
      <c r="R41" s="903" t="s">
        <v>1698</v>
      </c>
      <c r="S41" s="904">
        <f t="shared" si="12"/>
        <v>100</v>
      </c>
      <c r="T41" s="903" t="s">
        <v>1698</v>
      </c>
      <c r="U41" s="904">
        <f t="shared" si="13"/>
        <v>100</v>
      </c>
      <c r="V41" s="903" t="s">
        <v>1698</v>
      </c>
      <c r="W41" s="904">
        <f t="shared" si="14"/>
        <v>100</v>
      </c>
      <c r="X41" s="905"/>
      <c r="Y41" s="3696"/>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2"/>
      <c r="Q42" s="819" t="str">
        <f t="shared" si="11"/>
        <v>内部装修</v>
      </c>
      <c r="R42" s="901" t="s">
        <v>1698</v>
      </c>
      <c r="S42" s="902">
        <f t="shared" si="12"/>
        <v>100</v>
      </c>
      <c r="T42" s="901" t="s">
        <v>1698</v>
      </c>
      <c r="U42" s="902">
        <f t="shared" si="13"/>
        <v>100</v>
      </c>
      <c r="V42" s="901" t="s">
        <v>1698</v>
      </c>
      <c r="W42" s="902">
        <f t="shared" si="14"/>
        <v>100</v>
      </c>
      <c r="X42" s="895"/>
      <c r="Y42" s="3696"/>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2"/>
      <c r="Q43" s="819" t="str">
        <f t="shared" si="11"/>
        <v>内部装修维护情况</v>
      </c>
      <c r="R43" s="901" t="s">
        <v>1698</v>
      </c>
      <c r="S43" s="902">
        <f t="shared" si="12"/>
        <v>100</v>
      </c>
      <c r="T43" s="901" t="s">
        <v>1698</v>
      </c>
      <c r="U43" s="902">
        <f t="shared" si="13"/>
        <v>100</v>
      </c>
      <c r="V43" s="901" t="s">
        <v>1698</v>
      </c>
      <c r="W43" s="902">
        <f t="shared" si="14"/>
        <v>100</v>
      </c>
      <c r="X43" s="895"/>
      <c r="Y43" s="3696"/>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2"/>
      <c r="Q44" s="900">
        <f t="shared" si="11"/>
        <v>111</v>
      </c>
      <c r="R44" s="896" t="s">
        <v>1698</v>
      </c>
      <c r="S44" s="897">
        <f t="shared" si="12"/>
        <v>100</v>
      </c>
      <c r="T44" s="896" t="s">
        <v>1698</v>
      </c>
      <c r="U44" s="897">
        <f t="shared" si="13"/>
        <v>100</v>
      </c>
      <c r="V44" s="896" t="s">
        <v>1698</v>
      </c>
      <c r="W44" s="897">
        <f t="shared" si="14"/>
        <v>100</v>
      </c>
      <c r="X44" s="898"/>
      <c r="Y44" s="3696"/>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2"/>
      <c r="Q45" s="819">
        <f t="shared" si="11"/>
        <v>111</v>
      </c>
      <c r="R45" s="901" t="s">
        <v>1698</v>
      </c>
      <c r="S45" s="902">
        <f t="shared" si="12"/>
        <v>100</v>
      </c>
      <c r="T45" s="901" t="s">
        <v>1698</v>
      </c>
      <c r="U45" s="902">
        <f t="shared" si="13"/>
        <v>100</v>
      </c>
      <c r="V45" s="901" t="s">
        <v>1698</v>
      </c>
      <c r="W45" s="902">
        <f t="shared" si="14"/>
        <v>100</v>
      </c>
      <c r="X45" s="895"/>
      <c r="Y45" s="3696"/>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3"/>
      <c r="Q46" s="819">
        <f t="shared" si="11"/>
        <v>111</v>
      </c>
      <c r="R46" s="901" t="s">
        <v>1698</v>
      </c>
      <c r="S46" s="902">
        <f t="shared" si="12"/>
        <v>100</v>
      </c>
      <c r="T46" s="901" t="s">
        <v>1698</v>
      </c>
      <c r="U46" s="902">
        <f t="shared" si="13"/>
        <v>100</v>
      </c>
      <c r="V46" s="901" t="s">
        <v>1698</v>
      </c>
      <c r="W46" s="902">
        <f t="shared" si="14"/>
        <v>100</v>
      </c>
      <c r="X46" s="895"/>
      <c r="Y46" s="3697"/>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81" t="str">
        <f>A47</f>
        <v>成交单价（元/平方米）</v>
      </c>
      <c r="Q47" s="3681"/>
      <c r="R47" s="3682">
        <f>E47</f>
        <v>0</v>
      </c>
      <c r="S47" s="3682"/>
      <c r="T47" s="3682">
        <f>G47</f>
        <v>0</v>
      </c>
      <c r="U47" s="3682"/>
      <c r="V47" s="3682">
        <f>I47</f>
        <v>0</v>
      </c>
      <c r="W47" s="3682"/>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333.8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703" t="s">
        <v>1684</v>
      </c>
      <c r="D4" s="3704"/>
      <c r="E4" s="3705" t="s">
        <v>1685</v>
      </c>
      <c r="F4" s="3706"/>
      <c r="G4" s="3703" t="s">
        <v>1686</v>
      </c>
      <c r="H4" s="3704"/>
      <c r="I4" s="3703" t="s">
        <v>1687</v>
      </c>
      <c r="J4" s="3704"/>
      <c r="K4" s="851" t="s">
        <v>1688</v>
      </c>
      <c r="L4" s="1213"/>
      <c r="M4" s="1214"/>
      <c r="N4" s="1214"/>
      <c r="O4" s="1214"/>
      <c r="P4" s="3712" t="s">
        <v>1689</v>
      </c>
      <c r="Q4" s="3713"/>
      <c r="R4" s="3716" t="s">
        <v>1685</v>
      </c>
      <c r="S4" s="3717"/>
      <c r="T4" s="3716" t="s">
        <v>1686</v>
      </c>
      <c r="U4" s="3717"/>
      <c r="V4" s="3679" t="s">
        <v>1687</v>
      </c>
      <c r="W4" s="3679"/>
      <c r="X4" s="895"/>
      <c r="Y4" s="3716" t="s">
        <v>1689</v>
      </c>
      <c r="Z4" s="3717"/>
      <c r="AA4" s="3711" t="s">
        <v>1685</v>
      </c>
      <c r="AB4" s="3661" t="s">
        <v>1686</v>
      </c>
      <c r="AC4" s="3711" t="s">
        <v>1687</v>
      </c>
    </row>
    <row r="5" spans="1:29" ht="15">
      <c r="A5" s="703"/>
      <c r="B5" s="704"/>
      <c r="C5" s="3707" t="s">
        <v>1690</v>
      </c>
      <c r="D5" s="3708"/>
      <c r="E5" s="3709" t="s">
        <v>1691</v>
      </c>
      <c r="F5" s="3710"/>
      <c r="G5" s="3707" t="s">
        <v>1692</v>
      </c>
      <c r="H5" s="3708"/>
      <c r="I5" s="3707" t="s">
        <v>1693</v>
      </c>
      <c r="J5" s="3708"/>
      <c r="K5" s="851"/>
      <c r="L5" s="1213"/>
      <c r="M5" s="1214"/>
      <c r="N5" s="1214"/>
      <c r="O5" s="1214"/>
      <c r="P5" s="3714"/>
      <c r="Q5" s="3669"/>
      <c r="R5" s="3674"/>
      <c r="S5" s="3675"/>
      <c r="T5" s="3674"/>
      <c r="U5" s="3675"/>
      <c r="V5" s="3679"/>
      <c r="W5" s="3679"/>
      <c r="X5" s="895"/>
      <c r="Y5" s="3674"/>
      <c r="Z5" s="3675"/>
      <c r="AA5" s="3661"/>
      <c r="AB5" s="3661"/>
      <c r="AC5" s="3661"/>
    </row>
    <row r="6" spans="1:29" ht="15">
      <c r="A6" s="705"/>
      <c r="B6" s="706"/>
      <c r="C6" s="3698" t="s">
        <v>1694</v>
      </c>
      <c r="D6" s="3699"/>
      <c r="E6" s="3700" t="s">
        <v>1694</v>
      </c>
      <c r="F6" s="3701"/>
      <c r="G6" s="3698" t="s">
        <v>1694</v>
      </c>
      <c r="H6" s="3699"/>
      <c r="I6" s="3698" t="s">
        <v>1694</v>
      </c>
      <c r="J6" s="3699"/>
      <c r="K6" s="851" t="s">
        <v>1695</v>
      </c>
      <c r="L6" s="1213"/>
      <c r="M6" s="1214"/>
      <c r="N6" s="1214"/>
      <c r="O6" s="1214"/>
      <c r="P6" s="3715"/>
      <c r="Q6" s="3671"/>
      <c r="R6" s="3674"/>
      <c r="S6" s="3675"/>
      <c r="T6" s="3676"/>
      <c r="U6" s="3677"/>
      <c r="V6" s="3679"/>
      <c r="W6" s="3679"/>
      <c r="X6" s="895"/>
      <c r="Y6" s="3676"/>
      <c r="Z6" s="3677"/>
      <c r="AA6" s="3662"/>
      <c r="AB6" s="3662"/>
      <c r="AC6" s="3662"/>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86" t="s">
        <v>1697</v>
      </c>
      <c r="Q7" s="3702"/>
      <c r="R7" s="896" t="s">
        <v>1698</v>
      </c>
      <c r="S7" s="897">
        <f t="shared" ref="S7:S15" si="0">F7</f>
        <v>0</v>
      </c>
      <c r="T7" s="896" t="s">
        <v>1698</v>
      </c>
      <c r="U7" s="897">
        <f t="shared" ref="U7:U15" si="1">H7</f>
        <v>0</v>
      </c>
      <c r="V7" s="896" t="s">
        <v>1698</v>
      </c>
      <c r="W7" s="897">
        <f t="shared" ref="W7:W15" si="2">J7</f>
        <v>0</v>
      </c>
      <c r="X7" s="898"/>
      <c r="Y7" s="3686" t="s">
        <v>1697</v>
      </c>
      <c r="Z7" s="3687"/>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86" t="s">
        <v>1700</v>
      </c>
      <c r="Q8" s="3687"/>
      <c r="R8" s="896" t="s">
        <v>1698</v>
      </c>
      <c r="S8" s="897">
        <f t="shared" si="0"/>
        <v>100</v>
      </c>
      <c r="T8" s="896" t="s">
        <v>1698</v>
      </c>
      <c r="U8" s="897">
        <f t="shared" si="1"/>
        <v>100</v>
      </c>
      <c r="V8" s="896" t="s">
        <v>1698</v>
      </c>
      <c r="W8" s="897">
        <f t="shared" si="2"/>
        <v>100</v>
      </c>
      <c r="X8" s="898"/>
      <c r="Y8" s="3686" t="s">
        <v>1700</v>
      </c>
      <c r="Z8" s="3687"/>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1"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1"/>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1"/>
      <c r="Q11" s="900" t="str">
        <f t="shared" si="6"/>
        <v>容积率</v>
      </c>
      <c r="R11" s="896" t="s">
        <v>1698</v>
      </c>
      <c r="S11" s="897">
        <f t="shared" si="0"/>
        <v>100</v>
      </c>
      <c r="T11" s="896" t="s">
        <v>1698</v>
      </c>
      <c r="U11" s="897">
        <f t="shared" si="1"/>
        <v>100</v>
      </c>
      <c r="V11" s="896" t="s">
        <v>1698</v>
      </c>
      <c r="W11" s="897">
        <f t="shared" si="2"/>
        <v>100</v>
      </c>
      <c r="X11" s="898"/>
      <c r="Y11" s="3567"/>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1"/>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1"/>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1"/>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4" t="s">
        <v>1709</v>
      </c>
      <c r="Q15" s="819" t="str">
        <f t="shared" si="6"/>
        <v>产业集聚程度</v>
      </c>
      <c r="R15" s="901" t="s">
        <v>1698</v>
      </c>
      <c r="S15" s="902">
        <f t="shared" si="0"/>
        <v>100</v>
      </c>
      <c r="T15" s="901" t="s">
        <v>1698</v>
      </c>
      <c r="U15" s="902">
        <f t="shared" si="1"/>
        <v>100</v>
      </c>
      <c r="V15" s="901" t="s">
        <v>1698</v>
      </c>
      <c r="W15" s="902">
        <f t="shared" si="2"/>
        <v>100</v>
      </c>
      <c r="X15" s="895"/>
      <c r="Y15" s="3694"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95"/>
      <c r="Q16" s="819"/>
      <c r="R16" s="901"/>
      <c r="S16" s="902"/>
      <c r="T16" s="901"/>
      <c r="U16" s="902"/>
      <c r="V16" s="901"/>
      <c r="W16" s="902"/>
      <c r="X16" s="895"/>
      <c r="Y16" s="3695"/>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95"/>
      <c r="Q17" s="819" t="str">
        <f>B17</f>
        <v>交通便捷度</v>
      </c>
      <c r="R17" s="901" t="s">
        <v>1698</v>
      </c>
      <c r="S17" s="902">
        <f>F17</f>
        <v>100</v>
      </c>
      <c r="T17" s="901" t="s">
        <v>1698</v>
      </c>
      <c r="U17" s="902">
        <f>H17</f>
        <v>100</v>
      </c>
      <c r="V17" s="901" t="s">
        <v>1698</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95"/>
      <c r="Q18" s="819"/>
      <c r="R18" s="901"/>
      <c r="S18" s="902"/>
      <c r="T18" s="901"/>
      <c r="U18" s="902"/>
      <c r="V18" s="901"/>
      <c r="W18" s="902"/>
      <c r="X18" s="895"/>
      <c r="Y18" s="3695"/>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95"/>
      <c r="Q19" s="819" t="str">
        <f>B19</f>
        <v>公共配套设施</v>
      </c>
      <c r="R19" s="901" t="s">
        <v>1698</v>
      </c>
      <c r="S19" s="902">
        <f>F19</f>
        <v>100</v>
      </c>
      <c r="T19" s="901" t="s">
        <v>1698</v>
      </c>
      <c r="U19" s="902">
        <f>H19</f>
        <v>100</v>
      </c>
      <c r="V19" s="901" t="s">
        <v>1698</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95"/>
      <c r="Q20" s="819"/>
      <c r="R20" s="901"/>
      <c r="S20" s="902"/>
      <c r="T20" s="901"/>
      <c r="U20" s="902"/>
      <c r="V20" s="901"/>
      <c r="W20" s="902"/>
      <c r="X20" s="895"/>
      <c r="Y20" s="3695"/>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95"/>
      <c r="Q21" s="819" t="str">
        <f>B21</f>
        <v>基础设施水平</v>
      </c>
      <c r="R21" s="901" t="s">
        <v>1698</v>
      </c>
      <c r="S21" s="902">
        <f>F21</f>
        <v>100</v>
      </c>
      <c r="T21" s="901" t="s">
        <v>1698</v>
      </c>
      <c r="U21" s="902">
        <f>H21</f>
        <v>100</v>
      </c>
      <c r="V21" s="901" t="s">
        <v>1698</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95"/>
      <c r="Q22" s="819"/>
      <c r="R22" s="901"/>
      <c r="S22" s="902"/>
      <c r="T22" s="901"/>
      <c r="U22" s="902"/>
      <c r="V22" s="901"/>
      <c r="W22" s="902"/>
      <c r="X22" s="895"/>
      <c r="Y22" s="3695"/>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95"/>
      <c r="Q23" s="819" t="str">
        <f>B23</f>
        <v>环境质量</v>
      </c>
      <c r="R23" s="901" t="s">
        <v>1698</v>
      </c>
      <c r="S23" s="902">
        <f>F23</f>
        <v>100</v>
      </c>
      <c r="T23" s="901" t="s">
        <v>1698</v>
      </c>
      <c r="U23" s="902">
        <f>H23</f>
        <v>100</v>
      </c>
      <c r="V23" s="901" t="s">
        <v>1698</v>
      </c>
      <c r="W23" s="902">
        <f>J23</f>
        <v>100</v>
      </c>
      <c r="X23" s="895"/>
      <c r="Y23" s="3695"/>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95"/>
      <c r="Q24" s="819"/>
      <c r="R24" s="901"/>
      <c r="S24" s="902"/>
      <c r="T24" s="901"/>
      <c r="U24" s="902"/>
      <c r="V24" s="901"/>
      <c r="W24" s="902"/>
      <c r="X24" s="895"/>
      <c r="Y24" s="3695"/>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95"/>
      <c r="Q25" s="819">
        <f>B25</f>
        <v>111</v>
      </c>
      <c r="R25" s="901" t="s">
        <v>1698</v>
      </c>
      <c r="S25" s="902">
        <f>F25</f>
        <v>100</v>
      </c>
      <c r="T25" s="901" t="s">
        <v>1698</v>
      </c>
      <c r="U25" s="902">
        <f>H25</f>
        <v>100</v>
      </c>
      <c r="V25" s="901" t="s">
        <v>1698</v>
      </c>
      <c r="W25" s="902">
        <f>J25</f>
        <v>100</v>
      </c>
      <c r="X25" s="895"/>
      <c r="Y25" s="3695"/>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95"/>
      <c r="Q26" s="819">
        <f t="shared" ref="Q26:Q40" si="11">B26</f>
        <v>111</v>
      </c>
      <c r="R26" s="901" t="s">
        <v>1698</v>
      </c>
      <c r="S26" s="902">
        <f>F26</f>
        <v>100</v>
      </c>
      <c r="T26" s="901" t="s">
        <v>1698</v>
      </c>
      <c r="U26" s="902">
        <f>H26</f>
        <v>100</v>
      </c>
      <c r="V26" s="901" t="s">
        <v>1698</v>
      </c>
      <c r="W26" s="902">
        <f>J26</f>
        <v>100</v>
      </c>
      <c r="X26" s="895"/>
      <c r="Y26" s="3695"/>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95"/>
      <c r="Q27" s="900">
        <f t="shared" si="11"/>
        <v>111</v>
      </c>
      <c r="R27" s="896" t="s">
        <v>1698</v>
      </c>
      <c r="S27" s="897">
        <f>F27</f>
        <v>100</v>
      </c>
      <c r="T27" s="896" t="s">
        <v>1698</v>
      </c>
      <c r="U27" s="897">
        <f>H27</f>
        <v>100</v>
      </c>
      <c r="V27" s="896" t="s">
        <v>1698</v>
      </c>
      <c r="W27" s="897">
        <f>J27</f>
        <v>100</v>
      </c>
      <c r="X27" s="898"/>
      <c r="Y27" s="3695"/>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95"/>
      <c r="Q28" s="819">
        <f t="shared" si="11"/>
        <v>111</v>
      </c>
      <c r="R28" s="901" t="s">
        <v>1698</v>
      </c>
      <c r="S28" s="902">
        <f t="shared" ref="S28:S40" si="12">F28</f>
        <v>100</v>
      </c>
      <c r="T28" s="901" t="s">
        <v>1698</v>
      </c>
      <c r="U28" s="902">
        <f t="shared" ref="U28:U40" si="13">H28</f>
        <v>100</v>
      </c>
      <c r="V28" s="901" t="s">
        <v>1698</v>
      </c>
      <c r="W28" s="902">
        <f t="shared" ref="W28:W40" si="14">J28</f>
        <v>100</v>
      </c>
      <c r="X28" s="895"/>
      <c r="Y28" s="3695"/>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61" t="s">
        <v>1718</v>
      </c>
      <c r="Q29" s="819" t="str">
        <f t="shared" si="11"/>
        <v>建筑类型</v>
      </c>
      <c r="R29" s="901" t="s">
        <v>1698</v>
      </c>
      <c r="S29" s="902">
        <f t="shared" si="12"/>
        <v>100</v>
      </c>
      <c r="T29" s="901" t="s">
        <v>1698</v>
      </c>
      <c r="U29" s="902">
        <f t="shared" si="13"/>
        <v>100</v>
      </c>
      <c r="V29" s="901" t="s">
        <v>1698</v>
      </c>
      <c r="W29" s="902">
        <f t="shared" si="14"/>
        <v>100</v>
      </c>
      <c r="X29" s="895"/>
      <c r="Y29" s="3696"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96"/>
      <c r="Q30" s="1136" t="str">
        <f t="shared" si="11"/>
        <v>项目建筑规模</v>
      </c>
      <c r="R30" s="903" t="s">
        <v>1698</v>
      </c>
      <c r="S30" s="904" t="e">
        <f t="shared" si="12"/>
        <v>#N/A</v>
      </c>
      <c r="T30" s="903" t="s">
        <v>1698</v>
      </c>
      <c r="U30" s="904" t="e">
        <f t="shared" si="13"/>
        <v>#N/A</v>
      </c>
      <c r="V30" s="903" t="s">
        <v>1698</v>
      </c>
      <c r="W30" s="904" t="e">
        <f t="shared" si="14"/>
        <v>#N/A</v>
      </c>
      <c r="X30" s="905"/>
      <c r="Y30" s="3696"/>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96"/>
      <c r="Q31" s="819" t="str">
        <f t="shared" si="11"/>
        <v>建筑结构</v>
      </c>
      <c r="R31" s="901" t="s">
        <v>1698</v>
      </c>
      <c r="S31" s="902">
        <f t="shared" si="12"/>
        <v>100</v>
      </c>
      <c r="T31" s="901" t="s">
        <v>1698</v>
      </c>
      <c r="U31" s="902">
        <f t="shared" si="13"/>
        <v>100</v>
      </c>
      <c r="V31" s="901" t="s">
        <v>1698</v>
      </c>
      <c r="W31" s="902">
        <f t="shared" si="14"/>
        <v>100</v>
      </c>
      <c r="X31" s="895"/>
      <c r="Y31" s="3696"/>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96"/>
      <c r="Q32" s="819" t="str">
        <f t="shared" si="11"/>
        <v>公共部分装修</v>
      </c>
      <c r="R32" s="901" t="s">
        <v>1698</v>
      </c>
      <c r="S32" s="902">
        <f t="shared" si="12"/>
        <v>100</v>
      </c>
      <c r="T32" s="901" t="s">
        <v>1698</v>
      </c>
      <c r="U32" s="902">
        <f t="shared" si="13"/>
        <v>100</v>
      </c>
      <c r="V32" s="901" t="s">
        <v>1698</v>
      </c>
      <c r="W32" s="902">
        <f t="shared" si="14"/>
        <v>100</v>
      </c>
      <c r="X32" s="895"/>
      <c r="Y32" s="3696"/>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96"/>
      <c r="Q33" s="819" t="str">
        <f t="shared" si="11"/>
        <v>成新度</v>
      </c>
      <c r="R33" s="901" t="s">
        <v>1698</v>
      </c>
      <c r="S33" s="902" t="e">
        <f t="shared" si="12"/>
        <v>#N/A</v>
      </c>
      <c r="T33" s="901" t="s">
        <v>1698</v>
      </c>
      <c r="U33" s="902" t="e">
        <f t="shared" si="13"/>
        <v>#N/A</v>
      </c>
      <c r="V33" s="901" t="s">
        <v>1698</v>
      </c>
      <c r="W33" s="902" t="e">
        <f t="shared" si="14"/>
        <v>#N/A</v>
      </c>
      <c r="X33" s="895"/>
      <c r="Y33" s="3696"/>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96"/>
      <c r="Q34" s="900" t="str">
        <f t="shared" si="11"/>
        <v>物业管理</v>
      </c>
      <c r="R34" s="896" t="s">
        <v>1698</v>
      </c>
      <c r="S34" s="897">
        <f t="shared" si="12"/>
        <v>100</v>
      </c>
      <c r="T34" s="896" t="s">
        <v>1698</v>
      </c>
      <c r="U34" s="897">
        <f t="shared" si="13"/>
        <v>100</v>
      </c>
      <c r="V34" s="896" t="s">
        <v>1698</v>
      </c>
      <c r="W34" s="897">
        <f t="shared" si="14"/>
        <v>100</v>
      </c>
      <c r="X34" s="898"/>
      <c r="Y34" s="3696"/>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96" t="s">
        <v>1718</v>
      </c>
      <c r="Q35" s="819" t="str">
        <f t="shared" si="11"/>
        <v>市政基础设施</v>
      </c>
      <c r="R35" s="901" t="s">
        <v>1698</v>
      </c>
      <c r="S35" s="902">
        <f t="shared" si="12"/>
        <v>100</v>
      </c>
      <c r="T35" s="901" t="s">
        <v>1698</v>
      </c>
      <c r="U35" s="902">
        <f t="shared" si="13"/>
        <v>100</v>
      </c>
      <c r="V35" s="901" t="s">
        <v>1698</v>
      </c>
      <c r="W35" s="902">
        <f t="shared" si="14"/>
        <v>100</v>
      </c>
      <c r="X35" s="895"/>
      <c r="Y35" s="3696"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96"/>
      <c r="Q36" s="819" t="str">
        <f t="shared" si="11"/>
        <v>内部装修</v>
      </c>
      <c r="R36" s="901" t="s">
        <v>1698</v>
      </c>
      <c r="S36" s="902">
        <f t="shared" si="12"/>
        <v>100</v>
      </c>
      <c r="T36" s="901" t="s">
        <v>1698</v>
      </c>
      <c r="U36" s="902">
        <f t="shared" si="13"/>
        <v>100</v>
      </c>
      <c r="V36" s="901" t="s">
        <v>1698</v>
      </c>
      <c r="W36" s="902">
        <f t="shared" si="14"/>
        <v>100</v>
      </c>
      <c r="X36" s="895"/>
      <c r="Y36" s="3696"/>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96"/>
      <c r="Q37" s="819" t="str">
        <f t="shared" si="11"/>
        <v>内部装修状况</v>
      </c>
      <c r="R37" s="901" t="s">
        <v>1698</v>
      </c>
      <c r="S37" s="902">
        <f t="shared" si="12"/>
        <v>100</v>
      </c>
      <c r="T37" s="901" t="s">
        <v>1698</v>
      </c>
      <c r="U37" s="902">
        <f t="shared" si="13"/>
        <v>100</v>
      </c>
      <c r="V37" s="901" t="s">
        <v>1698</v>
      </c>
      <c r="W37" s="902">
        <f t="shared" si="14"/>
        <v>100</v>
      </c>
      <c r="X37" s="895"/>
      <c r="Y37" s="3696"/>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96"/>
      <c r="Q38" s="1136">
        <f t="shared" si="11"/>
        <v>111</v>
      </c>
      <c r="R38" s="903" t="s">
        <v>1698</v>
      </c>
      <c r="S38" s="904">
        <f t="shared" si="12"/>
        <v>100</v>
      </c>
      <c r="T38" s="903" t="s">
        <v>1698</v>
      </c>
      <c r="U38" s="904">
        <f t="shared" si="13"/>
        <v>100</v>
      </c>
      <c r="V38" s="903" t="s">
        <v>1698</v>
      </c>
      <c r="W38" s="904">
        <f t="shared" si="14"/>
        <v>100</v>
      </c>
      <c r="X38" s="905"/>
      <c r="Y38" s="3696"/>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96"/>
      <c r="Q39" s="819">
        <f t="shared" si="11"/>
        <v>111</v>
      </c>
      <c r="R39" s="901" t="s">
        <v>1698</v>
      </c>
      <c r="S39" s="902">
        <f t="shared" si="12"/>
        <v>100</v>
      </c>
      <c r="T39" s="901" t="s">
        <v>1698</v>
      </c>
      <c r="U39" s="902">
        <f t="shared" si="13"/>
        <v>100</v>
      </c>
      <c r="V39" s="901" t="s">
        <v>1698</v>
      </c>
      <c r="W39" s="902">
        <f t="shared" si="14"/>
        <v>100</v>
      </c>
      <c r="X39" s="895"/>
      <c r="Y39" s="3696"/>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7"/>
      <c r="Q40" s="819">
        <f t="shared" si="11"/>
        <v>111</v>
      </c>
      <c r="R40" s="901" t="s">
        <v>1698</v>
      </c>
      <c r="S40" s="902">
        <f t="shared" si="12"/>
        <v>100</v>
      </c>
      <c r="T40" s="901" t="s">
        <v>1698</v>
      </c>
      <c r="U40" s="902">
        <f t="shared" si="13"/>
        <v>100</v>
      </c>
      <c r="V40" s="901" t="s">
        <v>1698</v>
      </c>
      <c r="W40" s="902">
        <f t="shared" si="14"/>
        <v>100</v>
      </c>
      <c r="X40" s="895"/>
      <c r="Y40" s="3697"/>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81" t="str">
        <f>A41</f>
        <v>成交单价（元/平方米）</v>
      </c>
      <c r="Q41" s="3681"/>
      <c r="R41" s="3682">
        <f>E41</f>
        <v>0</v>
      </c>
      <c r="S41" s="3682"/>
      <c r="T41" s="3682">
        <f>G41</f>
        <v>0</v>
      </c>
      <c r="U41" s="3682"/>
      <c r="V41" s="3682">
        <f>I41</f>
        <v>0</v>
      </c>
      <c r="W41" s="3682"/>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703" t="s">
        <v>1684</v>
      </c>
      <c r="D4" s="3704"/>
      <c r="E4" s="3705" t="s">
        <v>1685</v>
      </c>
      <c r="F4" s="3706"/>
      <c r="G4" s="3703" t="s">
        <v>1686</v>
      </c>
      <c r="H4" s="3704"/>
      <c r="I4" s="3703" t="s">
        <v>1687</v>
      </c>
      <c r="J4" s="3704"/>
      <c r="K4" s="851"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661" t="s">
        <v>1686</v>
      </c>
      <c r="AC4" s="3711" t="s">
        <v>1687</v>
      </c>
    </row>
    <row r="5" spans="1:29" ht="15">
      <c r="A5" s="703"/>
      <c r="B5" s="704"/>
      <c r="C5" s="3707" t="s">
        <v>1690</v>
      </c>
      <c r="D5" s="3708"/>
      <c r="E5" s="3709" t="s">
        <v>1691</v>
      </c>
      <c r="F5" s="3710"/>
      <c r="G5" s="3707" t="s">
        <v>1692</v>
      </c>
      <c r="H5" s="3708"/>
      <c r="I5" s="3707" t="s">
        <v>1693</v>
      </c>
      <c r="J5" s="3708"/>
      <c r="K5" s="851"/>
      <c r="L5" s="852"/>
      <c r="M5" s="853"/>
      <c r="N5" s="853"/>
      <c r="O5" s="853"/>
      <c r="P5" s="3714"/>
      <c r="Q5" s="3669"/>
      <c r="R5" s="3674"/>
      <c r="S5" s="3675"/>
      <c r="T5" s="3674"/>
      <c r="U5" s="3675"/>
      <c r="V5" s="3679"/>
      <c r="W5" s="3679"/>
      <c r="X5" s="895"/>
      <c r="Y5" s="3674"/>
      <c r="Z5" s="3675"/>
      <c r="AA5" s="3661"/>
      <c r="AB5" s="3661"/>
      <c r="AC5" s="3661"/>
    </row>
    <row r="6" spans="1:29" ht="15">
      <c r="A6" s="705"/>
      <c r="B6" s="706"/>
      <c r="C6" s="3698" t="s">
        <v>1694</v>
      </c>
      <c r="D6" s="3699"/>
      <c r="E6" s="3700" t="s">
        <v>1694</v>
      </c>
      <c r="F6" s="3701"/>
      <c r="G6" s="3698" t="s">
        <v>1694</v>
      </c>
      <c r="H6" s="3699"/>
      <c r="I6" s="3698" t="s">
        <v>1694</v>
      </c>
      <c r="J6" s="3699"/>
      <c r="K6" s="851" t="s">
        <v>1695</v>
      </c>
      <c r="L6" s="852"/>
      <c r="M6" s="853"/>
      <c r="N6" s="853"/>
      <c r="O6" s="853"/>
      <c r="P6" s="3715"/>
      <c r="Q6" s="3671"/>
      <c r="R6" s="3674"/>
      <c r="S6" s="3675"/>
      <c r="T6" s="3676"/>
      <c r="U6" s="3677"/>
      <c r="V6" s="3679"/>
      <c r="W6" s="3679"/>
      <c r="X6" s="895"/>
      <c r="Y6" s="3676"/>
      <c r="Z6" s="3677"/>
      <c r="AA6" s="3662"/>
      <c r="AB6" s="3662"/>
      <c r="AC6" s="3662"/>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686" t="s">
        <v>1697</v>
      </c>
      <c r="Q7" s="3702"/>
      <c r="R7" s="896" t="s">
        <v>1698</v>
      </c>
      <c r="S7" s="897">
        <f t="shared" ref="S7:S14" si="0">F7</f>
        <v>0</v>
      </c>
      <c r="T7" s="896" t="s">
        <v>1698</v>
      </c>
      <c r="U7" s="897">
        <f t="shared" ref="U7:U14" si="1">H7</f>
        <v>0</v>
      </c>
      <c r="V7" s="896" t="s">
        <v>1698</v>
      </c>
      <c r="W7" s="897">
        <f t="shared" ref="W7:W14" si="2">J7</f>
        <v>0</v>
      </c>
      <c r="X7" s="898"/>
      <c r="Y7" s="3686" t="s">
        <v>1697</v>
      </c>
      <c r="Z7" s="3687"/>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86" t="s">
        <v>1700</v>
      </c>
      <c r="Q8" s="3687"/>
      <c r="R8" s="896" t="s">
        <v>1698</v>
      </c>
      <c r="S8" s="897">
        <f t="shared" si="0"/>
        <v>100</v>
      </c>
      <c r="T8" s="896" t="s">
        <v>1698</v>
      </c>
      <c r="U8" s="897">
        <f t="shared" si="1"/>
        <v>100</v>
      </c>
      <c r="V8" s="896" t="s">
        <v>1698</v>
      </c>
      <c r="W8" s="897">
        <f t="shared" si="2"/>
        <v>100</v>
      </c>
      <c r="X8" s="898"/>
      <c r="Y8" s="3686" t="s">
        <v>1700</v>
      </c>
      <c r="Z8" s="3687"/>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1" t="s">
        <v>1703</v>
      </c>
      <c r="Q9" s="900" t="str">
        <f t="shared" ref="Q9:Q14" si="6">B9</f>
        <v>用途</v>
      </c>
      <c r="R9" s="896" t="s">
        <v>1698</v>
      </c>
      <c r="S9" s="897">
        <f t="shared" si="0"/>
        <v>100</v>
      </c>
      <c r="T9" s="896" t="s">
        <v>1698</v>
      </c>
      <c r="U9" s="897">
        <f t="shared" si="1"/>
        <v>100</v>
      </c>
      <c r="V9" s="896" t="s">
        <v>1698</v>
      </c>
      <c r="W9" s="897">
        <f t="shared" si="2"/>
        <v>100</v>
      </c>
      <c r="X9" s="898"/>
      <c r="Y9" s="3567"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1"/>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1"/>
      <c r="Q11" s="900">
        <f t="shared" si="6"/>
        <v>111</v>
      </c>
      <c r="R11" s="896" t="s">
        <v>1698</v>
      </c>
      <c r="S11" s="897">
        <f t="shared" si="0"/>
        <v>100</v>
      </c>
      <c r="T11" s="896" t="s">
        <v>1698</v>
      </c>
      <c r="U11" s="897">
        <f t="shared" si="1"/>
        <v>100</v>
      </c>
      <c r="V11" s="896" t="s">
        <v>1698</v>
      </c>
      <c r="W11" s="897">
        <f t="shared" si="2"/>
        <v>100</v>
      </c>
      <c r="X11" s="898"/>
      <c r="Y11" s="3567"/>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1"/>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1"/>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4" t="s">
        <v>1709</v>
      </c>
      <c r="Q14" s="819" t="str">
        <f t="shared" si="6"/>
        <v>交通便捷度</v>
      </c>
      <c r="R14" s="901" t="s">
        <v>1698</v>
      </c>
      <c r="S14" s="902">
        <f t="shared" si="0"/>
        <v>100</v>
      </c>
      <c r="T14" s="901" t="s">
        <v>1698</v>
      </c>
      <c r="U14" s="902">
        <f t="shared" si="1"/>
        <v>100</v>
      </c>
      <c r="V14" s="901" t="s">
        <v>1698</v>
      </c>
      <c r="W14" s="902">
        <f t="shared" si="2"/>
        <v>100</v>
      </c>
      <c r="X14" s="895"/>
      <c r="Y14" s="3694"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95"/>
      <c r="Q15" s="819"/>
      <c r="R15" s="901"/>
      <c r="S15" s="902"/>
      <c r="T15" s="901"/>
      <c r="U15" s="902"/>
      <c r="V15" s="901"/>
      <c r="W15" s="902"/>
      <c r="X15" s="895"/>
      <c r="Y15" s="3695"/>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95"/>
      <c r="Q16" s="819" t="str">
        <f>B16</f>
        <v>公共配套设施</v>
      </c>
      <c r="R16" s="901" t="s">
        <v>1698</v>
      </c>
      <c r="S16" s="902">
        <f>F16</f>
        <v>100</v>
      </c>
      <c r="T16" s="901" t="s">
        <v>1698</v>
      </c>
      <c r="U16" s="902">
        <f>H16</f>
        <v>100</v>
      </c>
      <c r="V16" s="901" t="s">
        <v>1698</v>
      </c>
      <c r="W16" s="902">
        <f>J16</f>
        <v>100</v>
      </c>
      <c r="X16" s="895"/>
      <c r="Y16" s="3695"/>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95"/>
      <c r="Q17" s="819"/>
      <c r="R17" s="901"/>
      <c r="S17" s="902"/>
      <c r="T17" s="901"/>
      <c r="U17" s="902"/>
      <c r="V17" s="901"/>
      <c r="W17" s="902"/>
      <c r="X17" s="895"/>
      <c r="Y17" s="3695"/>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95"/>
      <c r="Q18" s="819" t="str">
        <f>B18</f>
        <v>基础设施水平</v>
      </c>
      <c r="R18" s="901" t="s">
        <v>1698</v>
      </c>
      <c r="S18" s="902">
        <f>F18</f>
        <v>100</v>
      </c>
      <c r="T18" s="901" t="s">
        <v>1698</v>
      </c>
      <c r="U18" s="902">
        <f>H18</f>
        <v>100</v>
      </c>
      <c r="V18" s="901" t="s">
        <v>1698</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95"/>
      <c r="Q19" s="819"/>
      <c r="R19" s="901"/>
      <c r="S19" s="902"/>
      <c r="T19" s="901"/>
      <c r="U19" s="902"/>
      <c r="V19" s="901"/>
      <c r="W19" s="902"/>
      <c r="X19" s="895"/>
      <c r="Y19" s="3695"/>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95"/>
      <c r="Q20" s="819" t="str">
        <f>B20</f>
        <v>自然及人文环境</v>
      </c>
      <c r="R20" s="901" t="s">
        <v>1698</v>
      </c>
      <c r="S20" s="902">
        <f>F20</f>
        <v>100</v>
      </c>
      <c r="T20" s="901" t="s">
        <v>1698</v>
      </c>
      <c r="U20" s="902">
        <f>H20</f>
        <v>100</v>
      </c>
      <c r="V20" s="901" t="s">
        <v>1698</v>
      </c>
      <c r="W20" s="902">
        <f>J20</f>
        <v>100</v>
      </c>
      <c r="X20" s="895"/>
      <c r="Y20" s="3695"/>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95"/>
      <c r="Q21" s="819"/>
      <c r="R21" s="901"/>
      <c r="S21" s="902"/>
      <c r="T21" s="901"/>
      <c r="U21" s="902"/>
      <c r="V21" s="901"/>
      <c r="W21" s="902"/>
      <c r="X21" s="895"/>
      <c r="Y21" s="3695"/>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95"/>
      <c r="Q22" s="819" t="str">
        <f>B22</f>
        <v>楼层</v>
      </c>
      <c r="R22" s="901" t="s">
        <v>1698</v>
      </c>
      <c r="S22" s="902">
        <f>F22</f>
        <v>100</v>
      </c>
      <c r="T22" s="901" t="s">
        <v>1698</v>
      </c>
      <c r="U22" s="902">
        <f>H22</f>
        <v>100</v>
      </c>
      <c r="V22" s="901" t="s">
        <v>1698</v>
      </c>
      <c r="W22" s="902">
        <f>J22</f>
        <v>100</v>
      </c>
      <c r="X22" s="895"/>
      <c r="Y22" s="3695"/>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95"/>
      <c r="Q23" s="819">
        <f>B23</f>
        <v>111</v>
      </c>
      <c r="R23" s="901" t="s">
        <v>1698</v>
      </c>
      <c r="S23" s="902">
        <f>F23</f>
        <v>100</v>
      </c>
      <c r="T23" s="901" t="s">
        <v>1698</v>
      </c>
      <c r="U23" s="902">
        <f>H23</f>
        <v>100</v>
      </c>
      <c r="V23" s="901" t="s">
        <v>1698</v>
      </c>
      <c r="W23" s="902">
        <f>J23</f>
        <v>100</v>
      </c>
      <c r="X23" s="895"/>
      <c r="Y23" s="3695"/>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95"/>
      <c r="Q24" s="819">
        <f t="shared" ref="Q24:Q36" si="11">B24</f>
        <v>111</v>
      </c>
      <c r="R24" s="901" t="s">
        <v>1698</v>
      </c>
      <c r="S24" s="902">
        <f>F24</f>
        <v>100</v>
      </c>
      <c r="T24" s="901" t="s">
        <v>1698</v>
      </c>
      <c r="U24" s="902">
        <f>H24</f>
        <v>100</v>
      </c>
      <c r="V24" s="901" t="s">
        <v>1698</v>
      </c>
      <c r="W24" s="902">
        <f>J24</f>
        <v>100</v>
      </c>
      <c r="X24" s="895"/>
      <c r="Y24" s="3695"/>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95"/>
      <c r="Q25" s="900">
        <f t="shared" si="11"/>
        <v>111</v>
      </c>
      <c r="R25" s="896" t="s">
        <v>1698</v>
      </c>
      <c r="S25" s="897">
        <f>F25</f>
        <v>100</v>
      </c>
      <c r="T25" s="896" t="s">
        <v>1698</v>
      </c>
      <c r="U25" s="897">
        <f>H25</f>
        <v>100</v>
      </c>
      <c r="V25" s="896" t="s">
        <v>1698</v>
      </c>
      <c r="W25" s="897">
        <f>J25</f>
        <v>100</v>
      </c>
      <c r="X25" s="898"/>
      <c r="Y25" s="3695"/>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61"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696"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96"/>
      <c r="Q27" s="1136" t="str">
        <f t="shared" si="11"/>
        <v>项目停车位配比</v>
      </c>
      <c r="R27" s="903" t="s">
        <v>1698</v>
      </c>
      <c r="S27" s="904">
        <f t="shared" si="12"/>
        <v>100</v>
      </c>
      <c r="T27" s="903" t="s">
        <v>1698</v>
      </c>
      <c r="U27" s="904">
        <f t="shared" si="13"/>
        <v>100</v>
      </c>
      <c r="V27" s="903" t="s">
        <v>1698</v>
      </c>
      <c r="W27" s="904">
        <f t="shared" si="14"/>
        <v>100</v>
      </c>
      <c r="X27" s="905"/>
      <c r="Y27" s="3696"/>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96"/>
      <c r="Q28" s="819" t="str">
        <f t="shared" si="11"/>
        <v>公共部分装修</v>
      </c>
      <c r="R28" s="901" t="s">
        <v>1698</v>
      </c>
      <c r="S28" s="902">
        <f t="shared" si="12"/>
        <v>100</v>
      </c>
      <c r="T28" s="901" t="s">
        <v>1698</v>
      </c>
      <c r="U28" s="902">
        <f t="shared" si="13"/>
        <v>100</v>
      </c>
      <c r="V28" s="901" t="s">
        <v>1698</v>
      </c>
      <c r="W28" s="902">
        <f t="shared" si="14"/>
        <v>100</v>
      </c>
      <c r="X28" s="895"/>
      <c r="Y28" s="3696"/>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96"/>
      <c r="Q29" s="819" t="str">
        <f t="shared" si="11"/>
        <v>成新率</v>
      </c>
      <c r="R29" s="901" t="s">
        <v>1698</v>
      </c>
      <c r="S29" s="902" t="e">
        <f t="shared" si="12"/>
        <v>#N/A</v>
      </c>
      <c r="T29" s="901" t="s">
        <v>1698</v>
      </c>
      <c r="U29" s="902" t="e">
        <f t="shared" si="13"/>
        <v>#N/A</v>
      </c>
      <c r="V29" s="901" t="s">
        <v>1698</v>
      </c>
      <c r="W29" s="902" t="e">
        <f t="shared" si="14"/>
        <v>#N/A</v>
      </c>
      <c r="X29" s="895"/>
      <c r="Y29" s="3696"/>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96"/>
      <c r="Q30" s="819" t="str">
        <f t="shared" si="11"/>
        <v>物业等级</v>
      </c>
      <c r="R30" s="901" t="s">
        <v>1698</v>
      </c>
      <c r="S30" s="902">
        <f t="shared" si="12"/>
        <v>100</v>
      </c>
      <c r="T30" s="901" t="s">
        <v>1698</v>
      </c>
      <c r="U30" s="902">
        <f t="shared" si="13"/>
        <v>100</v>
      </c>
      <c r="V30" s="901" t="s">
        <v>1698</v>
      </c>
      <c r="W30" s="902">
        <f t="shared" si="14"/>
        <v>100</v>
      </c>
      <c r="X30" s="895"/>
      <c r="Y30" s="3696"/>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96"/>
      <c r="Q31" s="900" t="str">
        <f t="shared" si="11"/>
        <v>停车位面积</v>
      </c>
      <c r="R31" s="896" t="s">
        <v>1698</v>
      </c>
      <c r="S31" s="897" t="e">
        <f t="shared" si="12"/>
        <v>#N/A</v>
      </c>
      <c r="T31" s="896" t="s">
        <v>1698</v>
      </c>
      <c r="U31" s="897" t="e">
        <f t="shared" si="13"/>
        <v>#N/A</v>
      </c>
      <c r="V31" s="896" t="s">
        <v>1698</v>
      </c>
      <c r="W31" s="897" t="e">
        <f t="shared" si="14"/>
        <v>#N/A</v>
      </c>
      <c r="X31" s="898"/>
      <c r="Y31" s="3696"/>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96" t="s">
        <v>1718</v>
      </c>
      <c r="Q32" s="819" t="str">
        <f t="shared" si="11"/>
        <v>车位类型</v>
      </c>
      <c r="R32" s="901" t="s">
        <v>1698</v>
      </c>
      <c r="S32" s="902">
        <f t="shared" si="12"/>
        <v>100</v>
      </c>
      <c r="T32" s="901" t="s">
        <v>1698</v>
      </c>
      <c r="U32" s="902">
        <f t="shared" si="13"/>
        <v>100</v>
      </c>
      <c r="V32" s="901" t="s">
        <v>1698</v>
      </c>
      <c r="W32" s="902">
        <f t="shared" si="14"/>
        <v>100</v>
      </c>
      <c r="X32" s="895"/>
      <c r="Y32" s="3696"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96"/>
      <c r="Q33" s="819" t="str">
        <f t="shared" si="11"/>
        <v>是否直接入户</v>
      </c>
      <c r="R33" s="901" t="s">
        <v>1698</v>
      </c>
      <c r="S33" s="902">
        <f t="shared" si="12"/>
        <v>100</v>
      </c>
      <c r="T33" s="901" t="s">
        <v>1698</v>
      </c>
      <c r="U33" s="902">
        <f t="shared" si="13"/>
        <v>100</v>
      </c>
      <c r="V33" s="901" t="s">
        <v>1698</v>
      </c>
      <c r="W33" s="902">
        <f t="shared" si="14"/>
        <v>100</v>
      </c>
      <c r="X33" s="895"/>
      <c r="Y33" s="3696"/>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96"/>
      <c r="Q34" s="819">
        <f t="shared" si="11"/>
        <v>111</v>
      </c>
      <c r="R34" s="901" t="s">
        <v>1698</v>
      </c>
      <c r="S34" s="902">
        <f t="shared" si="12"/>
        <v>100</v>
      </c>
      <c r="T34" s="901" t="s">
        <v>1698</v>
      </c>
      <c r="U34" s="902">
        <f t="shared" si="13"/>
        <v>100</v>
      </c>
      <c r="V34" s="901" t="s">
        <v>1698</v>
      </c>
      <c r="W34" s="902">
        <f t="shared" si="14"/>
        <v>100</v>
      </c>
      <c r="X34" s="895"/>
      <c r="Y34" s="3696"/>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96"/>
      <c r="Q35" s="1136">
        <f t="shared" si="11"/>
        <v>111</v>
      </c>
      <c r="R35" s="903" t="s">
        <v>1698</v>
      </c>
      <c r="S35" s="904">
        <f t="shared" si="12"/>
        <v>100</v>
      </c>
      <c r="T35" s="903" t="s">
        <v>1698</v>
      </c>
      <c r="U35" s="904">
        <f t="shared" si="13"/>
        <v>100</v>
      </c>
      <c r="V35" s="903" t="s">
        <v>1698</v>
      </c>
      <c r="W35" s="904">
        <f t="shared" si="14"/>
        <v>100</v>
      </c>
      <c r="X35" s="905"/>
      <c r="Y35" s="3696"/>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96"/>
      <c r="Q36" s="819">
        <f t="shared" si="11"/>
        <v>111</v>
      </c>
      <c r="R36" s="901" t="s">
        <v>1698</v>
      </c>
      <c r="S36" s="902">
        <f t="shared" si="12"/>
        <v>100</v>
      </c>
      <c r="T36" s="901" t="s">
        <v>1698</v>
      </c>
      <c r="U36" s="902">
        <f t="shared" si="13"/>
        <v>100</v>
      </c>
      <c r="V36" s="901" t="s">
        <v>1698</v>
      </c>
      <c r="W36" s="902">
        <f t="shared" si="14"/>
        <v>100</v>
      </c>
      <c r="X36" s="895"/>
      <c r="Y36" s="3696"/>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81" t="str">
        <f>A37</f>
        <v>成交单价</v>
      </c>
      <c r="Q37" s="3681"/>
      <c r="R37" s="3682">
        <f>E37</f>
        <v>0</v>
      </c>
      <c r="S37" s="3682"/>
      <c r="T37" s="3682">
        <f>G37</f>
        <v>0</v>
      </c>
      <c r="U37" s="3682"/>
      <c r="V37" s="3682">
        <f>I37</f>
        <v>0</v>
      </c>
      <c r="W37" s="3682"/>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718" t="str">
        <f>A39</f>
        <v>估价对象XX用房的比较价值（楼面单价，元/平方米）</v>
      </c>
      <c r="Q39" s="3719"/>
      <c r="R39" s="3762" t="e">
        <f>IF(F1="售价",ROUND(IF(D38="简单平均",AVERAGE(R38:W38),R38*F38+T38*H38+V38*J38),0),ROUND(IF(D38="简单平均",AVERAGE(R38:V38),R38*F38+T38*H38+V38*J38),1))</f>
        <v>#DIV/0!</v>
      </c>
      <c r="S39" s="3762"/>
      <c r="T39" s="3762"/>
      <c r="U39" s="3762"/>
      <c r="V39" s="3762"/>
      <c r="W39" s="3762"/>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703" t="s">
        <v>1684</v>
      </c>
      <c r="D4" s="3704"/>
      <c r="E4" s="3705" t="s">
        <v>1685</v>
      </c>
      <c r="F4" s="3706"/>
      <c r="G4" s="3703" t="s">
        <v>1686</v>
      </c>
      <c r="H4" s="3704"/>
      <c r="I4" s="3703" t="s">
        <v>1687</v>
      </c>
      <c r="J4" s="3704"/>
      <c r="K4" s="851"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661" t="s">
        <v>1686</v>
      </c>
      <c r="AC4" s="3711" t="s">
        <v>1687</v>
      </c>
    </row>
    <row r="5" spans="1:29" ht="15">
      <c r="A5" s="703"/>
      <c r="B5" s="704"/>
      <c r="C5" s="3707" t="s">
        <v>1690</v>
      </c>
      <c r="D5" s="3708"/>
      <c r="E5" s="3709" t="s">
        <v>1691</v>
      </c>
      <c r="F5" s="3710"/>
      <c r="G5" s="3707" t="s">
        <v>1692</v>
      </c>
      <c r="H5" s="3708"/>
      <c r="I5" s="3707" t="s">
        <v>1693</v>
      </c>
      <c r="J5" s="3708"/>
      <c r="K5" s="851"/>
      <c r="L5" s="852"/>
      <c r="M5" s="853"/>
      <c r="N5" s="853"/>
      <c r="O5" s="853"/>
      <c r="P5" s="3714"/>
      <c r="Q5" s="3669"/>
      <c r="R5" s="3674"/>
      <c r="S5" s="3675"/>
      <c r="T5" s="3674"/>
      <c r="U5" s="3675"/>
      <c r="V5" s="3679"/>
      <c r="W5" s="3679"/>
      <c r="X5" s="895"/>
      <c r="Y5" s="3674"/>
      <c r="Z5" s="3675"/>
      <c r="AA5" s="3661"/>
      <c r="AB5" s="3661"/>
      <c r="AC5" s="3661"/>
    </row>
    <row r="6" spans="1:29" ht="15">
      <c r="A6" s="705"/>
      <c r="B6" s="706"/>
      <c r="C6" s="3698" t="s">
        <v>1694</v>
      </c>
      <c r="D6" s="3699"/>
      <c r="E6" s="3700" t="s">
        <v>1694</v>
      </c>
      <c r="F6" s="3701"/>
      <c r="G6" s="3698" t="s">
        <v>1694</v>
      </c>
      <c r="H6" s="3699"/>
      <c r="I6" s="3698" t="s">
        <v>1694</v>
      </c>
      <c r="J6" s="3699"/>
      <c r="K6" s="851" t="s">
        <v>1695</v>
      </c>
      <c r="L6" s="852"/>
      <c r="M6" s="853"/>
      <c r="N6" s="853"/>
      <c r="O6" s="853"/>
      <c r="P6" s="3715"/>
      <c r="Q6" s="3671"/>
      <c r="R6" s="3674"/>
      <c r="S6" s="3675"/>
      <c r="T6" s="3676"/>
      <c r="U6" s="3677"/>
      <c r="V6" s="3679"/>
      <c r="W6" s="3679"/>
      <c r="X6" s="895"/>
      <c r="Y6" s="3676"/>
      <c r="Z6" s="3677"/>
      <c r="AA6" s="3662"/>
      <c r="AB6" s="3662"/>
      <c r="AC6" s="3662"/>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686" t="s">
        <v>1697</v>
      </c>
      <c r="Q7" s="3702"/>
      <c r="R7" s="896" t="s">
        <v>1698</v>
      </c>
      <c r="S7" s="897">
        <f t="shared" ref="S7:S14" si="0">F7</f>
        <v>0</v>
      </c>
      <c r="T7" s="896" t="s">
        <v>1698</v>
      </c>
      <c r="U7" s="897">
        <f t="shared" ref="U7:U14" si="1">H7</f>
        <v>0</v>
      </c>
      <c r="V7" s="896" t="s">
        <v>1698</v>
      </c>
      <c r="W7" s="897">
        <f t="shared" ref="W7:W14" si="2">J7</f>
        <v>0</v>
      </c>
      <c r="X7" s="898"/>
      <c r="Y7" s="3686" t="s">
        <v>1697</v>
      </c>
      <c r="Z7" s="3687"/>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86" t="s">
        <v>1700</v>
      </c>
      <c r="Q8" s="3687"/>
      <c r="R8" s="896" t="s">
        <v>1698</v>
      </c>
      <c r="S8" s="897">
        <f t="shared" si="0"/>
        <v>100</v>
      </c>
      <c r="T8" s="896" t="s">
        <v>1698</v>
      </c>
      <c r="U8" s="897">
        <f t="shared" si="1"/>
        <v>100</v>
      </c>
      <c r="V8" s="896" t="s">
        <v>1698</v>
      </c>
      <c r="W8" s="897">
        <f t="shared" si="2"/>
        <v>100</v>
      </c>
      <c r="X8" s="898"/>
      <c r="Y8" s="3686" t="s">
        <v>1700</v>
      </c>
      <c r="Z8" s="3687"/>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1" t="s">
        <v>1703</v>
      </c>
      <c r="Q9" s="900" t="str">
        <f t="shared" ref="Q9:Q14" si="6">B9</f>
        <v>用途</v>
      </c>
      <c r="R9" s="896" t="s">
        <v>1698</v>
      </c>
      <c r="S9" s="897">
        <f t="shared" si="0"/>
        <v>100</v>
      </c>
      <c r="T9" s="896" t="s">
        <v>1698</v>
      </c>
      <c r="U9" s="897">
        <f t="shared" si="1"/>
        <v>100</v>
      </c>
      <c r="V9" s="896" t="s">
        <v>1698</v>
      </c>
      <c r="W9" s="897">
        <f t="shared" si="2"/>
        <v>100</v>
      </c>
      <c r="X9" s="898"/>
      <c r="Y9" s="3567"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1"/>
      <c r="Q10" s="900" t="str">
        <f t="shared" si="6"/>
        <v>土地使用年限（年）</v>
      </c>
      <c r="R10" s="896" t="s">
        <v>1698</v>
      </c>
      <c r="S10" s="897">
        <f t="shared" si="0"/>
        <v>100</v>
      </c>
      <c r="T10" s="896" t="s">
        <v>1698</v>
      </c>
      <c r="U10" s="897">
        <f t="shared" si="1"/>
        <v>100</v>
      </c>
      <c r="V10" s="896" t="s">
        <v>1698</v>
      </c>
      <c r="W10" s="897">
        <f t="shared" si="2"/>
        <v>100</v>
      </c>
      <c r="X10" s="898"/>
      <c r="Y10" s="3567"/>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1"/>
      <c r="Q11" s="900">
        <f t="shared" si="6"/>
        <v>111</v>
      </c>
      <c r="R11" s="896" t="s">
        <v>1698</v>
      </c>
      <c r="S11" s="897">
        <f t="shared" si="0"/>
        <v>100</v>
      </c>
      <c r="T11" s="896" t="s">
        <v>1698</v>
      </c>
      <c r="U11" s="897">
        <f t="shared" si="1"/>
        <v>100</v>
      </c>
      <c r="V11" s="896" t="s">
        <v>1698</v>
      </c>
      <c r="W11" s="897">
        <f t="shared" si="2"/>
        <v>100</v>
      </c>
      <c r="X11" s="898"/>
      <c r="Y11" s="3567"/>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1"/>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1"/>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4" t="s">
        <v>1709</v>
      </c>
      <c r="Q14" s="819" t="str">
        <f t="shared" si="6"/>
        <v>交通便捷度</v>
      </c>
      <c r="R14" s="901" t="s">
        <v>1698</v>
      </c>
      <c r="S14" s="902">
        <f t="shared" si="0"/>
        <v>100</v>
      </c>
      <c r="T14" s="901" t="s">
        <v>1698</v>
      </c>
      <c r="U14" s="902">
        <f t="shared" si="1"/>
        <v>100</v>
      </c>
      <c r="V14" s="901" t="s">
        <v>1698</v>
      </c>
      <c r="W14" s="902">
        <f t="shared" si="2"/>
        <v>100</v>
      </c>
      <c r="X14" s="895"/>
      <c r="Y14" s="3694"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95"/>
      <c r="Q15" s="819"/>
      <c r="R15" s="901"/>
      <c r="S15" s="902"/>
      <c r="T15" s="901"/>
      <c r="U15" s="902"/>
      <c r="V15" s="901"/>
      <c r="W15" s="902"/>
      <c r="X15" s="895"/>
      <c r="Y15" s="3695"/>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95"/>
      <c r="Q16" s="819" t="str">
        <f>B16</f>
        <v>公共配套设施</v>
      </c>
      <c r="R16" s="901" t="s">
        <v>1698</v>
      </c>
      <c r="S16" s="902">
        <f>F16</f>
        <v>100</v>
      </c>
      <c r="T16" s="901" t="s">
        <v>1698</v>
      </c>
      <c r="U16" s="902">
        <f>H16</f>
        <v>100</v>
      </c>
      <c r="V16" s="901" t="s">
        <v>1698</v>
      </c>
      <c r="W16" s="902">
        <f>J16</f>
        <v>100</v>
      </c>
      <c r="X16" s="895"/>
      <c r="Y16" s="3695"/>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95"/>
      <c r="Q17" s="819"/>
      <c r="R17" s="901"/>
      <c r="S17" s="902"/>
      <c r="T17" s="901"/>
      <c r="U17" s="902"/>
      <c r="V17" s="901"/>
      <c r="W17" s="902"/>
      <c r="X17" s="895"/>
      <c r="Y17" s="3695"/>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95"/>
      <c r="Q18" s="819" t="str">
        <f>B18</f>
        <v>基础设施水平</v>
      </c>
      <c r="R18" s="901" t="s">
        <v>1698</v>
      </c>
      <c r="S18" s="902">
        <f>F18</f>
        <v>100</v>
      </c>
      <c r="T18" s="901" t="s">
        <v>1698</v>
      </c>
      <c r="U18" s="902">
        <f>H18</f>
        <v>100</v>
      </c>
      <c r="V18" s="901" t="s">
        <v>1698</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95"/>
      <c r="Q19" s="819"/>
      <c r="R19" s="901"/>
      <c r="S19" s="902"/>
      <c r="T19" s="901"/>
      <c r="U19" s="902"/>
      <c r="V19" s="901"/>
      <c r="W19" s="902"/>
      <c r="X19" s="895"/>
      <c r="Y19" s="3695"/>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95"/>
      <c r="Q20" s="819" t="str">
        <f>B20</f>
        <v>自然及人文环境</v>
      </c>
      <c r="R20" s="901" t="s">
        <v>1698</v>
      </c>
      <c r="S20" s="902">
        <f>F20</f>
        <v>100</v>
      </c>
      <c r="T20" s="901" t="s">
        <v>1698</v>
      </c>
      <c r="U20" s="902">
        <f>H20</f>
        <v>100</v>
      </c>
      <c r="V20" s="901" t="s">
        <v>1698</v>
      </c>
      <c r="W20" s="902">
        <f>J20</f>
        <v>100</v>
      </c>
      <c r="X20" s="895"/>
      <c r="Y20" s="3695"/>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95"/>
      <c r="Q21" s="819"/>
      <c r="R21" s="901"/>
      <c r="S21" s="902"/>
      <c r="T21" s="901"/>
      <c r="U21" s="902"/>
      <c r="V21" s="901"/>
      <c r="W21" s="902"/>
      <c r="X21" s="895"/>
      <c r="Y21" s="3695"/>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95"/>
      <c r="Q22" s="819" t="str">
        <f>B22</f>
        <v>楼层</v>
      </c>
      <c r="R22" s="901" t="s">
        <v>1698</v>
      </c>
      <c r="S22" s="902">
        <f>F22</f>
        <v>100</v>
      </c>
      <c r="T22" s="901" t="s">
        <v>1698</v>
      </c>
      <c r="U22" s="902">
        <f>H22</f>
        <v>100</v>
      </c>
      <c r="V22" s="901" t="s">
        <v>1698</v>
      </c>
      <c r="W22" s="902">
        <f>J22</f>
        <v>100</v>
      </c>
      <c r="X22" s="895"/>
      <c r="Y22" s="3695"/>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95"/>
      <c r="Q23" s="819">
        <f>B23</f>
        <v>111</v>
      </c>
      <c r="R23" s="901" t="s">
        <v>1698</v>
      </c>
      <c r="S23" s="902">
        <f>F23</f>
        <v>100</v>
      </c>
      <c r="T23" s="901" t="s">
        <v>1698</v>
      </c>
      <c r="U23" s="902">
        <f>H23</f>
        <v>100</v>
      </c>
      <c r="V23" s="901" t="s">
        <v>1698</v>
      </c>
      <c r="W23" s="902">
        <f>J23</f>
        <v>100</v>
      </c>
      <c r="X23" s="895"/>
      <c r="Y23" s="3695"/>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95"/>
      <c r="Q24" s="819">
        <f t="shared" ref="Q24:Q34" si="11">B24</f>
        <v>111</v>
      </c>
      <c r="R24" s="901" t="s">
        <v>1698</v>
      </c>
      <c r="S24" s="902">
        <f>F24</f>
        <v>100</v>
      </c>
      <c r="T24" s="901" t="s">
        <v>1698</v>
      </c>
      <c r="U24" s="902">
        <f>H24</f>
        <v>100</v>
      </c>
      <c r="V24" s="901" t="s">
        <v>1698</v>
      </c>
      <c r="W24" s="902">
        <f>J24</f>
        <v>100</v>
      </c>
      <c r="X24" s="895"/>
      <c r="Y24" s="3695"/>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95"/>
      <c r="Q25" s="900">
        <f t="shared" si="11"/>
        <v>111</v>
      </c>
      <c r="R25" s="896" t="s">
        <v>1698</v>
      </c>
      <c r="S25" s="897">
        <f>F25</f>
        <v>100</v>
      </c>
      <c r="T25" s="896" t="s">
        <v>1698</v>
      </c>
      <c r="U25" s="897">
        <f>H25</f>
        <v>100</v>
      </c>
      <c r="V25" s="896" t="s">
        <v>1698</v>
      </c>
      <c r="W25" s="897">
        <f>J25</f>
        <v>100</v>
      </c>
      <c r="X25" s="898"/>
      <c r="Y25" s="3695"/>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61"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696"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96"/>
      <c r="Q27" s="1136" t="str">
        <f t="shared" si="11"/>
        <v>成新率</v>
      </c>
      <c r="R27" s="903" t="s">
        <v>1698</v>
      </c>
      <c r="S27" s="904" t="e">
        <f t="shared" si="12"/>
        <v>#N/A</v>
      </c>
      <c r="T27" s="903" t="s">
        <v>1698</v>
      </c>
      <c r="U27" s="904" t="e">
        <f t="shared" si="13"/>
        <v>#N/A</v>
      </c>
      <c r="V27" s="903" t="s">
        <v>1698</v>
      </c>
      <c r="W27" s="904" t="e">
        <f t="shared" si="14"/>
        <v>#N/A</v>
      </c>
      <c r="X27" s="905"/>
      <c r="Y27" s="3696"/>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96"/>
      <c r="Q28" s="819" t="str">
        <f t="shared" si="11"/>
        <v>物业等级</v>
      </c>
      <c r="R28" s="901" t="s">
        <v>1698</v>
      </c>
      <c r="S28" s="902">
        <f t="shared" si="12"/>
        <v>100</v>
      </c>
      <c r="T28" s="901" t="s">
        <v>1698</v>
      </c>
      <c r="U28" s="902">
        <f t="shared" si="13"/>
        <v>100</v>
      </c>
      <c r="V28" s="901" t="s">
        <v>1698</v>
      </c>
      <c r="W28" s="902">
        <f t="shared" si="14"/>
        <v>100</v>
      </c>
      <c r="X28" s="895"/>
      <c r="Y28" s="3696"/>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96"/>
      <c r="Q29" s="819" t="str">
        <f t="shared" si="11"/>
        <v>有无电梯</v>
      </c>
      <c r="R29" s="901" t="s">
        <v>1698</v>
      </c>
      <c r="S29" s="902">
        <f t="shared" si="12"/>
        <v>100</v>
      </c>
      <c r="T29" s="901" t="s">
        <v>1698</v>
      </c>
      <c r="U29" s="902">
        <f t="shared" si="13"/>
        <v>100</v>
      </c>
      <c r="V29" s="901" t="s">
        <v>1698</v>
      </c>
      <c r="W29" s="902">
        <f t="shared" si="14"/>
        <v>100</v>
      </c>
      <c r="X29" s="895"/>
      <c r="Y29" s="3696"/>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96"/>
      <c r="Q30" s="819" t="str">
        <f t="shared" si="11"/>
        <v>建筑面积</v>
      </c>
      <c r="R30" s="901" t="s">
        <v>1698</v>
      </c>
      <c r="S30" s="902" t="e">
        <f t="shared" si="12"/>
        <v>#N/A</v>
      </c>
      <c r="T30" s="901" t="s">
        <v>1698</v>
      </c>
      <c r="U30" s="902" t="e">
        <f t="shared" si="13"/>
        <v>#N/A</v>
      </c>
      <c r="V30" s="901" t="s">
        <v>1698</v>
      </c>
      <c r="W30" s="902" t="e">
        <f t="shared" si="14"/>
        <v>#N/A</v>
      </c>
      <c r="X30" s="895"/>
      <c r="Y30" s="3696"/>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96"/>
      <c r="Q31" s="900" t="str">
        <f t="shared" si="11"/>
        <v>是否封闭</v>
      </c>
      <c r="R31" s="896" t="s">
        <v>1698</v>
      </c>
      <c r="S31" s="897">
        <f t="shared" si="12"/>
        <v>100</v>
      </c>
      <c r="T31" s="896" t="s">
        <v>1698</v>
      </c>
      <c r="U31" s="897">
        <f t="shared" si="13"/>
        <v>100</v>
      </c>
      <c r="V31" s="896" t="s">
        <v>1698</v>
      </c>
      <c r="W31" s="897">
        <f t="shared" si="14"/>
        <v>100</v>
      </c>
      <c r="X31" s="898"/>
      <c r="Y31" s="3696"/>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96" t="s">
        <v>1718</v>
      </c>
      <c r="Q32" s="819">
        <f t="shared" si="11"/>
        <v>111</v>
      </c>
      <c r="R32" s="901" t="s">
        <v>1698</v>
      </c>
      <c r="S32" s="902">
        <f t="shared" si="12"/>
        <v>100</v>
      </c>
      <c r="T32" s="901" t="s">
        <v>1698</v>
      </c>
      <c r="U32" s="902">
        <f t="shared" si="13"/>
        <v>100</v>
      </c>
      <c r="V32" s="901" t="s">
        <v>1698</v>
      </c>
      <c r="W32" s="902">
        <f t="shared" si="14"/>
        <v>100</v>
      </c>
      <c r="X32" s="895"/>
      <c r="Y32" s="3696"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96"/>
      <c r="Q33" s="819">
        <f t="shared" si="11"/>
        <v>111</v>
      </c>
      <c r="R33" s="901" t="s">
        <v>1698</v>
      </c>
      <c r="S33" s="902">
        <f t="shared" si="12"/>
        <v>100</v>
      </c>
      <c r="T33" s="901" t="s">
        <v>1698</v>
      </c>
      <c r="U33" s="902">
        <f t="shared" si="13"/>
        <v>100</v>
      </c>
      <c r="V33" s="901" t="s">
        <v>1698</v>
      </c>
      <c r="W33" s="902">
        <f t="shared" si="14"/>
        <v>100</v>
      </c>
      <c r="X33" s="895"/>
      <c r="Y33" s="3696"/>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96"/>
      <c r="Q34" s="819">
        <f t="shared" si="11"/>
        <v>111</v>
      </c>
      <c r="R34" s="901" t="s">
        <v>1698</v>
      </c>
      <c r="S34" s="902">
        <f t="shared" si="12"/>
        <v>100</v>
      </c>
      <c r="T34" s="901" t="s">
        <v>1698</v>
      </c>
      <c r="U34" s="902">
        <f t="shared" si="13"/>
        <v>100</v>
      </c>
      <c r="V34" s="901" t="s">
        <v>1698</v>
      </c>
      <c r="W34" s="902">
        <f t="shared" si="14"/>
        <v>100</v>
      </c>
      <c r="X34" s="895"/>
      <c r="Y34" s="3696"/>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81" t="str">
        <f>A35</f>
        <v>成交单价（元/平方米）</v>
      </c>
      <c r="Q35" s="3681"/>
      <c r="R35" s="3682">
        <f>E35</f>
        <v>0</v>
      </c>
      <c r="S35" s="3682"/>
      <c r="T35" s="3682">
        <f>G35</f>
        <v>0</v>
      </c>
      <c r="U35" s="3682"/>
      <c r="V35" s="3682">
        <f>I35</f>
        <v>0</v>
      </c>
      <c r="W35" s="3682"/>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718" t="str">
        <f>A37</f>
        <v>估价对象XX用房的比较价值（楼面单价，元/平方米）</v>
      </c>
      <c r="Q37" s="3719"/>
      <c r="R37" s="3762" t="e">
        <f>IF(F1="售价",ROUND(IF(D36="简单平均",AVERAGE(R36:W36),R36*F36+T36*H36+V36*J36),0),ROUND(IF(D36="简单平均",AVERAGE(R36:V36),R36*F36+T36*H36+V36*J36),1))</f>
        <v>#DIV/0!</v>
      </c>
      <c r="S37" s="3762"/>
      <c r="T37" s="3762"/>
      <c r="U37" s="3762"/>
      <c r="V37" s="3762"/>
      <c r="W37" s="3762"/>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703" t="s">
        <v>1684</v>
      </c>
      <c r="D4" s="3704"/>
      <c r="E4" s="3705" t="s">
        <v>1685</v>
      </c>
      <c r="F4" s="3706"/>
      <c r="G4" s="3703" t="s">
        <v>1686</v>
      </c>
      <c r="H4" s="3704"/>
      <c r="I4" s="3703" t="s">
        <v>1687</v>
      </c>
      <c r="J4" s="3704"/>
      <c r="K4" s="851"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661" t="s">
        <v>1686</v>
      </c>
      <c r="AC4" s="3711" t="s">
        <v>1687</v>
      </c>
    </row>
    <row r="5" spans="1:30" ht="15">
      <c r="A5" s="703"/>
      <c r="B5" s="704"/>
      <c r="C5" s="3707" t="s">
        <v>1690</v>
      </c>
      <c r="D5" s="3708"/>
      <c r="E5" s="3709" t="s">
        <v>1691</v>
      </c>
      <c r="F5" s="3710"/>
      <c r="G5" s="3707" t="s">
        <v>1692</v>
      </c>
      <c r="H5" s="3708"/>
      <c r="I5" s="3707" t="s">
        <v>1693</v>
      </c>
      <c r="J5" s="3708"/>
      <c r="K5" s="851"/>
      <c r="L5" s="852"/>
      <c r="M5" s="853"/>
      <c r="N5" s="853"/>
      <c r="O5" s="853"/>
      <c r="P5" s="3714"/>
      <c r="Q5" s="3669"/>
      <c r="R5" s="3674"/>
      <c r="S5" s="3675"/>
      <c r="T5" s="3674"/>
      <c r="U5" s="3675"/>
      <c r="V5" s="3679"/>
      <c r="W5" s="3679"/>
      <c r="X5" s="895"/>
      <c r="Y5" s="3674"/>
      <c r="Z5" s="3675"/>
      <c r="AA5" s="3661"/>
      <c r="AB5" s="3661"/>
      <c r="AC5" s="3661"/>
    </row>
    <row r="6" spans="1:30" ht="15">
      <c r="A6" s="705"/>
      <c r="B6" s="706"/>
      <c r="C6" s="3698" t="s">
        <v>1694</v>
      </c>
      <c r="D6" s="3699"/>
      <c r="E6" s="3700" t="s">
        <v>1694</v>
      </c>
      <c r="F6" s="3701"/>
      <c r="G6" s="3698" t="s">
        <v>1694</v>
      </c>
      <c r="H6" s="3699"/>
      <c r="I6" s="3698" t="s">
        <v>1694</v>
      </c>
      <c r="J6" s="3699"/>
      <c r="K6" s="851" t="s">
        <v>1695</v>
      </c>
      <c r="L6" s="852"/>
      <c r="M6" s="853"/>
      <c r="N6" s="853"/>
      <c r="O6" s="853"/>
      <c r="P6" s="3715"/>
      <c r="Q6" s="3671"/>
      <c r="R6" s="3674"/>
      <c r="S6" s="3675"/>
      <c r="T6" s="3676"/>
      <c r="U6" s="3677"/>
      <c r="V6" s="3679"/>
      <c r="W6" s="3679"/>
      <c r="X6" s="895"/>
      <c r="Y6" s="3676"/>
      <c r="Z6" s="3677"/>
      <c r="AA6" s="3662"/>
      <c r="AB6" s="3662"/>
      <c r="AC6" s="3662"/>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86" t="s">
        <v>1697</v>
      </c>
      <c r="Q7" s="3702"/>
      <c r="R7" s="896" t="s">
        <v>1698</v>
      </c>
      <c r="S7" s="897">
        <f t="shared" ref="S7:S15" si="0">F7</f>
        <v>0</v>
      </c>
      <c r="T7" s="896" t="s">
        <v>1698</v>
      </c>
      <c r="U7" s="897">
        <f t="shared" ref="U7:U15" si="1">H7</f>
        <v>0</v>
      </c>
      <c r="V7" s="896" t="s">
        <v>1698</v>
      </c>
      <c r="W7" s="897">
        <f t="shared" ref="W7:W15" si="2">J7</f>
        <v>0</v>
      </c>
      <c r="X7" s="898"/>
      <c r="Y7" s="3686" t="s">
        <v>1697</v>
      </c>
      <c r="Z7" s="3687"/>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686" t="s">
        <v>1700</v>
      </c>
      <c r="Q8" s="3687"/>
      <c r="R8" s="896" t="s">
        <v>1698</v>
      </c>
      <c r="S8" s="897">
        <f t="shared" si="0"/>
        <v>0</v>
      </c>
      <c r="T8" s="896" t="s">
        <v>1698</v>
      </c>
      <c r="U8" s="897">
        <f t="shared" si="1"/>
        <v>0</v>
      </c>
      <c r="V8" s="896" t="s">
        <v>1698</v>
      </c>
      <c r="W8" s="897">
        <f t="shared" si="2"/>
        <v>0</v>
      </c>
      <c r="X8" s="898"/>
      <c r="Y8" s="3686" t="s">
        <v>1700</v>
      </c>
      <c r="Z8" s="3687"/>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1"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113</v>
      </c>
      <c r="G10" s="1035"/>
      <c r="H10" s="722">
        <f>ROUND(100/'数据-取费表'!G16,0)</f>
        <v>113</v>
      </c>
      <c r="I10" s="1035"/>
      <c r="J10" s="722">
        <f>ROUND(100/'数据-取费表'!G16,0)</f>
        <v>113</v>
      </c>
      <c r="K10" s="858"/>
      <c r="L10" s="859"/>
      <c r="M10" s="860"/>
      <c r="N10" s="860"/>
      <c r="O10" s="861"/>
      <c r="P10" s="3681"/>
      <c r="Q10" s="900" t="str">
        <f t="shared" si="6"/>
        <v>土地使用年限（年）</v>
      </c>
      <c r="R10" s="896" t="s">
        <v>1698</v>
      </c>
      <c r="S10" s="897">
        <f t="shared" si="0"/>
        <v>113</v>
      </c>
      <c r="T10" s="896" t="s">
        <v>1698</v>
      </c>
      <c r="U10" s="897">
        <f t="shared" si="1"/>
        <v>113</v>
      </c>
      <c r="V10" s="896" t="s">
        <v>1698</v>
      </c>
      <c r="W10" s="897">
        <f t="shared" si="2"/>
        <v>113</v>
      </c>
      <c r="X10" s="898"/>
      <c r="Y10" s="3567"/>
      <c r="Z10" s="911" t="str">
        <f t="shared" si="7"/>
        <v>土地使用年限（年）</v>
      </c>
      <c r="AA10" s="910">
        <f t="shared" si="3"/>
        <v>0.88495575221238942</v>
      </c>
      <c r="AB10" s="910">
        <f t="shared" si="4"/>
        <v>0.88495575221238942</v>
      </c>
      <c r="AC10" s="910">
        <f t="shared" si="5"/>
        <v>0.88495575221238942</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1"/>
      <c r="Q11" s="900" t="str">
        <f t="shared" si="6"/>
        <v>容积率</v>
      </c>
      <c r="R11" s="896" t="s">
        <v>1698</v>
      </c>
      <c r="S11" s="897" t="e">
        <f t="shared" si="0"/>
        <v>#N/A</v>
      </c>
      <c r="T11" s="896" t="s">
        <v>1698</v>
      </c>
      <c r="U11" s="897" t="e">
        <f t="shared" si="1"/>
        <v>#N/A</v>
      </c>
      <c r="V11" s="896" t="s">
        <v>1698</v>
      </c>
      <c r="W11" s="897" t="e">
        <f t="shared" si="2"/>
        <v>#N/A</v>
      </c>
      <c r="X11" s="898"/>
      <c r="Y11" s="3567"/>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1"/>
      <c r="Q12" s="900" t="str">
        <f t="shared" si="6"/>
        <v>配建</v>
      </c>
      <c r="R12" s="896" t="s">
        <v>1698</v>
      </c>
      <c r="S12" s="897">
        <f t="shared" si="0"/>
        <v>100</v>
      </c>
      <c r="T12" s="896" t="s">
        <v>1698</v>
      </c>
      <c r="U12" s="897">
        <f t="shared" si="1"/>
        <v>100</v>
      </c>
      <c r="V12" s="896" t="s">
        <v>1698</v>
      </c>
      <c r="W12" s="897">
        <f t="shared" si="2"/>
        <v>100</v>
      </c>
      <c r="X12" s="898"/>
      <c r="Y12" s="3567"/>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1"/>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1"/>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4" t="s">
        <v>1709</v>
      </c>
      <c r="Q15" s="819" t="str">
        <f t="shared" si="6"/>
        <v>居住社区成熟度</v>
      </c>
      <c r="R15" s="901" t="s">
        <v>1698</v>
      </c>
      <c r="S15" s="902">
        <f t="shared" si="0"/>
        <v>100</v>
      </c>
      <c r="T15" s="901" t="s">
        <v>1698</v>
      </c>
      <c r="U15" s="902">
        <f t="shared" si="1"/>
        <v>100</v>
      </c>
      <c r="V15" s="901" t="s">
        <v>1698</v>
      </c>
      <c r="W15" s="902">
        <f t="shared" si="2"/>
        <v>100</v>
      </c>
      <c r="X15" s="895"/>
      <c r="Y15" s="3694"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95"/>
      <c r="Q17" s="819" t="str">
        <f>B17</f>
        <v>商业繁华度</v>
      </c>
      <c r="R17" s="901" t="s">
        <v>1698</v>
      </c>
      <c r="S17" s="902">
        <f>F17</f>
        <v>100</v>
      </c>
      <c r="T17" s="901" t="s">
        <v>1698</v>
      </c>
      <c r="U17" s="902">
        <f>H17</f>
        <v>100</v>
      </c>
      <c r="V17" s="901" t="s">
        <v>1698</v>
      </c>
      <c r="W17" s="902">
        <f>J17</f>
        <v>100</v>
      </c>
      <c r="X17" s="895"/>
      <c r="Y17" s="3695"/>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95"/>
      <c r="Q19" s="819" t="str">
        <f>B19</f>
        <v>办公集聚程度</v>
      </c>
      <c r="R19" s="901" t="s">
        <v>1698</v>
      </c>
      <c r="S19" s="902">
        <f>F19</f>
        <v>100</v>
      </c>
      <c r="T19" s="901" t="s">
        <v>1698</v>
      </c>
      <c r="U19" s="902">
        <f>H19</f>
        <v>100</v>
      </c>
      <c r="V19" s="901" t="s">
        <v>1698</v>
      </c>
      <c r="W19" s="902">
        <f>J19</f>
        <v>100</v>
      </c>
      <c r="X19" s="895"/>
      <c r="Y19" s="3695"/>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95"/>
      <c r="Q20" s="819"/>
      <c r="R20" s="901"/>
      <c r="S20" s="902"/>
      <c r="T20" s="901"/>
      <c r="U20" s="902"/>
      <c r="V20" s="901"/>
      <c r="W20" s="902"/>
      <c r="X20" s="895"/>
      <c r="Y20" s="3695"/>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95"/>
      <c r="Q21" s="819" t="str">
        <f>B21</f>
        <v>交通便捷度</v>
      </c>
      <c r="R21" s="901" t="s">
        <v>1698</v>
      </c>
      <c r="S21" s="902">
        <f>F21</f>
        <v>100</v>
      </c>
      <c r="T21" s="901" t="s">
        <v>1698</v>
      </c>
      <c r="U21" s="902">
        <f>H21</f>
        <v>100</v>
      </c>
      <c r="V21" s="901" t="s">
        <v>1698</v>
      </c>
      <c r="W21" s="902">
        <f>J21</f>
        <v>100</v>
      </c>
      <c r="X21" s="895"/>
      <c r="Y21" s="3695"/>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95"/>
      <c r="Q23" s="819" t="str">
        <f t="shared" ref="Q23:Q38" si="8">B23</f>
        <v>区域土地利用方向</v>
      </c>
      <c r="R23" s="901" t="s">
        <v>1698</v>
      </c>
      <c r="S23" s="902">
        <f>F23</f>
        <v>100</v>
      </c>
      <c r="T23" s="901" t="s">
        <v>1698</v>
      </c>
      <c r="U23" s="902">
        <f>H23</f>
        <v>100</v>
      </c>
      <c r="V23" s="901" t="s">
        <v>1698</v>
      </c>
      <c r="W23" s="902">
        <f>J23</f>
        <v>100</v>
      </c>
      <c r="X23" s="895"/>
      <c r="Y23" s="3695"/>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95"/>
      <c r="Q24" s="819"/>
      <c r="R24" s="901"/>
      <c r="S24" s="902"/>
      <c r="T24" s="901"/>
      <c r="U24" s="902"/>
      <c r="V24" s="901"/>
      <c r="W24" s="902"/>
      <c r="X24" s="895"/>
      <c r="Y24" s="3695"/>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95"/>
      <c r="Q25" s="819" t="str">
        <f t="shared" si="8"/>
        <v>自然及人文环境状况</v>
      </c>
      <c r="R25" s="901" t="s">
        <v>1698</v>
      </c>
      <c r="S25" s="902">
        <f>F25</f>
        <v>100</v>
      </c>
      <c r="T25" s="901" t="s">
        <v>1698</v>
      </c>
      <c r="U25" s="902">
        <f>H25</f>
        <v>100</v>
      </c>
      <c r="V25" s="901" t="s">
        <v>1698</v>
      </c>
      <c r="W25" s="902">
        <f>J25</f>
        <v>100</v>
      </c>
      <c r="X25" s="895"/>
      <c r="Y25" s="3695"/>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95"/>
      <c r="Q26" s="819"/>
      <c r="R26" s="901"/>
      <c r="S26" s="902"/>
      <c r="T26" s="901"/>
      <c r="U26" s="902"/>
      <c r="V26" s="901"/>
      <c r="W26" s="902"/>
      <c r="X26" s="895"/>
      <c r="Y26" s="3695"/>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95"/>
      <c r="Q27" s="900" t="str">
        <f t="shared" si="8"/>
        <v>公共配套设施</v>
      </c>
      <c r="R27" s="896" t="s">
        <v>1698</v>
      </c>
      <c r="S27" s="897">
        <f>F27</f>
        <v>100</v>
      </c>
      <c r="T27" s="896" t="s">
        <v>1698</v>
      </c>
      <c r="U27" s="897">
        <f>H27</f>
        <v>100</v>
      </c>
      <c r="V27" s="896" t="s">
        <v>1698</v>
      </c>
      <c r="W27" s="897">
        <f>J27</f>
        <v>100</v>
      </c>
      <c r="X27" s="898"/>
      <c r="Y27" s="3695"/>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95"/>
      <c r="Q28" s="900"/>
      <c r="R28" s="896"/>
      <c r="S28" s="897"/>
      <c r="T28" s="896"/>
      <c r="U28" s="897"/>
      <c r="V28" s="896"/>
      <c r="W28" s="897"/>
      <c r="X28" s="898"/>
      <c r="Y28" s="3695"/>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95"/>
      <c r="Q29" s="900" t="str">
        <f t="shared" ref="Q29" si="9">B29</f>
        <v>基础设施水平</v>
      </c>
      <c r="R29" s="896" t="s">
        <v>1698</v>
      </c>
      <c r="S29" s="897">
        <f>F29</f>
        <v>100</v>
      </c>
      <c r="T29" s="896" t="s">
        <v>1698</v>
      </c>
      <c r="U29" s="897">
        <f>H29</f>
        <v>100</v>
      </c>
      <c r="V29" s="896" t="s">
        <v>1698</v>
      </c>
      <c r="W29" s="897">
        <f>J29</f>
        <v>100</v>
      </c>
      <c r="X29" s="898"/>
      <c r="Y29" s="3695"/>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95"/>
      <c r="Q30" s="900"/>
      <c r="R30" s="896"/>
      <c r="S30" s="897"/>
      <c r="T30" s="896"/>
      <c r="U30" s="897"/>
      <c r="V30" s="896"/>
      <c r="W30" s="897"/>
      <c r="X30" s="898"/>
      <c r="Y30" s="3695"/>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95"/>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695"/>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95"/>
      <c r="Q32" s="819" t="str">
        <f t="shared" si="8"/>
        <v>毗邻道路的类型与等级</v>
      </c>
      <c r="R32" s="901" t="s">
        <v>1698</v>
      </c>
      <c r="S32" s="902">
        <f t="shared" si="10"/>
        <v>100</v>
      </c>
      <c r="T32" s="901" t="s">
        <v>1698</v>
      </c>
      <c r="U32" s="902">
        <f t="shared" si="11"/>
        <v>100</v>
      </c>
      <c r="V32" s="901" t="s">
        <v>1698</v>
      </c>
      <c r="W32" s="902">
        <f t="shared" si="12"/>
        <v>100</v>
      </c>
      <c r="X32" s="895"/>
      <c r="Y32" s="3695"/>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95"/>
      <c r="Q33" s="819"/>
      <c r="R33" s="901"/>
      <c r="S33" s="902"/>
      <c r="T33" s="901"/>
      <c r="U33" s="902"/>
      <c r="V33" s="901"/>
      <c r="W33" s="902"/>
      <c r="X33" s="895"/>
      <c r="Y33" s="3695"/>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95"/>
      <c r="Q34" s="819" t="str">
        <f t="shared" si="8"/>
        <v>土地级别</v>
      </c>
      <c r="R34" s="901" t="s">
        <v>1698</v>
      </c>
      <c r="S34" s="902">
        <f t="shared" si="10"/>
        <v>100</v>
      </c>
      <c r="T34" s="901" t="s">
        <v>1698</v>
      </c>
      <c r="U34" s="902">
        <f t="shared" si="11"/>
        <v>100</v>
      </c>
      <c r="V34" s="901" t="s">
        <v>1698</v>
      </c>
      <c r="W34" s="902">
        <f t="shared" si="12"/>
        <v>100</v>
      </c>
      <c r="X34" s="895"/>
      <c r="Y34" s="3695"/>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95"/>
      <c r="Q35" s="819">
        <f t="shared" si="8"/>
        <v>111</v>
      </c>
      <c r="R35" s="901" t="s">
        <v>1698</v>
      </c>
      <c r="S35" s="902">
        <f t="shared" si="10"/>
        <v>100</v>
      </c>
      <c r="T35" s="901" t="s">
        <v>1698</v>
      </c>
      <c r="U35" s="902">
        <f t="shared" si="11"/>
        <v>100</v>
      </c>
      <c r="V35" s="901" t="s">
        <v>1698</v>
      </c>
      <c r="W35" s="902">
        <f t="shared" si="12"/>
        <v>100</v>
      </c>
      <c r="X35" s="895"/>
      <c r="Y35" s="3695"/>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61" t="s">
        <v>1718</v>
      </c>
      <c r="Q36" s="819">
        <f t="shared" si="8"/>
        <v>111</v>
      </c>
      <c r="R36" s="901" t="s">
        <v>1698</v>
      </c>
      <c r="S36" s="902">
        <f t="shared" si="10"/>
        <v>100</v>
      </c>
      <c r="T36" s="901" t="s">
        <v>1698</v>
      </c>
      <c r="U36" s="902">
        <f t="shared" si="11"/>
        <v>100</v>
      </c>
      <c r="V36" s="901" t="s">
        <v>1698</v>
      </c>
      <c r="W36" s="902">
        <f t="shared" si="12"/>
        <v>100</v>
      </c>
      <c r="X36" s="895"/>
      <c r="Y36" s="3696"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96"/>
      <c r="Q37" s="819">
        <f t="shared" si="8"/>
        <v>111</v>
      </c>
      <c r="R37" s="903" t="s">
        <v>1698</v>
      </c>
      <c r="S37" s="904">
        <f t="shared" si="10"/>
        <v>100</v>
      </c>
      <c r="T37" s="903" t="s">
        <v>1698</v>
      </c>
      <c r="U37" s="904">
        <f t="shared" si="11"/>
        <v>100</v>
      </c>
      <c r="V37" s="903" t="s">
        <v>1698</v>
      </c>
      <c r="W37" s="904">
        <f t="shared" si="12"/>
        <v>100</v>
      </c>
      <c r="X37" s="905"/>
      <c r="Y37" s="3696"/>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96"/>
      <c r="Q38" s="819" t="str">
        <f t="shared" si="8"/>
        <v>宗地面积</v>
      </c>
      <c r="R38" s="901" t="s">
        <v>1698</v>
      </c>
      <c r="S38" s="902" t="e">
        <f t="shared" si="10"/>
        <v>#N/A</v>
      </c>
      <c r="T38" s="901" t="s">
        <v>1698</v>
      </c>
      <c r="U38" s="902" t="e">
        <f t="shared" si="11"/>
        <v>#N/A</v>
      </c>
      <c r="V38" s="901" t="s">
        <v>1698</v>
      </c>
      <c r="W38" s="902" t="e">
        <f t="shared" si="12"/>
        <v>#N/A</v>
      </c>
      <c r="X38" s="895"/>
      <c r="Y38" s="3696"/>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96"/>
      <c r="Q39" s="819" t="str">
        <f t="shared" ref="Q39:Q45" si="14">B39</f>
        <v>宗地形状</v>
      </c>
      <c r="R39" s="901" t="s">
        <v>1698</v>
      </c>
      <c r="S39" s="902">
        <f t="shared" si="10"/>
        <v>100</v>
      </c>
      <c r="T39" s="901" t="s">
        <v>1698</v>
      </c>
      <c r="U39" s="902">
        <f t="shared" si="11"/>
        <v>100</v>
      </c>
      <c r="V39" s="901" t="s">
        <v>1698</v>
      </c>
      <c r="W39" s="902">
        <f t="shared" si="12"/>
        <v>100</v>
      </c>
      <c r="X39" s="895"/>
      <c r="Y39" s="3696"/>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96"/>
      <c r="Q40" s="819" t="str">
        <f t="shared" si="14"/>
        <v>临街宽度及深度</v>
      </c>
      <c r="R40" s="901" t="s">
        <v>1698</v>
      </c>
      <c r="S40" s="902">
        <f t="shared" si="10"/>
        <v>100</v>
      </c>
      <c r="T40" s="901" t="s">
        <v>1698</v>
      </c>
      <c r="U40" s="902">
        <f t="shared" si="11"/>
        <v>100</v>
      </c>
      <c r="V40" s="901" t="s">
        <v>1698</v>
      </c>
      <c r="W40" s="902">
        <f t="shared" si="12"/>
        <v>100</v>
      </c>
      <c r="X40" s="895"/>
      <c r="Y40" s="3696"/>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96"/>
      <c r="Q41" s="819" t="str">
        <f t="shared" si="14"/>
        <v>宗地开发程度</v>
      </c>
      <c r="R41" s="896" t="s">
        <v>1698</v>
      </c>
      <c r="S41" s="897">
        <f t="shared" si="10"/>
        <v>100</v>
      </c>
      <c r="T41" s="896" t="s">
        <v>1698</v>
      </c>
      <c r="U41" s="897">
        <f t="shared" si="11"/>
        <v>100</v>
      </c>
      <c r="V41" s="896" t="s">
        <v>1698</v>
      </c>
      <c r="W41" s="897">
        <f t="shared" si="12"/>
        <v>100</v>
      </c>
      <c r="X41" s="898"/>
      <c r="Y41" s="3696"/>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96" t="s">
        <v>1718</v>
      </c>
      <c r="Q42" s="819" t="str">
        <f t="shared" si="14"/>
        <v>工程地质条件</v>
      </c>
      <c r="R42" s="901" t="s">
        <v>1698</v>
      </c>
      <c r="S42" s="902">
        <f t="shared" si="10"/>
        <v>100</v>
      </c>
      <c r="T42" s="901" t="s">
        <v>1698</v>
      </c>
      <c r="U42" s="902">
        <f t="shared" si="11"/>
        <v>100</v>
      </c>
      <c r="V42" s="901" t="s">
        <v>1698</v>
      </c>
      <c r="W42" s="902">
        <f t="shared" si="12"/>
        <v>100</v>
      </c>
      <c r="X42" s="895"/>
      <c r="Y42" s="3696"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96"/>
      <c r="Q43" s="819">
        <f t="shared" si="14"/>
        <v>111</v>
      </c>
      <c r="R43" s="901" t="s">
        <v>1698</v>
      </c>
      <c r="S43" s="902">
        <f t="shared" si="10"/>
        <v>100</v>
      </c>
      <c r="T43" s="901" t="s">
        <v>1698</v>
      </c>
      <c r="U43" s="902">
        <f t="shared" si="11"/>
        <v>100</v>
      </c>
      <c r="V43" s="901" t="s">
        <v>1698</v>
      </c>
      <c r="W43" s="902">
        <f t="shared" si="12"/>
        <v>100</v>
      </c>
      <c r="X43" s="895"/>
      <c r="Y43" s="3696"/>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96"/>
      <c r="Q44" s="819">
        <f t="shared" si="14"/>
        <v>111</v>
      </c>
      <c r="R44" s="901" t="s">
        <v>1698</v>
      </c>
      <c r="S44" s="902">
        <f t="shared" si="10"/>
        <v>100</v>
      </c>
      <c r="T44" s="901" t="s">
        <v>1698</v>
      </c>
      <c r="U44" s="902">
        <f t="shared" si="11"/>
        <v>100</v>
      </c>
      <c r="V44" s="901" t="s">
        <v>1698</v>
      </c>
      <c r="W44" s="902">
        <f t="shared" si="12"/>
        <v>100</v>
      </c>
      <c r="X44" s="895"/>
      <c r="Y44" s="3696"/>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96"/>
      <c r="Q45" s="819">
        <f t="shared" si="14"/>
        <v>111</v>
      </c>
      <c r="R45" s="903" t="s">
        <v>1698</v>
      </c>
      <c r="S45" s="904">
        <f t="shared" si="10"/>
        <v>100</v>
      </c>
      <c r="T45" s="903" t="s">
        <v>1698</v>
      </c>
      <c r="U45" s="904">
        <f t="shared" si="11"/>
        <v>100</v>
      </c>
      <c r="V45" s="903" t="s">
        <v>1698</v>
      </c>
      <c r="W45" s="904">
        <f t="shared" si="12"/>
        <v>100</v>
      </c>
      <c r="X45" s="905"/>
      <c r="Y45" s="3696"/>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81" t="str">
        <f>A46</f>
        <v>成交单价</v>
      </c>
      <c r="Q46" s="3681"/>
      <c r="R46" s="3679">
        <f>E46</f>
        <v>0</v>
      </c>
      <c r="S46" s="3679"/>
      <c r="T46" s="3679">
        <f>G46</f>
        <v>0</v>
      </c>
      <c r="U46" s="3679"/>
      <c r="V46" s="3679">
        <f>I46</f>
        <v>0</v>
      </c>
      <c r="W46" s="3679"/>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81" t="str">
        <f>A47</f>
        <v>比较价值（元/平方米）</v>
      </c>
      <c r="Q47" s="3681"/>
      <c r="R47" s="3764" t="e">
        <f>ROUND(PRODUCT(R46,AA7:AA45),0)</f>
        <v>#DIV/0!</v>
      </c>
      <c r="S47" s="3764"/>
      <c r="T47" s="3764" t="e">
        <f>ROUND(PRODUCT(T46,AB7:AB45),0)</f>
        <v>#DIV/0!</v>
      </c>
      <c r="U47" s="3764"/>
      <c r="V47" s="3764" t="e">
        <f>ROUND(PRODUCT(V46,AC7:AC45),0)</f>
        <v>#DIV/0!</v>
      </c>
      <c r="W47" s="3764"/>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718" t="str">
        <f>A48</f>
        <v>估价对象XX用房的比较价值（楼面单价，元/平方米）</v>
      </c>
      <c r="Q48" s="3719"/>
      <c r="R48" s="3765" t="e">
        <f>ROUND(IF(D47="简单平均",AVERAGE(R47:W47),R47*F47+T47*H47+V47*J47),0)</f>
        <v>#DIV/0!</v>
      </c>
      <c r="S48" s="3765"/>
      <c r="T48" s="3765"/>
      <c r="U48" s="3765"/>
      <c r="V48" s="3765"/>
      <c r="W48" s="3765"/>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703" t="s">
        <v>1828</v>
      </c>
      <c r="H55" s="3763"/>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333.8</v>
      </c>
      <c r="F56" s="1052" t="e">
        <f t="shared" ref="F56:F64" si="15">ROUND(B56*E56/10000,0)</f>
        <v>#DIV/0!</v>
      </c>
      <c r="G56" s="3680"/>
      <c r="H56" s="3681"/>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333.8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333.8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703" t="s">
        <v>1684</v>
      </c>
      <c r="D4" s="3704"/>
      <c r="E4" s="3705" t="s">
        <v>1685</v>
      </c>
      <c r="F4" s="3706"/>
      <c r="G4" s="3703" t="s">
        <v>1686</v>
      </c>
      <c r="H4" s="3704"/>
      <c r="I4" s="3703" t="s">
        <v>1687</v>
      </c>
      <c r="J4" s="3704"/>
      <c r="K4" s="851" t="s">
        <v>1688</v>
      </c>
      <c r="L4" s="852"/>
      <c r="M4" s="853"/>
      <c r="N4" s="853"/>
      <c r="O4" s="853"/>
      <c r="P4" s="3712" t="s">
        <v>1689</v>
      </c>
      <c r="Q4" s="3713"/>
      <c r="R4" s="3716" t="s">
        <v>1685</v>
      </c>
      <c r="S4" s="3717"/>
      <c r="T4" s="3716" t="s">
        <v>1686</v>
      </c>
      <c r="U4" s="3717"/>
      <c r="V4" s="3679" t="s">
        <v>1687</v>
      </c>
      <c r="W4" s="3679"/>
      <c r="X4" s="895"/>
      <c r="Y4" s="3716" t="s">
        <v>1689</v>
      </c>
      <c r="Z4" s="3717"/>
      <c r="AA4" s="3711" t="s">
        <v>1685</v>
      </c>
      <c r="AB4" s="3661" t="s">
        <v>1686</v>
      </c>
      <c r="AC4" s="3711" t="s">
        <v>1687</v>
      </c>
    </row>
    <row r="5" spans="1:29" ht="15">
      <c r="A5" s="703"/>
      <c r="B5" s="704"/>
      <c r="C5" s="3707" t="s">
        <v>1690</v>
      </c>
      <c r="D5" s="3708"/>
      <c r="E5" s="3709" t="str">
        <f>土地案例!A25</f>
        <v>亦庄新城YZ00-0106街区15M1地块工业项目</v>
      </c>
      <c r="F5" s="3710"/>
      <c r="G5" s="3707" t="str">
        <f>土地案例!A26</f>
        <v>北京经济技术开发区42M2地块工业项目</v>
      </c>
      <c r="H5" s="3708"/>
      <c r="I5" s="3707" t="str">
        <f>土地案例!A27</f>
        <v>亦庄新城0107街区72M1地块工业项目</v>
      </c>
      <c r="J5" s="3708"/>
      <c r="K5" s="851"/>
      <c r="L5" s="852"/>
      <c r="M5" s="853"/>
      <c r="N5" s="853"/>
      <c r="O5" s="853"/>
      <c r="P5" s="3714"/>
      <c r="Q5" s="3669"/>
      <c r="R5" s="3674"/>
      <c r="S5" s="3675"/>
      <c r="T5" s="3674"/>
      <c r="U5" s="3675"/>
      <c r="V5" s="3679"/>
      <c r="W5" s="3679"/>
      <c r="X5" s="895"/>
      <c r="Y5" s="3674"/>
      <c r="Z5" s="3675"/>
      <c r="AA5" s="3661"/>
      <c r="AB5" s="3661"/>
      <c r="AC5" s="3661"/>
    </row>
    <row r="6" spans="1:29" ht="15">
      <c r="A6" s="705"/>
      <c r="B6" s="706"/>
      <c r="C6" s="3766" t="s">
        <v>1852</v>
      </c>
      <c r="D6" s="3767"/>
      <c r="E6" s="3768" t="s">
        <v>1852</v>
      </c>
      <c r="F6" s="3769"/>
      <c r="G6" s="3766" t="s">
        <v>1852</v>
      </c>
      <c r="H6" s="3767"/>
      <c r="I6" s="3766" t="s">
        <v>1852</v>
      </c>
      <c r="J6" s="3767"/>
      <c r="K6" s="851" t="s">
        <v>1695</v>
      </c>
      <c r="L6" s="852"/>
      <c r="M6" s="853"/>
      <c r="N6" s="853"/>
      <c r="O6" s="853"/>
      <c r="P6" s="3715"/>
      <c r="Q6" s="3671"/>
      <c r="R6" s="3674"/>
      <c r="S6" s="3675"/>
      <c r="T6" s="3676"/>
      <c r="U6" s="3677"/>
      <c r="V6" s="3679"/>
      <c r="W6" s="3679"/>
      <c r="X6" s="895"/>
      <c r="Y6" s="3676"/>
      <c r="Z6" s="3677"/>
      <c r="AA6" s="3662"/>
      <c r="AB6" s="3662"/>
      <c r="AC6" s="3662"/>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86" t="s">
        <v>1697</v>
      </c>
      <c r="Q7" s="3702"/>
      <c r="R7" s="896" t="s">
        <v>1698</v>
      </c>
      <c r="S7" s="897">
        <f t="shared" ref="S7:S15" si="0">F7</f>
        <v>99.4</v>
      </c>
      <c r="T7" s="896" t="s">
        <v>1698</v>
      </c>
      <c r="U7" s="897">
        <f t="shared" ref="U7:U15" si="1">H7</f>
        <v>98.8</v>
      </c>
      <c r="V7" s="896" t="s">
        <v>1698</v>
      </c>
      <c r="W7" s="897">
        <f t="shared" ref="W7:W15" si="2">J7</f>
        <v>98.4</v>
      </c>
      <c r="X7" s="898"/>
      <c r="Y7" s="3686" t="s">
        <v>1697</v>
      </c>
      <c r="Z7" s="3687"/>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686" t="s">
        <v>1700</v>
      </c>
      <c r="Q8" s="3687"/>
      <c r="R8" s="896" t="s">
        <v>1698</v>
      </c>
      <c r="S8" s="897">
        <f t="shared" si="0"/>
        <v>100</v>
      </c>
      <c r="T8" s="896" t="s">
        <v>1698</v>
      </c>
      <c r="U8" s="897">
        <f t="shared" si="1"/>
        <v>100</v>
      </c>
      <c r="V8" s="896" t="s">
        <v>1698</v>
      </c>
      <c r="W8" s="897">
        <f t="shared" si="2"/>
        <v>100</v>
      </c>
      <c r="X8" s="898"/>
      <c r="Y8" s="3686" t="s">
        <v>1700</v>
      </c>
      <c r="Z8" s="3687"/>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1" t="s">
        <v>1703</v>
      </c>
      <c r="Q9" s="900" t="str">
        <f t="shared" ref="Q9:Q15" si="6">B9</f>
        <v>用途</v>
      </c>
      <c r="R9" s="896" t="s">
        <v>1698</v>
      </c>
      <c r="S9" s="897">
        <f t="shared" si="0"/>
        <v>100</v>
      </c>
      <c r="T9" s="896" t="s">
        <v>1698</v>
      </c>
      <c r="U9" s="897">
        <f t="shared" si="1"/>
        <v>100</v>
      </c>
      <c r="V9" s="896" t="s">
        <v>1698</v>
      </c>
      <c r="W9" s="897">
        <f t="shared" si="2"/>
        <v>100</v>
      </c>
      <c r="X9" s="898"/>
      <c r="Y9" s="3567"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113</v>
      </c>
      <c r="G10" s="721">
        <v>19</v>
      </c>
      <c r="H10" s="722">
        <f>ROUND(100/'数据-取费表'!G16,0)</f>
        <v>113</v>
      </c>
      <c r="I10" s="721">
        <v>18</v>
      </c>
      <c r="J10" s="722">
        <f>ROUND(100/'数据-取费表'!G16,0)</f>
        <v>113</v>
      </c>
      <c r="K10" s="858"/>
      <c r="L10" s="859"/>
      <c r="M10" s="860"/>
      <c r="N10" s="860"/>
      <c r="O10" s="861"/>
      <c r="P10" s="3681"/>
      <c r="Q10" s="900" t="str">
        <f t="shared" si="6"/>
        <v>土地使用年限（年）</v>
      </c>
      <c r="R10" s="896" t="s">
        <v>1698</v>
      </c>
      <c r="S10" s="897">
        <f t="shared" si="0"/>
        <v>113</v>
      </c>
      <c r="T10" s="896" t="s">
        <v>1698</v>
      </c>
      <c r="U10" s="897">
        <f t="shared" si="1"/>
        <v>113</v>
      </c>
      <c r="V10" s="896" t="s">
        <v>1698</v>
      </c>
      <c r="W10" s="897">
        <f t="shared" si="2"/>
        <v>113</v>
      </c>
      <c r="X10" s="898"/>
      <c r="Y10" s="3567"/>
      <c r="Z10" s="911" t="str">
        <f t="shared" si="7"/>
        <v>土地使用年限（年）</v>
      </c>
      <c r="AA10" s="910">
        <f t="shared" si="3"/>
        <v>0.88495575221238942</v>
      </c>
      <c r="AB10" s="910">
        <f t="shared" si="4"/>
        <v>0.88495575221238942</v>
      </c>
      <c r="AC10" s="910">
        <f t="shared" si="5"/>
        <v>0.88495575221238942</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81"/>
      <c r="Q11" s="900" t="str">
        <f t="shared" si="6"/>
        <v>容积率</v>
      </c>
      <c r="R11" s="896" t="s">
        <v>1698</v>
      </c>
      <c r="S11" s="897" t="e">
        <f t="shared" si="0"/>
        <v>#DIV/0!</v>
      </c>
      <c r="T11" s="896" t="s">
        <v>1698</v>
      </c>
      <c r="U11" s="897" t="e">
        <f t="shared" si="1"/>
        <v>#DIV/0!</v>
      </c>
      <c r="V11" s="896" t="s">
        <v>1698</v>
      </c>
      <c r="W11" s="897" t="e">
        <f t="shared" si="2"/>
        <v>#DIV/0!</v>
      </c>
      <c r="X11" s="898"/>
      <c r="Y11" s="3567"/>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1"/>
      <c r="Q12" s="900">
        <f t="shared" si="6"/>
        <v>111</v>
      </c>
      <c r="R12" s="896" t="s">
        <v>1698</v>
      </c>
      <c r="S12" s="897">
        <f t="shared" si="0"/>
        <v>100</v>
      </c>
      <c r="T12" s="896" t="s">
        <v>1698</v>
      </c>
      <c r="U12" s="897">
        <f t="shared" si="1"/>
        <v>100</v>
      </c>
      <c r="V12" s="896" t="s">
        <v>1698</v>
      </c>
      <c r="W12" s="897">
        <f t="shared" si="2"/>
        <v>100</v>
      </c>
      <c r="X12" s="898"/>
      <c r="Y12" s="3567"/>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1"/>
      <c r="Q13" s="900">
        <f t="shared" si="6"/>
        <v>111</v>
      </c>
      <c r="R13" s="896" t="s">
        <v>1698</v>
      </c>
      <c r="S13" s="897">
        <f t="shared" si="0"/>
        <v>100</v>
      </c>
      <c r="T13" s="896" t="s">
        <v>1698</v>
      </c>
      <c r="U13" s="897">
        <f t="shared" si="1"/>
        <v>100</v>
      </c>
      <c r="V13" s="896" t="s">
        <v>1698</v>
      </c>
      <c r="W13" s="897">
        <f t="shared" si="2"/>
        <v>100</v>
      </c>
      <c r="X13" s="898"/>
      <c r="Y13" s="3567"/>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1"/>
      <c r="Q14" s="900">
        <f t="shared" si="6"/>
        <v>111</v>
      </c>
      <c r="R14" s="896" t="s">
        <v>1698</v>
      </c>
      <c r="S14" s="897">
        <f t="shared" si="0"/>
        <v>100</v>
      </c>
      <c r="T14" s="896" t="s">
        <v>1698</v>
      </c>
      <c r="U14" s="897">
        <f t="shared" si="1"/>
        <v>100</v>
      </c>
      <c r="V14" s="896" t="s">
        <v>1698</v>
      </c>
      <c r="W14" s="897">
        <f t="shared" si="2"/>
        <v>100</v>
      </c>
      <c r="X14" s="898"/>
      <c r="Y14" s="3567"/>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4" t="s">
        <v>1709</v>
      </c>
      <c r="Q15" s="819" t="str">
        <f t="shared" si="6"/>
        <v>产业集聚程度</v>
      </c>
      <c r="R15" s="901" t="s">
        <v>1698</v>
      </c>
      <c r="S15" s="902">
        <f t="shared" si="0"/>
        <v>100</v>
      </c>
      <c r="T15" s="901" t="s">
        <v>1698</v>
      </c>
      <c r="U15" s="902">
        <f t="shared" si="1"/>
        <v>100</v>
      </c>
      <c r="V15" s="901" t="s">
        <v>1698</v>
      </c>
      <c r="W15" s="902">
        <f t="shared" si="2"/>
        <v>100</v>
      </c>
      <c r="X15" s="895"/>
      <c r="Y15" s="3694"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95"/>
      <c r="Q17" s="819" t="str">
        <f>B17</f>
        <v>交通便捷度</v>
      </c>
      <c r="R17" s="901" t="s">
        <v>1698</v>
      </c>
      <c r="S17" s="902">
        <f>F17</f>
        <v>100</v>
      </c>
      <c r="T17" s="901" t="s">
        <v>1698</v>
      </c>
      <c r="U17" s="902">
        <f>H17</f>
        <v>100</v>
      </c>
      <c r="V17" s="901" t="s">
        <v>1698</v>
      </c>
      <c r="W17" s="902">
        <f>J17</f>
        <v>100</v>
      </c>
      <c r="X17" s="895"/>
      <c r="Y17" s="3695"/>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95"/>
      <c r="Q19" s="819" t="str">
        <f t="shared" ref="Q19:Q34" si="8">B19</f>
        <v>区域土地利用方向</v>
      </c>
      <c r="R19" s="901" t="s">
        <v>1698</v>
      </c>
      <c r="S19" s="902">
        <f>F19</f>
        <v>100</v>
      </c>
      <c r="T19" s="901" t="s">
        <v>1698</v>
      </c>
      <c r="U19" s="902">
        <f>H19</f>
        <v>100</v>
      </c>
      <c r="V19" s="901" t="s">
        <v>1698</v>
      </c>
      <c r="W19" s="902">
        <f>J19</f>
        <v>100</v>
      </c>
      <c r="X19" s="895"/>
      <c r="Y19" s="3695"/>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695"/>
      <c r="Q20" s="819"/>
      <c r="R20" s="901"/>
      <c r="S20" s="902"/>
      <c r="T20" s="901"/>
      <c r="U20" s="902"/>
      <c r="V20" s="901"/>
      <c r="W20" s="902"/>
      <c r="X20" s="895"/>
      <c r="Y20" s="3695"/>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95"/>
      <c r="Q21" s="819" t="str">
        <f t="shared" si="8"/>
        <v>环境状况</v>
      </c>
      <c r="R21" s="901" t="s">
        <v>1698</v>
      </c>
      <c r="S21" s="902">
        <f>F21</f>
        <v>100</v>
      </c>
      <c r="T21" s="901" t="s">
        <v>1698</v>
      </c>
      <c r="U21" s="902">
        <f>H21</f>
        <v>100</v>
      </c>
      <c r="V21" s="901" t="s">
        <v>1698</v>
      </c>
      <c r="W21" s="902">
        <f>J21</f>
        <v>100</v>
      </c>
      <c r="X21" s="895"/>
      <c r="Y21" s="3695"/>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95"/>
      <c r="Q23" s="900" t="str">
        <f t="shared" si="8"/>
        <v>公共配套设施</v>
      </c>
      <c r="R23" s="896" t="s">
        <v>1698</v>
      </c>
      <c r="S23" s="897">
        <f>F23</f>
        <v>100</v>
      </c>
      <c r="T23" s="896" t="s">
        <v>1698</v>
      </c>
      <c r="U23" s="897">
        <f>H23</f>
        <v>100</v>
      </c>
      <c r="V23" s="896" t="s">
        <v>1698</v>
      </c>
      <c r="W23" s="897">
        <f>J23</f>
        <v>100</v>
      </c>
      <c r="X23" s="898"/>
      <c r="Y23" s="3695"/>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695"/>
      <c r="Q24" s="900"/>
      <c r="R24" s="896"/>
      <c r="S24" s="897"/>
      <c r="T24" s="896"/>
      <c r="U24" s="897"/>
      <c r="V24" s="896"/>
      <c r="W24" s="897"/>
      <c r="X24" s="898"/>
      <c r="Y24" s="3695"/>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95"/>
      <c r="Q25" s="900" t="str">
        <f t="shared" ref="Q25" si="9">B25</f>
        <v>基础设施水平</v>
      </c>
      <c r="R25" s="896" t="s">
        <v>1698</v>
      </c>
      <c r="S25" s="897">
        <f>F25</f>
        <v>100</v>
      </c>
      <c r="T25" s="896" t="s">
        <v>1698</v>
      </c>
      <c r="U25" s="897">
        <f>H25</f>
        <v>100</v>
      </c>
      <c r="V25" s="896" t="s">
        <v>1698</v>
      </c>
      <c r="W25" s="897">
        <f>J25</f>
        <v>100</v>
      </c>
      <c r="X25" s="898"/>
      <c r="Y25" s="3695"/>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95"/>
      <c r="Q26" s="900"/>
      <c r="R26" s="896"/>
      <c r="S26" s="897"/>
      <c r="T26" s="896"/>
      <c r="U26" s="897"/>
      <c r="V26" s="896"/>
      <c r="W26" s="897"/>
      <c r="X26" s="898"/>
      <c r="Y26" s="3695"/>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95"/>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695"/>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95"/>
      <c r="Q28" s="819" t="str">
        <f t="shared" si="8"/>
        <v>毗邻道路的类型与等级</v>
      </c>
      <c r="R28" s="901" t="s">
        <v>1698</v>
      </c>
      <c r="S28" s="902">
        <f t="shared" si="10"/>
        <v>100</v>
      </c>
      <c r="T28" s="901" t="s">
        <v>1698</v>
      </c>
      <c r="U28" s="902">
        <f t="shared" si="11"/>
        <v>100</v>
      </c>
      <c r="V28" s="901" t="s">
        <v>1698</v>
      </c>
      <c r="W28" s="902">
        <f t="shared" si="12"/>
        <v>100</v>
      </c>
      <c r="X28" s="895"/>
      <c r="Y28" s="3695"/>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95"/>
      <c r="Q29" s="819"/>
      <c r="R29" s="901"/>
      <c r="S29" s="902"/>
      <c r="T29" s="901"/>
      <c r="U29" s="902"/>
      <c r="V29" s="901"/>
      <c r="W29" s="902"/>
      <c r="X29" s="895"/>
      <c r="Y29" s="3695"/>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95"/>
      <c r="Q30" s="819" t="str">
        <f t="shared" si="8"/>
        <v>土地级别</v>
      </c>
      <c r="R30" s="901" t="s">
        <v>1698</v>
      </c>
      <c r="S30" s="902">
        <f t="shared" si="10"/>
        <v>100</v>
      </c>
      <c r="T30" s="901" t="s">
        <v>1698</v>
      </c>
      <c r="U30" s="902">
        <f t="shared" si="11"/>
        <v>100</v>
      </c>
      <c r="V30" s="901" t="s">
        <v>1698</v>
      </c>
      <c r="W30" s="902">
        <f t="shared" si="12"/>
        <v>100</v>
      </c>
      <c r="X30" s="895"/>
      <c r="Y30" s="3695"/>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95"/>
      <c r="Q31" s="819">
        <f t="shared" si="8"/>
        <v>111</v>
      </c>
      <c r="R31" s="901" t="s">
        <v>1698</v>
      </c>
      <c r="S31" s="902">
        <f t="shared" si="10"/>
        <v>100</v>
      </c>
      <c r="T31" s="901" t="s">
        <v>1698</v>
      </c>
      <c r="U31" s="902">
        <f t="shared" si="11"/>
        <v>100</v>
      </c>
      <c r="V31" s="901" t="s">
        <v>1698</v>
      </c>
      <c r="W31" s="902">
        <f t="shared" si="12"/>
        <v>100</v>
      </c>
      <c r="X31" s="895"/>
      <c r="Y31" s="3695"/>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61" t="s">
        <v>1718</v>
      </c>
      <c r="Q32" s="819">
        <f t="shared" si="8"/>
        <v>111</v>
      </c>
      <c r="R32" s="901" t="s">
        <v>1698</v>
      </c>
      <c r="S32" s="902">
        <f t="shared" si="10"/>
        <v>100</v>
      </c>
      <c r="T32" s="901" t="s">
        <v>1698</v>
      </c>
      <c r="U32" s="902">
        <f t="shared" si="11"/>
        <v>100</v>
      </c>
      <c r="V32" s="901" t="s">
        <v>1698</v>
      </c>
      <c r="W32" s="902">
        <f t="shared" si="12"/>
        <v>100</v>
      </c>
      <c r="X32" s="895"/>
      <c r="Y32" s="3696"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96"/>
      <c r="Q33" s="819">
        <f t="shared" si="8"/>
        <v>111</v>
      </c>
      <c r="R33" s="903" t="s">
        <v>1698</v>
      </c>
      <c r="S33" s="904">
        <f t="shared" si="10"/>
        <v>100</v>
      </c>
      <c r="T33" s="903" t="s">
        <v>1698</v>
      </c>
      <c r="U33" s="904">
        <f t="shared" si="11"/>
        <v>100</v>
      </c>
      <c r="V33" s="903" t="s">
        <v>1698</v>
      </c>
      <c r="W33" s="904">
        <f t="shared" si="12"/>
        <v>100</v>
      </c>
      <c r="X33" s="905"/>
      <c r="Y33" s="3696"/>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96"/>
      <c r="Q34" s="819" t="str">
        <f t="shared" si="8"/>
        <v>宗地面积</v>
      </c>
      <c r="R34" s="901" t="s">
        <v>1698</v>
      </c>
      <c r="S34" s="902">
        <f t="shared" si="10"/>
        <v>98</v>
      </c>
      <c r="T34" s="901" t="s">
        <v>1698</v>
      </c>
      <c r="U34" s="902">
        <f t="shared" si="11"/>
        <v>100</v>
      </c>
      <c r="V34" s="901" t="s">
        <v>1698</v>
      </c>
      <c r="W34" s="902">
        <f t="shared" si="12"/>
        <v>100</v>
      </c>
      <c r="X34" s="895"/>
      <c r="Y34" s="3696"/>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696"/>
      <c r="Q35" s="819" t="str">
        <f t="shared" ref="Q35:Q40" si="14">B35</f>
        <v>宗地形状</v>
      </c>
      <c r="R35" s="901" t="s">
        <v>1698</v>
      </c>
      <c r="S35" s="902">
        <f t="shared" si="10"/>
        <v>100</v>
      </c>
      <c r="T35" s="901" t="s">
        <v>1698</v>
      </c>
      <c r="U35" s="902">
        <f t="shared" si="11"/>
        <v>100</v>
      </c>
      <c r="V35" s="901" t="s">
        <v>1698</v>
      </c>
      <c r="W35" s="902">
        <f t="shared" si="12"/>
        <v>100</v>
      </c>
      <c r="X35" s="895"/>
      <c r="Y35" s="3696"/>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96"/>
      <c r="Q36" s="819" t="str">
        <f t="shared" si="14"/>
        <v>宗地开发程度</v>
      </c>
      <c r="R36" s="896" t="s">
        <v>1698</v>
      </c>
      <c r="S36" s="897">
        <f t="shared" si="10"/>
        <v>102</v>
      </c>
      <c r="T36" s="896" t="s">
        <v>1698</v>
      </c>
      <c r="U36" s="897">
        <f t="shared" si="11"/>
        <v>102</v>
      </c>
      <c r="V36" s="896" t="s">
        <v>1698</v>
      </c>
      <c r="W36" s="897">
        <f t="shared" si="12"/>
        <v>102</v>
      </c>
      <c r="X36" s="898"/>
      <c r="Y36" s="3696"/>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696" t="s">
        <v>1718</v>
      </c>
      <c r="Q37" s="819" t="str">
        <f t="shared" si="14"/>
        <v>工程地质条件</v>
      </c>
      <c r="R37" s="901" t="s">
        <v>1698</v>
      </c>
      <c r="S37" s="902">
        <f t="shared" si="10"/>
        <v>100</v>
      </c>
      <c r="T37" s="901" t="s">
        <v>1698</v>
      </c>
      <c r="U37" s="902">
        <f t="shared" si="11"/>
        <v>100</v>
      </c>
      <c r="V37" s="901" t="s">
        <v>1698</v>
      </c>
      <c r="W37" s="902">
        <f t="shared" si="12"/>
        <v>100</v>
      </c>
      <c r="X37" s="895"/>
      <c r="Y37" s="3696"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96"/>
      <c r="Q38" s="819">
        <f t="shared" si="14"/>
        <v>111</v>
      </c>
      <c r="R38" s="901" t="s">
        <v>1698</v>
      </c>
      <c r="S38" s="902">
        <f t="shared" si="10"/>
        <v>100</v>
      </c>
      <c r="T38" s="901" t="s">
        <v>1698</v>
      </c>
      <c r="U38" s="902">
        <f t="shared" si="11"/>
        <v>100</v>
      </c>
      <c r="V38" s="901" t="s">
        <v>1698</v>
      </c>
      <c r="W38" s="902">
        <f t="shared" si="12"/>
        <v>100</v>
      </c>
      <c r="X38" s="895"/>
      <c r="Y38" s="3696"/>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96"/>
      <c r="Q39" s="819">
        <f t="shared" si="14"/>
        <v>111</v>
      </c>
      <c r="R39" s="901" t="s">
        <v>1698</v>
      </c>
      <c r="S39" s="902">
        <f t="shared" si="10"/>
        <v>100</v>
      </c>
      <c r="T39" s="901" t="s">
        <v>1698</v>
      </c>
      <c r="U39" s="902">
        <f t="shared" si="11"/>
        <v>100</v>
      </c>
      <c r="V39" s="901" t="s">
        <v>1698</v>
      </c>
      <c r="W39" s="902">
        <f t="shared" si="12"/>
        <v>100</v>
      </c>
      <c r="X39" s="895"/>
      <c r="Y39" s="3696"/>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96"/>
      <c r="Q40" s="819">
        <f t="shared" si="14"/>
        <v>111</v>
      </c>
      <c r="R40" s="903" t="s">
        <v>1698</v>
      </c>
      <c r="S40" s="904">
        <f t="shared" si="10"/>
        <v>100</v>
      </c>
      <c r="T40" s="903" t="s">
        <v>1698</v>
      </c>
      <c r="U40" s="904">
        <f t="shared" si="11"/>
        <v>100</v>
      </c>
      <c r="V40" s="903" t="s">
        <v>1698</v>
      </c>
      <c r="W40" s="904">
        <f t="shared" si="12"/>
        <v>100</v>
      </c>
      <c r="X40" s="905"/>
      <c r="Y40" s="3696"/>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81" t="str">
        <f>A41</f>
        <v>成交单价</v>
      </c>
      <c r="Q41" s="3681"/>
      <c r="R41" s="3679">
        <f>E41</f>
        <v>1934</v>
      </c>
      <c r="S41" s="3679"/>
      <c r="T41" s="3679">
        <f>G41</f>
        <v>1477</v>
      </c>
      <c r="U41" s="3679"/>
      <c r="V41" s="3679">
        <f>I41</f>
        <v>1477</v>
      </c>
      <c r="W41" s="3679"/>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81" t="str">
        <f>A42</f>
        <v>比较价值（元/平方米）</v>
      </c>
      <c r="Q42" s="3681"/>
      <c r="R42" s="3764" t="e">
        <f>ROUND(PRODUCT(R41,AA7:AA40),0)</f>
        <v>#DIV/0!</v>
      </c>
      <c r="S42" s="3764"/>
      <c r="T42" s="3764" t="e">
        <f>ROUND(PRODUCT(T41,AB7:AB40),0)</f>
        <v>#DIV/0!</v>
      </c>
      <c r="U42" s="3764"/>
      <c r="V42" s="3764" t="e">
        <f>ROUND(PRODUCT(V41,AC7:AC40),0)</f>
        <v>#DIV/0!</v>
      </c>
      <c r="W42" s="3764"/>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718" t="str">
        <f>A43</f>
        <v>估价对象XX用房的比较价值（楼面单价，元/平方米）</v>
      </c>
      <c r="Q43" s="3719"/>
      <c r="R43" s="3765" t="e">
        <f>ROUND(IF(D42="简单平均",AVERAGE(R42:W42),R42*F42+T42*H42+V42*J42),0)</f>
        <v>#DIV/0!</v>
      </c>
      <c r="S43" s="3765"/>
      <c r="T43" s="3765"/>
      <c r="U43" s="3765"/>
      <c r="V43" s="3765"/>
      <c r="W43" s="3765"/>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703" t="s">
        <v>1828</v>
      </c>
      <c r="H50" s="3763"/>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333.8</v>
      </c>
      <c r="F51" s="818" t="e">
        <f t="shared" ref="F51:F60" si="15">ROUND(B51*E51/10000,0)</f>
        <v>#DIV/0!</v>
      </c>
      <c r="G51" s="3680"/>
      <c r="H51" s="3681"/>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333.8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70" t="s">
        <v>1862</v>
      </c>
      <c r="D1" s="3771"/>
      <c r="E1" s="3771"/>
      <c r="F1" s="3771"/>
      <c r="G1" s="3771"/>
      <c r="H1" s="3771"/>
      <c r="I1" s="3771"/>
      <c r="J1" s="3771"/>
      <c r="K1" s="3771"/>
      <c r="L1" s="3771"/>
      <c r="M1" s="3771"/>
      <c r="N1" s="3771"/>
      <c r="O1" s="3771"/>
      <c r="P1" s="3771"/>
      <c r="Q1" s="3771"/>
      <c r="R1" s="3771"/>
      <c r="S1" s="3772"/>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2859</v>
      </c>
      <c r="D17" s="599" t="s">
        <v>2860</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t="e">
        <f ca="1">IF(D20="——",S22,S22-F20)</f>
        <v>#N/A</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t="e">
        <f ca="1">ROUND(B20*10000/B22,0)</f>
        <v>#N/A</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3" t="s">
        <v>124</v>
      </c>
      <c r="D22" s="3774"/>
      <c r="E22" s="3774"/>
      <c r="F22" s="3774"/>
      <c r="G22" s="3774"/>
      <c r="H22" s="3774"/>
      <c r="I22" s="3774"/>
      <c r="J22" s="3774"/>
      <c r="K22" s="3774"/>
      <c r="L22" s="3774"/>
      <c r="M22" s="3774"/>
      <c r="N22" s="3774"/>
      <c r="O22" s="3774"/>
      <c r="P22" s="3774"/>
      <c r="Q22" s="3775"/>
      <c r="R22" s="675" t="e">
        <f ca="1">ROUND(S22*10000/B22,0)</f>
        <v>#N/A</v>
      </c>
      <c r="S22" s="615" t="e">
        <f ca="1">SUM(S24:S10000)</f>
        <v>#N/A</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2861</v>
      </c>
      <c r="Q24" s="620">
        <v>1</v>
      </c>
      <c r="R24" s="678" t="e">
        <f ca="1">结果表!C32</f>
        <v>#N/A</v>
      </c>
      <c r="S24" s="679" t="e">
        <f t="shared" ref="S24:S54" ca="1" si="12">ROUND(R24*B24/10000,0)</f>
        <v>#N/A</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2862</v>
      </c>
      <c r="Q25" s="615">
        <f>(SUMIF($17:$17,P25,$18:$18)-SUMIF($17:$17,$P$24,$18:$18)+100)/100</f>
        <v>0.8</v>
      </c>
      <c r="R25" s="675" t="e">
        <f ca="1">IF(B25="",0,ROUND($R$24*C25*E25*G25*I25*K25*M25*O25*Q25,0))</f>
        <v>#N/A</v>
      </c>
      <c r="S25" s="614" t="e">
        <f t="shared" ca="1" si="12"/>
        <v>#N/A</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2862</v>
      </c>
      <c r="Q26" s="615">
        <f t="shared" ref="Q26:Q89" si="20">(SUMIF($17:$17,P26,$18:$18)-SUMIF($17:$17,$P$24,$18:$18)+100)/100</f>
        <v>0.8</v>
      </c>
      <c r="R26" s="675" t="e">
        <f t="shared" ref="R26:R89" ca="1" si="21">IF(B26="",0,ROUND($R$24*C26*E26*G26*I26*K26*M26*O26*Q26,0))</f>
        <v>#N/A</v>
      </c>
      <c r="S26" s="614" t="e">
        <f t="shared" ca="1" si="12"/>
        <v>#N/A</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2862</v>
      </c>
      <c r="Q27" s="615">
        <f t="shared" si="20"/>
        <v>0.8</v>
      </c>
      <c r="R27" s="675" t="e">
        <f t="shared" ca="1" si="21"/>
        <v>#N/A</v>
      </c>
      <c r="S27" s="614" t="e">
        <f t="shared" ca="1" si="12"/>
        <v>#N/A</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512</v>
      </c>
      <c r="C2" s="544" t="s">
        <v>1879</v>
      </c>
      <c r="D2" s="544" t="s">
        <v>1880</v>
      </c>
      <c r="E2" s="546">
        <f ca="1">SUMIF(E6:E13,"&lt;&gt;#ref!",E6:E13)</f>
        <v>333.8</v>
      </c>
      <c r="F2" s="543"/>
      <c r="G2" s="543"/>
      <c r="H2" s="543"/>
      <c r="I2" s="543"/>
      <c r="J2" s="543"/>
      <c r="K2" s="543"/>
      <c r="L2" s="543"/>
      <c r="M2" s="543"/>
      <c r="N2" s="543"/>
      <c r="O2" s="543"/>
      <c r="P2" s="543"/>
    </row>
    <row r="3" spans="1:16" ht="15.75">
      <c r="A3" s="544" t="s">
        <v>1881</v>
      </c>
      <c r="B3" s="545">
        <f ca="1">ROUND(B2*10000/E2,0)</f>
        <v>15339</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512</v>
      </c>
      <c r="C6" s="544" t="s">
        <v>1879</v>
      </c>
      <c r="D6" s="543"/>
      <c r="E6" s="546">
        <f ca="1">SUMIF(INDIRECT("'"&amp;A6&amp;"'"&amp;"!C:C"),"建筑面积",INDIRECT("'"&amp;A6&amp;"'"&amp;"!D:D"))</f>
        <v>333.8</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8.75">
      <c r="A4" s="3384"/>
      <c r="B4" s="3479" t="s">
        <v>95</v>
      </c>
      <c r="C4" s="3479"/>
      <c r="D4" s="3479"/>
      <c r="E4" s="3384"/>
    </row>
    <row r="5" spans="1:5" ht="15.75">
      <c r="A5" s="3383"/>
      <c r="B5" s="3471" t="s">
        <v>96</v>
      </c>
      <c r="C5" s="3385" t="s">
        <v>97</v>
      </c>
      <c r="D5" s="3386" t="e">
        <f ca="1">结果表!H101</f>
        <v>#N/A</v>
      </c>
      <c r="E5" s="3383"/>
    </row>
    <row r="6" spans="1:5" ht="15.75">
      <c r="A6" s="3383"/>
      <c r="B6" s="3471"/>
      <c r="C6" s="3385" t="s">
        <v>98</v>
      </c>
      <c r="D6" s="3386" t="e">
        <f ca="1">NUMBERSTRING(INT(D5*10000),2)&amp;"元整"</f>
        <v>#N/A</v>
      </c>
      <c r="E6" s="3383"/>
    </row>
    <row r="7" spans="1:5" ht="15.75">
      <c r="A7" s="3383"/>
      <c r="B7" s="3472"/>
      <c r="C7" s="3387" t="s">
        <v>99</v>
      </c>
      <c r="D7" s="3388" t="e">
        <f ca="1">结果表!H102</f>
        <v>#N/A</v>
      </c>
      <c r="E7" s="3383"/>
    </row>
    <row r="8" spans="1:5" ht="15.75">
      <c r="A8" s="3383"/>
      <c r="B8" s="3473" t="str">
        <f>结果表!E103</f>
        <v>2.估价师知悉的法定优先受偿款</v>
      </c>
      <c r="C8" s="3389" t="s">
        <v>100</v>
      </c>
      <c r="D8" s="3388">
        <f>结果表!H103</f>
        <v>0</v>
      </c>
      <c r="E8" s="3383"/>
    </row>
    <row r="9" spans="1:5" ht="15.75">
      <c r="A9" s="3383"/>
      <c r="B9" s="3475"/>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70" t="str">
        <f>结果表!E107</f>
        <v>3.房地产抵押价值</v>
      </c>
      <c r="C13" s="3393" t="s">
        <v>97</v>
      </c>
      <c r="D13" s="3394" t="e">
        <f ca="1">结果表!H107</f>
        <v>#N/A</v>
      </c>
      <c r="E13" s="3383"/>
    </row>
    <row r="14" spans="1:5" ht="15.75">
      <c r="A14" s="3383"/>
      <c r="B14" s="3471"/>
      <c r="C14" s="3385" t="s">
        <v>98</v>
      </c>
      <c r="D14" s="3386" t="e">
        <f ca="1">NUMBERSTRING(INT(D13*10000),2)&amp;"元整"</f>
        <v>#N/A</v>
      </c>
      <c r="E14" s="3383"/>
    </row>
    <row r="15" spans="1:5" ht="15">
      <c r="A15" s="3383"/>
      <c r="B15" s="3472"/>
      <c r="C15" s="3387" t="s">
        <v>99</v>
      </c>
      <c r="D15" s="3395" t="e">
        <f ca="1">结果表!H108</f>
        <v>#N/A</v>
      </c>
      <c r="E15" s="3383"/>
    </row>
    <row r="16" spans="1:5" ht="15">
      <c r="A16" s="3383"/>
      <c r="B16" s="3473" t="str">
        <f>结果表!E109</f>
        <v>——</v>
      </c>
      <c r="C16" s="3393" t="s">
        <v>97</v>
      </c>
      <c r="D16" s="3396" t="str">
        <f>结果表!H109</f>
        <v>——</v>
      </c>
      <c r="E16" s="3383"/>
    </row>
    <row r="17" spans="1:5" ht="15.75">
      <c r="A17" s="3383"/>
      <c r="B17" s="3474"/>
      <c r="C17" s="3385" t="s">
        <v>98</v>
      </c>
      <c r="D17" s="3386" t="e">
        <f>NUMBERSTRING(INT(D16*10000),2)&amp;"元整"</f>
        <v>#VALUE!</v>
      </c>
      <c r="E17" s="3383"/>
    </row>
    <row r="18" spans="1:5" ht="15">
      <c r="A18" s="3383"/>
      <c r="B18" s="3475"/>
      <c r="C18" s="3387" t="s">
        <v>99</v>
      </c>
      <c r="D18" s="3395" t="str">
        <f>结果表!H110</f>
        <v>——</v>
      </c>
      <c r="E18" s="3383"/>
    </row>
    <row r="19" spans="1:5" ht="15.75">
      <c r="A19" s="3383"/>
      <c r="B19" s="3470" t="str">
        <f>结果表!E111</f>
        <v>——</v>
      </c>
      <c r="C19" s="3393" t="s">
        <v>97</v>
      </c>
      <c r="D19" s="3388" t="str">
        <f>结果表!H111</f>
        <v>——</v>
      </c>
      <c r="E19" s="3383"/>
    </row>
    <row r="20" spans="1:5" ht="15.75">
      <c r="A20" s="3383"/>
      <c r="B20" s="3471"/>
      <c r="C20" s="3385" t="s">
        <v>98</v>
      </c>
      <c r="D20" s="3386" t="e">
        <f>NUMBERSTRING(INT(D19*10000),2)&amp;"元整"</f>
        <v>#VALUE!</v>
      </c>
      <c r="E20" s="3383"/>
    </row>
    <row r="21" spans="1:5" ht="15">
      <c r="A21" s="3383"/>
      <c r="B21" s="3476"/>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80" t="s">
        <v>1766</v>
      </c>
      <c r="B20" s="3786" t="s">
        <v>1896</v>
      </c>
      <c r="C20" s="506" t="s">
        <v>1897</v>
      </c>
      <c r="D20" s="507"/>
      <c r="E20" s="508">
        <v>1</v>
      </c>
      <c r="F20" s="509" t="s">
        <v>1898</v>
      </c>
      <c r="G20" s="509"/>
    </row>
    <row r="21" spans="1:13" ht="19.5" customHeight="1">
      <c r="A21" s="3781"/>
      <c r="B21" s="3779"/>
      <c r="C21" s="510" t="s">
        <v>1899</v>
      </c>
      <c r="D21" s="511"/>
      <c r="E21" s="512">
        <v>1</v>
      </c>
      <c r="F21" s="509" t="s">
        <v>1900</v>
      </c>
      <c r="G21" s="509"/>
    </row>
    <row r="22" spans="1:13" ht="19.5" customHeight="1">
      <c r="A22" s="3781"/>
      <c r="B22" s="3779"/>
      <c r="C22" s="510" t="s">
        <v>1901</v>
      </c>
      <c r="D22" s="511"/>
      <c r="E22" s="512">
        <v>0.9</v>
      </c>
      <c r="F22" s="509" t="s">
        <v>1902</v>
      </c>
      <c r="G22" s="509"/>
    </row>
    <row r="23" spans="1:13" ht="19.5" customHeight="1">
      <c r="A23" s="3781"/>
      <c r="B23" s="3779"/>
      <c r="C23" s="510" t="s">
        <v>1903</v>
      </c>
      <c r="D23" s="511"/>
      <c r="E23" s="512">
        <v>0.9</v>
      </c>
      <c r="F23" s="509" t="s">
        <v>1904</v>
      </c>
      <c r="G23" s="509"/>
    </row>
    <row r="24" spans="1:13" ht="19.5" customHeight="1">
      <c r="A24" s="3781"/>
      <c r="B24" s="3779"/>
      <c r="C24" s="510" t="s">
        <v>1905</v>
      </c>
      <c r="D24" s="511"/>
      <c r="E24" s="512">
        <v>0.8</v>
      </c>
      <c r="F24" s="509" t="s">
        <v>1906</v>
      </c>
      <c r="G24" s="509"/>
    </row>
    <row r="25" spans="1:13" ht="19.5" customHeight="1">
      <c r="A25" s="3782"/>
      <c r="B25" s="3787"/>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83" t="s">
        <v>280</v>
      </c>
      <c r="B27" s="3786" t="s">
        <v>280</v>
      </c>
      <c r="C27" s="506" t="s">
        <v>1911</v>
      </c>
      <c r="D27" s="507"/>
      <c r="E27" s="508">
        <v>1</v>
      </c>
      <c r="F27" s="509" t="s">
        <v>1912</v>
      </c>
      <c r="G27" s="509"/>
    </row>
    <row r="28" spans="1:13" ht="19.5" customHeight="1">
      <c r="A28" s="3784"/>
      <c r="B28" s="3779"/>
      <c r="C28" s="510" t="s">
        <v>1913</v>
      </c>
      <c r="D28" s="511"/>
      <c r="E28" s="512">
        <v>1</v>
      </c>
      <c r="F28" s="509" t="s">
        <v>1914</v>
      </c>
      <c r="G28" s="509"/>
    </row>
    <row r="29" spans="1:13" ht="19.5" customHeight="1">
      <c r="A29" s="3784"/>
      <c r="B29" s="3779"/>
      <c r="C29" s="510" t="s">
        <v>1915</v>
      </c>
      <c r="D29" s="511"/>
      <c r="E29" s="512">
        <v>0.8</v>
      </c>
      <c r="F29" s="509" t="s">
        <v>1916</v>
      </c>
      <c r="G29" s="509"/>
    </row>
    <row r="30" spans="1:13" ht="19.5" customHeight="1">
      <c r="A30" s="3784"/>
      <c r="B30" s="3779"/>
      <c r="C30" s="510" t="s">
        <v>1917</v>
      </c>
      <c r="D30" s="511"/>
      <c r="E30" s="512">
        <v>0.8</v>
      </c>
      <c r="F30" s="509" t="s">
        <v>1918</v>
      </c>
      <c r="G30" s="509"/>
    </row>
    <row r="31" spans="1:13" ht="19.5" customHeight="1">
      <c r="A31" s="3784"/>
      <c r="B31" s="3779"/>
      <c r="C31" s="510" t="s">
        <v>1919</v>
      </c>
      <c r="D31" s="511"/>
      <c r="E31" s="512">
        <v>0.8</v>
      </c>
      <c r="F31" s="509" t="s">
        <v>1920</v>
      </c>
      <c r="G31" s="509"/>
    </row>
    <row r="32" spans="1:13" ht="19.5" customHeight="1">
      <c r="A32" s="3784"/>
      <c r="B32" s="3779"/>
      <c r="C32" s="510" t="s">
        <v>1921</v>
      </c>
      <c r="D32" s="511"/>
      <c r="E32" s="512">
        <v>0.7</v>
      </c>
      <c r="F32" s="509" t="s">
        <v>1922</v>
      </c>
      <c r="G32" s="509"/>
    </row>
    <row r="33" spans="1:7" ht="19.5" customHeight="1">
      <c r="A33" s="3784"/>
      <c r="B33" s="3779"/>
      <c r="C33" s="510" t="s">
        <v>1923</v>
      </c>
      <c r="D33" s="511"/>
      <c r="E33" s="512">
        <v>0.8</v>
      </c>
      <c r="F33" s="509" t="s">
        <v>1924</v>
      </c>
      <c r="G33" s="509"/>
    </row>
    <row r="34" spans="1:7" ht="19.5" customHeight="1">
      <c r="A34" s="3784"/>
      <c r="B34" s="3779"/>
      <c r="C34" s="510" t="s">
        <v>1925</v>
      </c>
      <c r="D34" s="511"/>
      <c r="E34" s="512">
        <v>0.6</v>
      </c>
      <c r="F34" s="509" t="s">
        <v>1926</v>
      </c>
      <c r="G34" s="509"/>
    </row>
    <row r="35" spans="1:7" ht="19.5" customHeight="1">
      <c r="A35" s="3784"/>
      <c r="B35" s="3779"/>
      <c r="C35" s="510" t="s">
        <v>1927</v>
      </c>
      <c r="D35" s="511"/>
      <c r="E35" s="512">
        <v>0.2</v>
      </c>
      <c r="F35" s="509" t="s">
        <v>1928</v>
      </c>
      <c r="G35" s="509"/>
    </row>
    <row r="36" spans="1:7" ht="19.5" customHeight="1">
      <c r="A36" s="3784"/>
      <c r="B36" s="3779"/>
      <c r="C36" s="510" t="s">
        <v>1929</v>
      </c>
      <c r="D36" s="511"/>
      <c r="E36" s="512">
        <v>0.2</v>
      </c>
      <c r="F36" s="509" t="s">
        <v>1930</v>
      </c>
      <c r="G36" s="509"/>
    </row>
    <row r="37" spans="1:7" ht="19.5" customHeight="1">
      <c r="A37" s="3784"/>
      <c r="B37" s="3777" t="s">
        <v>1931</v>
      </c>
      <c r="C37" s="510" t="s">
        <v>1932</v>
      </c>
      <c r="D37" s="511"/>
      <c r="E37" s="512">
        <v>0.6</v>
      </c>
      <c r="F37" s="509" t="s">
        <v>1933</v>
      </c>
      <c r="G37" s="509"/>
    </row>
    <row r="38" spans="1:7" ht="19.5" customHeight="1">
      <c r="A38" s="3784"/>
      <c r="B38" s="3779"/>
      <c r="C38" s="510" t="s">
        <v>1934</v>
      </c>
      <c r="D38" s="511"/>
      <c r="E38" s="512">
        <v>0.6</v>
      </c>
      <c r="F38" s="509" t="s">
        <v>1935</v>
      </c>
      <c r="G38" s="509"/>
    </row>
    <row r="39" spans="1:7" ht="19.5" customHeight="1">
      <c r="A39" s="3785"/>
      <c r="B39" s="3787"/>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80" t="s">
        <v>408</v>
      </c>
      <c r="B41" s="3786" t="s">
        <v>1940</v>
      </c>
      <c r="C41" s="506" t="s">
        <v>1345</v>
      </c>
      <c r="D41" s="507"/>
      <c r="E41" s="508">
        <v>1</v>
      </c>
      <c r="F41" s="509" t="s">
        <v>1941</v>
      </c>
      <c r="G41" s="509"/>
    </row>
    <row r="42" spans="1:7" ht="19.5" customHeight="1">
      <c r="A42" s="3781"/>
      <c r="B42" s="3779"/>
      <c r="C42" s="510" t="s">
        <v>1942</v>
      </c>
      <c r="D42" s="511"/>
      <c r="E42" s="512">
        <v>1</v>
      </c>
      <c r="F42" s="509" t="s">
        <v>1943</v>
      </c>
      <c r="G42" s="509"/>
    </row>
    <row r="43" spans="1:7" ht="19.5" customHeight="1">
      <c r="A43" s="3781"/>
      <c r="B43" s="3778"/>
      <c r="C43" s="510" t="s">
        <v>1944</v>
      </c>
      <c r="D43" s="511"/>
      <c r="E43" s="512">
        <v>1.5</v>
      </c>
      <c r="F43" s="509" t="s">
        <v>1945</v>
      </c>
      <c r="G43" s="509"/>
    </row>
    <row r="44" spans="1:7" ht="19.5" customHeight="1">
      <c r="A44" s="3781"/>
      <c r="B44" s="522" t="s">
        <v>280</v>
      </c>
      <c r="C44" s="510" t="s">
        <v>1888</v>
      </c>
      <c r="D44" s="511"/>
      <c r="E44" s="512">
        <v>2</v>
      </c>
      <c r="F44" s="509" t="s">
        <v>1946</v>
      </c>
      <c r="G44" s="509"/>
    </row>
    <row r="45" spans="1:7" ht="19.5" customHeight="1">
      <c r="A45" s="3781"/>
      <c r="B45" s="3777" t="s">
        <v>1947</v>
      </c>
      <c r="C45" s="510" t="s">
        <v>1948</v>
      </c>
      <c r="D45" s="511"/>
      <c r="E45" s="512">
        <v>1</v>
      </c>
      <c r="F45" s="509" t="s">
        <v>1949</v>
      </c>
      <c r="G45" s="509"/>
    </row>
    <row r="46" spans="1:7" ht="19.5" customHeight="1">
      <c r="A46" s="3781"/>
      <c r="B46" s="3779"/>
      <c r="C46" s="510" t="s">
        <v>1950</v>
      </c>
      <c r="D46" s="511"/>
      <c r="E46" s="512">
        <v>1</v>
      </c>
      <c r="F46" s="509" t="s">
        <v>1951</v>
      </c>
      <c r="G46" s="509"/>
    </row>
    <row r="47" spans="1:7" ht="19.5" customHeight="1">
      <c r="A47" s="3781"/>
      <c r="B47" s="3779"/>
      <c r="C47" s="510" t="s">
        <v>1952</v>
      </c>
      <c r="D47" s="511"/>
      <c r="E47" s="512">
        <v>1</v>
      </c>
      <c r="F47" s="509" t="s">
        <v>1953</v>
      </c>
      <c r="G47" s="509"/>
    </row>
    <row r="48" spans="1:7" ht="19.5" customHeight="1">
      <c r="A48" s="3781"/>
      <c r="B48" s="3779"/>
      <c r="C48" s="510" t="s">
        <v>1954</v>
      </c>
      <c r="D48" s="511"/>
      <c r="E48" s="512">
        <v>1</v>
      </c>
      <c r="F48" s="509" t="s">
        <v>1955</v>
      </c>
      <c r="G48" s="509"/>
    </row>
    <row r="49" spans="1:7" ht="19.5" customHeight="1">
      <c r="A49" s="3781"/>
      <c r="B49" s="3779"/>
      <c r="C49" s="510" t="s">
        <v>1956</v>
      </c>
      <c r="D49" s="511"/>
      <c r="E49" s="512">
        <v>1</v>
      </c>
      <c r="F49" s="509" t="s">
        <v>1957</v>
      </c>
      <c r="G49" s="509"/>
    </row>
    <row r="50" spans="1:7" ht="19.5" customHeight="1">
      <c r="A50" s="3781"/>
      <c r="B50" s="3779"/>
      <c r="C50" s="510" t="s">
        <v>1958</v>
      </c>
      <c r="D50" s="511"/>
      <c r="E50" s="512">
        <v>1</v>
      </c>
      <c r="F50" s="509" t="s">
        <v>1959</v>
      </c>
      <c r="G50" s="509"/>
    </row>
    <row r="51" spans="1:7" ht="19.5" customHeight="1">
      <c r="A51" s="3782"/>
      <c r="B51" s="3787"/>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77" t="s">
        <v>1972</v>
      </c>
      <c r="C73" s="498" t="s">
        <v>1973</v>
      </c>
      <c r="D73" s="498" t="s">
        <v>1974</v>
      </c>
      <c r="E73" s="522">
        <v>0.2</v>
      </c>
      <c r="F73" s="522">
        <v>25</v>
      </c>
    </row>
    <row r="74" spans="1:7" ht="24">
      <c r="A74" s="522">
        <v>2</v>
      </c>
      <c r="B74" s="3779"/>
      <c r="C74" s="498" t="s">
        <v>1975</v>
      </c>
      <c r="D74" s="498" t="s">
        <v>1976</v>
      </c>
      <c r="E74" s="522">
        <v>0.2</v>
      </c>
      <c r="F74" s="522">
        <v>25</v>
      </c>
    </row>
    <row r="75" spans="1:7" ht="24">
      <c r="A75" s="522">
        <v>3</v>
      </c>
      <c r="B75" s="3779"/>
      <c r="C75" s="498" t="s">
        <v>1977</v>
      </c>
      <c r="D75" s="498" t="s">
        <v>1978</v>
      </c>
      <c r="E75" s="522">
        <v>0.2</v>
      </c>
      <c r="F75" s="522">
        <v>25</v>
      </c>
    </row>
    <row r="76" spans="1:7" ht="13.5">
      <c r="A76" s="522">
        <v>4</v>
      </c>
      <c r="B76" s="3779"/>
      <c r="C76" s="498" t="s">
        <v>1979</v>
      </c>
      <c r="D76" s="498" t="s">
        <v>1980</v>
      </c>
      <c r="E76" s="522">
        <v>0.15</v>
      </c>
      <c r="F76" s="522">
        <v>20</v>
      </c>
    </row>
    <row r="77" spans="1:7" ht="24">
      <c r="A77" s="522">
        <v>5</v>
      </c>
      <c r="B77" s="3779"/>
      <c r="C77" s="498" t="s">
        <v>1981</v>
      </c>
      <c r="D77" s="498" t="s">
        <v>1982</v>
      </c>
      <c r="E77" s="522">
        <v>0.15</v>
      </c>
      <c r="F77" s="522">
        <v>20</v>
      </c>
    </row>
    <row r="78" spans="1:7" ht="24">
      <c r="A78" s="522">
        <v>6</v>
      </c>
      <c r="B78" s="3779"/>
      <c r="C78" s="498" t="s">
        <v>1983</v>
      </c>
      <c r="D78" s="498" t="s">
        <v>1984</v>
      </c>
      <c r="E78" s="522">
        <v>0.15</v>
      </c>
      <c r="F78" s="522">
        <v>20</v>
      </c>
    </row>
    <row r="79" spans="1:7" ht="24">
      <c r="A79" s="522">
        <v>7</v>
      </c>
      <c r="B79" s="3779"/>
      <c r="C79" s="498" t="s">
        <v>1985</v>
      </c>
      <c r="D79" s="498" t="s">
        <v>1986</v>
      </c>
      <c r="E79" s="522">
        <v>0.15</v>
      </c>
      <c r="F79" s="522">
        <v>20</v>
      </c>
    </row>
    <row r="80" spans="1:7" ht="24">
      <c r="A80" s="522">
        <v>8</v>
      </c>
      <c r="B80" s="3779"/>
      <c r="C80" s="498" t="s">
        <v>1987</v>
      </c>
      <c r="D80" s="498" t="s">
        <v>1988</v>
      </c>
      <c r="E80" s="522">
        <v>0.1</v>
      </c>
      <c r="F80" s="522">
        <v>15</v>
      </c>
    </row>
    <row r="81" spans="1:6" ht="24">
      <c r="A81" s="522">
        <v>9</v>
      </c>
      <c r="B81" s="3779"/>
      <c r="C81" s="498" t="s">
        <v>1989</v>
      </c>
      <c r="D81" s="498" t="s">
        <v>1990</v>
      </c>
      <c r="E81" s="522">
        <v>0.1</v>
      </c>
      <c r="F81" s="522">
        <v>15</v>
      </c>
    </row>
    <row r="82" spans="1:6" ht="24">
      <c r="A82" s="522">
        <v>10</v>
      </c>
      <c r="B82" s="3779"/>
      <c r="C82" s="498" t="s">
        <v>1991</v>
      </c>
      <c r="D82" s="498" t="s">
        <v>1992</v>
      </c>
      <c r="E82" s="522">
        <v>0.1</v>
      </c>
      <c r="F82" s="522">
        <v>15</v>
      </c>
    </row>
    <row r="83" spans="1:6" ht="24">
      <c r="A83" s="522">
        <v>11</v>
      </c>
      <c r="B83" s="3779"/>
      <c r="C83" s="498" t="s">
        <v>1993</v>
      </c>
      <c r="D83" s="498" t="s">
        <v>1994</v>
      </c>
      <c r="E83" s="522">
        <v>0.1</v>
      </c>
      <c r="F83" s="522">
        <v>15</v>
      </c>
    </row>
    <row r="84" spans="1:6" ht="24">
      <c r="A84" s="522">
        <v>12</v>
      </c>
      <c r="B84" s="3779"/>
      <c r="C84" s="498" t="s">
        <v>1995</v>
      </c>
      <c r="D84" s="498" t="s">
        <v>1996</v>
      </c>
      <c r="E84" s="522">
        <v>0.1</v>
      </c>
      <c r="F84" s="522">
        <v>15</v>
      </c>
    </row>
    <row r="85" spans="1:6" ht="13.5">
      <c r="A85" s="522">
        <v>13</v>
      </c>
      <c r="B85" s="3779"/>
      <c r="C85" s="498" t="s">
        <v>1997</v>
      </c>
      <c r="D85" s="498" t="s">
        <v>1998</v>
      </c>
      <c r="E85" s="522">
        <v>0.1</v>
      </c>
      <c r="F85" s="522">
        <v>15</v>
      </c>
    </row>
    <row r="86" spans="1:6" ht="13.5">
      <c r="A86" s="522">
        <v>14</v>
      </c>
      <c r="B86" s="3779"/>
      <c r="C86" s="498" t="s">
        <v>1999</v>
      </c>
      <c r="D86" s="498" t="s">
        <v>2000</v>
      </c>
      <c r="E86" s="522">
        <v>0.1</v>
      </c>
      <c r="F86" s="522">
        <v>15</v>
      </c>
    </row>
    <row r="87" spans="1:6" ht="13.5">
      <c r="A87" s="522">
        <v>15</v>
      </c>
      <c r="B87" s="3779"/>
      <c r="C87" s="498" t="s">
        <v>2001</v>
      </c>
      <c r="D87" s="498" t="s">
        <v>2002</v>
      </c>
      <c r="E87" s="522">
        <v>0.1</v>
      </c>
      <c r="F87" s="522">
        <v>15</v>
      </c>
    </row>
    <row r="88" spans="1:6" ht="24">
      <c r="A88" s="522">
        <v>16</v>
      </c>
      <c r="B88" s="3779"/>
      <c r="C88" s="498" t="s">
        <v>2003</v>
      </c>
      <c r="D88" s="498" t="s">
        <v>2004</v>
      </c>
      <c r="E88" s="522">
        <v>0.1</v>
      </c>
      <c r="F88" s="522">
        <v>15</v>
      </c>
    </row>
    <row r="89" spans="1:6" ht="24">
      <c r="A89" s="522">
        <v>17</v>
      </c>
      <c r="B89" s="3778"/>
      <c r="C89" s="498" t="s">
        <v>2005</v>
      </c>
      <c r="D89" s="498" t="s">
        <v>2006</v>
      </c>
      <c r="E89" s="522">
        <v>0.1</v>
      </c>
      <c r="F89" s="522">
        <v>15</v>
      </c>
    </row>
    <row r="90" spans="1:6" ht="13.5">
      <c r="A90" s="522">
        <v>18</v>
      </c>
      <c r="B90" s="3777" t="s">
        <v>2007</v>
      </c>
      <c r="C90" s="498" t="s">
        <v>2008</v>
      </c>
      <c r="D90" s="498" t="s">
        <v>2009</v>
      </c>
      <c r="E90" s="522">
        <v>0.2</v>
      </c>
      <c r="F90" s="522">
        <v>25</v>
      </c>
    </row>
    <row r="91" spans="1:6" ht="24">
      <c r="A91" s="522">
        <v>19</v>
      </c>
      <c r="B91" s="3779"/>
      <c r="C91" s="498" t="s">
        <v>2010</v>
      </c>
      <c r="D91" s="498" t="s">
        <v>2011</v>
      </c>
      <c r="E91" s="522">
        <v>0.2</v>
      </c>
      <c r="F91" s="522">
        <v>25</v>
      </c>
    </row>
    <row r="92" spans="1:6" ht="13.5">
      <c r="A92" s="522">
        <v>20</v>
      </c>
      <c r="B92" s="3779"/>
      <c r="C92" s="498" t="s">
        <v>2012</v>
      </c>
      <c r="D92" s="498" t="s">
        <v>2013</v>
      </c>
      <c r="E92" s="522">
        <v>0.15</v>
      </c>
      <c r="F92" s="522">
        <v>20</v>
      </c>
    </row>
    <row r="93" spans="1:6" ht="13.5">
      <c r="A93" s="522">
        <v>21</v>
      </c>
      <c r="B93" s="3779"/>
      <c r="C93" s="498" t="s">
        <v>2014</v>
      </c>
      <c r="D93" s="498" t="s">
        <v>2015</v>
      </c>
      <c r="E93" s="522">
        <v>0.15</v>
      </c>
      <c r="F93" s="522">
        <v>20</v>
      </c>
    </row>
    <row r="94" spans="1:6" ht="13.5">
      <c r="A94" s="522">
        <v>22</v>
      </c>
      <c r="B94" s="3779"/>
      <c r="C94" s="498" t="s">
        <v>2016</v>
      </c>
      <c r="D94" s="498" t="s">
        <v>2017</v>
      </c>
      <c r="E94" s="522">
        <v>0.15</v>
      </c>
      <c r="F94" s="522">
        <v>20</v>
      </c>
    </row>
    <row r="95" spans="1:6" ht="36">
      <c r="A95" s="522">
        <v>23</v>
      </c>
      <c r="B95" s="3779"/>
      <c r="C95" s="498" t="s">
        <v>2018</v>
      </c>
      <c r="D95" s="498" t="s">
        <v>2019</v>
      </c>
      <c r="E95" s="522">
        <v>0.15</v>
      </c>
      <c r="F95" s="522">
        <v>20</v>
      </c>
    </row>
    <row r="96" spans="1:6" ht="13.5">
      <c r="A96" s="522">
        <v>24</v>
      </c>
      <c r="B96" s="3779"/>
      <c r="C96" s="498" t="s">
        <v>2020</v>
      </c>
      <c r="D96" s="498" t="s">
        <v>2021</v>
      </c>
      <c r="E96" s="522">
        <v>0.1</v>
      </c>
      <c r="F96" s="522">
        <v>15</v>
      </c>
    </row>
    <row r="97" spans="1:6" ht="13.5">
      <c r="A97" s="522">
        <v>25</v>
      </c>
      <c r="B97" s="3779"/>
      <c r="C97" s="498" t="s">
        <v>2022</v>
      </c>
      <c r="D97" s="498" t="s">
        <v>2023</v>
      </c>
      <c r="E97" s="522">
        <v>0.1</v>
      </c>
      <c r="F97" s="522">
        <v>15</v>
      </c>
    </row>
    <row r="98" spans="1:6" ht="24">
      <c r="A98" s="522">
        <v>26</v>
      </c>
      <c r="B98" s="3779"/>
      <c r="C98" s="498" t="s">
        <v>2024</v>
      </c>
      <c r="D98" s="498" t="s">
        <v>2025</v>
      </c>
      <c r="E98" s="522">
        <v>0.1</v>
      </c>
      <c r="F98" s="522">
        <v>15</v>
      </c>
    </row>
    <row r="99" spans="1:6" ht="24">
      <c r="A99" s="522">
        <v>27</v>
      </c>
      <c r="B99" s="3779"/>
      <c r="C99" s="498" t="s">
        <v>2026</v>
      </c>
      <c r="D99" s="498" t="s">
        <v>2027</v>
      </c>
      <c r="E99" s="522">
        <v>0.1</v>
      </c>
      <c r="F99" s="522">
        <v>15</v>
      </c>
    </row>
    <row r="100" spans="1:6" ht="13.5">
      <c r="A100" s="522">
        <v>28</v>
      </c>
      <c r="B100" s="3779"/>
      <c r="C100" s="498" t="s">
        <v>2028</v>
      </c>
      <c r="D100" s="498" t="s">
        <v>2029</v>
      </c>
      <c r="E100" s="522">
        <v>0.1</v>
      </c>
      <c r="F100" s="522">
        <v>15</v>
      </c>
    </row>
    <row r="101" spans="1:6" ht="13.5">
      <c r="A101" s="522">
        <v>29</v>
      </c>
      <c r="B101" s="3779"/>
      <c r="C101" s="498" t="s">
        <v>2030</v>
      </c>
      <c r="D101" s="498" t="s">
        <v>2031</v>
      </c>
      <c r="E101" s="522">
        <v>0.1</v>
      </c>
      <c r="F101" s="522">
        <v>15</v>
      </c>
    </row>
    <row r="102" spans="1:6" ht="13.5">
      <c r="A102" s="522">
        <v>30</v>
      </c>
      <c r="B102" s="3779"/>
      <c r="C102" s="498" t="s">
        <v>2032</v>
      </c>
      <c r="D102" s="498" t="s">
        <v>2033</v>
      </c>
      <c r="E102" s="522">
        <v>0.1</v>
      </c>
      <c r="F102" s="522">
        <v>15</v>
      </c>
    </row>
    <row r="103" spans="1:6" ht="24">
      <c r="A103" s="522">
        <v>31</v>
      </c>
      <c r="B103" s="3779"/>
      <c r="C103" s="498" t="s">
        <v>2034</v>
      </c>
      <c r="D103" s="498" t="s">
        <v>2035</v>
      </c>
      <c r="E103" s="522">
        <v>0.1</v>
      </c>
      <c r="F103" s="522">
        <v>15</v>
      </c>
    </row>
    <row r="104" spans="1:6" ht="24">
      <c r="A104" s="522">
        <v>32</v>
      </c>
      <c r="B104" s="3779"/>
      <c r="C104" s="498" t="s">
        <v>2036</v>
      </c>
      <c r="D104" s="498" t="s">
        <v>2037</v>
      </c>
      <c r="E104" s="522">
        <v>0.1</v>
      </c>
      <c r="F104" s="522">
        <v>15</v>
      </c>
    </row>
    <row r="105" spans="1:6" ht="24">
      <c r="A105" s="522">
        <v>33</v>
      </c>
      <c r="B105" s="3779"/>
      <c r="C105" s="498" t="s">
        <v>2038</v>
      </c>
      <c r="D105" s="498" t="s">
        <v>2039</v>
      </c>
      <c r="E105" s="522">
        <v>0.1</v>
      </c>
      <c r="F105" s="522">
        <v>15</v>
      </c>
    </row>
    <row r="106" spans="1:6" ht="24">
      <c r="A106" s="522">
        <v>34</v>
      </c>
      <c r="B106" s="3778"/>
      <c r="C106" s="498" t="s">
        <v>2040</v>
      </c>
      <c r="D106" s="498" t="s">
        <v>2041</v>
      </c>
      <c r="E106" s="522">
        <v>0.1</v>
      </c>
      <c r="F106" s="522">
        <v>15</v>
      </c>
    </row>
    <row r="107" spans="1:6" ht="24">
      <c r="A107" s="522">
        <v>35</v>
      </c>
      <c r="B107" s="3777" t="s">
        <v>2042</v>
      </c>
      <c r="C107" s="522" t="s">
        <v>2043</v>
      </c>
      <c r="D107" s="498" t="s">
        <v>2044</v>
      </c>
      <c r="E107" s="522">
        <v>0.15</v>
      </c>
      <c r="F107" s="522">
        <v>20</v>
      </c>
    </row>
    <row r="108" spans="1:6" ht="13.5">
      <c r="A108" s="522">
        <v>36</v>
      </c>
      <c r="B108" s="3779"/>
      <c r="C108" s="522" t="s">
        <v>2045</v>
      </c>
      <c r="D108" s="498" t="s">
        <v>2046</v>
      </c>
      <c r="E108" s="522">
        <v>0.15</v>
      </c>
      <c r="F108" s="522">
        <v>20</v>
      </c>
    </row>
    <row r="109" spans="1:6" ht="13.5">
      <c r="A109" s="522">
        <v>37</v>
      </c>
      <c r="B109" s="3779"/>
      <c r="C109" s="522" t="s">
        <v>2047</v>
      </c>
      <c r="D109" s="498" t="s">
        <v>2048</v>
      </c>
      <c r="E109" s="522">
        <v>0.15</v>
      </c>
      <c r="F109" s="522">
        <v>20</v>
      </c>
    </row>
    <row r="110" spans="1:6" ht="13.5">
      <c r="A110" s="522">
        <v>38</v>
      </c>
      <c r="B110" s="3779"/>
      <c r="C110" s="522" t="s">
        <v>2049</v>
      </c>
      <c r="D110" s="498" t="s">
        <v>2050</v>
      </c>
      <c r="E110" s="522">
        <v>0.1</v>
      </c>
      <c r="F110" s="522">
        <v>15</v>
      </c>
    </row>
    <row r="111" spans="1:6" ht="24">
      <c r="A111" s="522">
        <v>39</v>
      </c>
      <c r="B111" s="3779"/>
      <c r="C111" s="522" t="s">
        <v>2051</v>
      </c>
      <c r="D111" s="498" t="s">
        <v>2052</v>
      </c>
      <c r="E111" s="522">
        <v>0.1</v>
      </c>
      <c r="F111" s="522">
        <v>15</v>
      </c>
    </row>
    <row r="112" spans="1:6" ht="24">
      <c r="A112" s="522">
        <v>40</v>
      </c>
      <c r="B112" s="3778"/>
      <c r="C112" s="522" t="s">
        <v>2053</v>
      </c>
      <c r="D112" s="498" t="s">
        <v>2054</v>
      </c>
      <c r="E112" s="522">
        <v>0.1</v>
      </c>
      <c r="F112" s="522">
        <v>15</v>
      </c>
    </row>
    <row r="113" spans="1:6" ht="13.5">
      <c r="A113" s="522">
        <v>41</v>
      </c>
      <c r="B113" s="3776" t="s">
        <v>2055</v>
      </c>
      <c r="C113" s="522" t="s">
        <v>2056</v>
      </c>
      <c r="D113" s="498" t="s">
        <v>2057</v>
      </c>
      <c r="E113" s="522">
        <v>0.1</v>
      </c>
      <c r="F113" s="522">
        <v>15</v>
      </c>
    </row>
    <row r="114" spans="1:6" ht="13.5">
      <c r="A114" s="522">
        <v>42</v>
      </c>
      <c r="B114" s="3776"/>
      <c r="C114" s="522" t="s">
        <v>2058</v>
      </c>
      <c r="D114" s="498" t="s">
        <v>2059</v>
      </c>
      <c r="E114" s="522">
        <v>0.1</v>
      </c>
      <c r="F114" s="522">
        <v>15</v>
      </c>
    </row>
    <row r="115" spans="1:6" ht="24">
      <c r="A115" s="522">
        <v>43</v>
      </c>
      <c r="B115" s="3776"/>
      <c r="C115" s="522" t="s">
        <v>2060</v>
      </c>
      <c r="D115" s="498" t="s">
        <v>2061</v>
      </c>
      <c r="E115" s="522">
        <v>0.1</v>
      </c>
      <c r="F115" s="522">
        <v>15</v>
      </c>
    </row>
    <row r="116" spans="1:6" ht="13.5">
      <c r="A116" s="522">
        <v>44</v>
      </c>
      <c r="B116" s="3777" t="s">
        <v>2062</v>
      </c>
      <c r="C116" s="522" t="s">
        <v>2063</v>
      </c>
      <c r="D116" s="498" t="s">
        <v>2064</v>
      </c>
      <c r="E116" s="522">
        <v>0.1</v>
      </c>
      <c r="F116" s="522">
        <v>15</v>
      </c>
    </row>
    <row r="117" spans="1:6" ht="24">
      <c r="A117" s="522">
        <v>45</v>
      </c>
      <c r="B117" s="3778"/>
      <c r="C117" s="498" t="s">
        <v>2065</v>
      </c>
      <c r="D117" s="498" t="s">
        <v>2066</v>
      </c>
      <c r="E117" s="522">
        <v>0.1</v>
      </c>
      <c r="F117" s="522">
        <v>15</v>
      </c>
    </row>
    <row r="118" spans="1:6" ht="24">
      <c r="A118" s="522">
        <v>46</v>
      </c>
      <c r="B118" s="3777" t="s">
        <v>2067</v>
      </c>
      <c r="C118" s="522" t="s">
        <v>2068</v>
      </c>
      <c r="D118" s="498" t="s">
        <v>2069</v>
      </c>
      <c r="E118" s="522">
        <v>0.1</v>
      </c>
      <c r="F118" s="522">
        <v>15</v>
      </c>
    </row>
    <row r="119" spans="1:6" ht="24">
      <c r="A119" s="522">
        <v>47</v>
      </c>
      <c r="B119" s="3778"/>
      <c r="C119" s="522" t="s">
        <v>2070</v>
      </c>
      <c r="D119" s="498" t="s">
        <v>2071</v>
      </c>
      <c r="E119" s="522">
        <v>0.1</v>
      </c>
      <c r="F119" s="522">
        <v>15</v>
      </c>
    </row>
    <row r="120" spans="1:6" ht="13.5">
      <c r="A120" s="522">
        <v>48</v>
      </c>
      <c r="B120" s="3777" t="s">
        <v>2072</v>
      </c>
      <c r="C120" s="522" t="s">
        <v>2073</v>
      </c>
      <c r="D120" s="498" t="s">
        <v>2074</v>
      </c>
      <c r="E120" s="522">
        <v>0.1</v>
      </c>
      <c r="F120" s="522">
        <v>15</v>
      </c>
    </row>
    <row r="121" spans="1:6" ht="13.5">
      <c r="A121" s="522">
        <v>49</v>
      </c>
      <c r="B121" s="3778"/>
      <c r="C121" s="522" t="s">
        <v>2075</v>
      </c>
      <c r="D121" s="498" t="s">
        <v>2076</v>
      </c>
      <c r="E121" s="522">
        <v>0.1</v>
      </c>
      <c r="F121" s="522">
        <v>15</v>
      </c>
    </row>
    <row r="122" spans="1:6" ht="24">
      <c r="A122" s="522">
        <v>50</v>
      </c>
      <c r="B122" s="3776" t="s">
        <v>2077</v>
      </c>
      <c r="C122" s="522" t="s">
        <v>2078</v>
      </c>
      <c r="D122" s="498" t="s">
        <v>2079</v>
      </c>
      <c r="E122" s="522">
        <v>0.1</v>
      </c>
      <c r="F122" s="522">
        <v>15</v>
      </c>
    </row>
    <row r="123" spans="1:6" ht="24">
      <c r="A123" s="522">
        <v>51</v>
      </c>
      <c r="B123" s="3776"/>
      <c r="C123" s="522" t="s">
        <v>2080</v>
      </c>
      <c r="D123" s="498" t="s">
        <v>2081</v>
      </c>
      <c r="E123" s="522">
        <v>0.1</v>
      </c>
      <c r="F123" s="522">
        <v>15</v>
      </c>
    </row>
    <row r="124" spans="1:6" ht="24">
      <c r="A124" s="522">
        <v>52</v>
      </c>
      <c r="B124" s="3776" t="s">
        <v>2082</v>
      </c>
      <c r="C124" s="522" t="s">
        <v>2083</v>
      </c>
      <c r="D124" s="498" t="s">
        <v>2084</v>
      </c>
      <c r="E124" s="522">
        <v>0.1</v>
      </c>
      <c r="F124" s="522">
        <v>15</v>
      </c>
    </row>
    <row r="125" spans="1:6" ht="24">
      <c r="A125" s="522">
        <v>53</v>
      </c>
      <c r="B125" s="3776"/>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76" t="s">
        <v>2090</v>
      </c>
      <c r="C127" s="522" t="s">
        <v>2091</v>
      </c>
      <c r="D127" s="498" t="s">
        <v>2092</v>
      </c>
      <c r="E127" s="522">
        <v>0.1</v>
      </c>
      <c r="F127" s="522">
        <v>15</v>
      </c>
    </row>
    <row r="128" spans="1:6" ht="13.5">
      <c r="A128" s="522">
        <v>56</v>
      </c>
      <c r="B128" s="3776"/>
      <c r="C128" s="522" t="s">
        <v>2093</v>
      </c>
      <c r="D128" s="498" t="s">
        <v>2094</v>
      </c>
      <c r="E128" s="522">
        <v>0.1</v>
      </c>
      <c r="F128" s="522">
        <v>15</v>
      </c>
    </row>
    <row r="129" spans="1:6" ht="24">
      <c r="A129" s="522">
        <v>57</v>
      </c>
      <c r="B129" s="3776"/>
      <c r="C129" s="522" t="s">
        <v>2095</v>
      </c>
      <c r="D129" s="498" t="s">
        <v>2096</v>
      </c>
      <c r="E129" s="522">
        <v>0.1</v>
      </c>
      <c r="F129" s="522">
        <v>15</v>
      </c>
    </row>
    <row r="130" spans="1:6" ht="24">
      <c r="A130" s="522">
        <v>58</v>
      </c>
      <c r="B130" s="3776" t="s">
        <v>2097</v>
      </c>
      <c r="C130" s="522" t="s">
        <v>2098</v>
      </c>
      <c r="D130" s="498" t="s">
        <v>2099</v>
      </c>
      <c r="E130" s="522">
        <v>0.1</v>
      </c>
      <c r="F130" s="522">
        <v>15</v>
      </c>
    </row>
    <row r="131" spans="1:6" ht="13.5">
      <c r="A131" s="522">
        <v>59</v>
      </c>
      <c r="B131" s="3776"/>
      <c r="C131" s="522" t="s">
        <v>2100</v>
      </c>
      <c r="D131" s="498" t="s">
        <v>2101</v>
      </c>
      <c r="E131" s="522">
        <v>0.1</v>
      </c>
      <c r="F131" s="522">
        <v>15</v>
      </c>
    </row>
    <row r="132" spans="1:6" ht="13.5">
      <c r="A132" s="522">
        <v>60</v>
      </c>
      <c r="B132" s="3777" t="s">
        <v>2102</v>
      </c>
      <c r="C132" s="522" t="s">
        <v>2103</v>
      </c>
      <c r="D132" s="498" t="s">
        <v>2104</v>
      </c>
      <c r="E132" s="522">
        <v>0.1</v>
      </c>
      <c r="F132" s="522">
        <v>15</v>
      </c>
    </row>
    <row r="133" spans="1:6" ht="13.5">
      <c r="A133" s="522">
        <v>61</v>
      </c>
      <c r="B133" s="3778"/>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76" t="s">
        <v>2110</v>
      </c>
      <c r="C135" s="522" t="s">
        <v>2111</v>
      </c>
      <c r="D135" s="498" t="s">
        <v>2112</v>
      </c>
      <c r="E135" s="522">
        <v>0.1</v>
      </c>
      <c r="F135" s="522">
        <v>15</v>
      </c>
    </row>
    <row r="136" spans="1:6" ht="13.5">
      <c r="A136" s="522">
        <v>64</v>
      </c>
      <c r="B136" s="3776"/>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27850</v>
      </c>
      <c r="C2" s="382" t="s">
        <v>1550</v>
      </c>
      <c r="D2" s="379"/>
      <c r="E2" s="379"/>
      <c r="F2" s="379"/>
      <c r="G2" s="379"/>
    </row>
    <row r="3" spans="1:7" s="368" customFormat="1" ht="18" customHeight="1">
      <c r="A3" s="383" t="s">
        <v>2132</v>
      </c>
      <c r="B3" s="384">
        <f ca="1">ROUND(B2*10000/'数据-汇总表'!E3,0)</f>
        <v>834332</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7</v>
      </c>
      <c r="D10" s="406">
        <f>'数据-汇总表'!E6</f>
        <v>333.8</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7</v>
      </c>
      <c r="D19" s="414">
        <f>'数据-汇总表'!E3</f>
        <v>333.8</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3154</v>
      </c>
      <c r="D27" s="419">
        <f>C29</f>
        <v>3.0000000000000001E-3</v>
      </c>
      <c r="E27" s="420" t="s">
        <v>2158</v>
      </c>
      <c r="F27" s="434">
        <f>'数据-取费表'!Q16</f>
        <v>0.15</v>
      </c>
      <c r="G27" s="435" t="s">
        <v>2169</v>
      </c>
    </row>
    <row r="28" spans="1:7" s="370" customFormat="1" ht="13.5" customHeight="1">
      <c r="A28" s="424" t="s">
        <v>993</v>
      </c>
      <c r="B28" s="436" t="s">
        <v>2170</v>
      </c>
      <c r="C28" s="437">
        <f>ROUND((C5+C19+C20)*F27*'数据-取费表'!B21/'数据-取费表'!B20,0)</f>
        <v>3154</v>
      </c>
      <c r="D28" s="419"/>
      <c r="E28" s="420"/>
      <c r="F28" s="434"/>
      <c r="G28" s="435"/>
    </row>
    <row r="29" spans="1:7" s="370" customFormat="1" ht="13.5" customHeight="1">
      <c r="A29" s="424" t="s">
        <v>995</v>
      </c>
      <c r="B29" s="436" t="s">
        <v>2171</v>
      </c>
      <c r="C29" s="426">
        <f>ROUND(C21*F27*'数据-取费表'!B21/'数据-取费表'!B20,4)</f>
        <v>3.0000000000000001E-3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27709</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130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117</v>
      </c>
      <c r="D34" s="396"/>
      <c r="E34" s="399"/>
      <c r="F34" s="445">
        <f>IF('数据-取费表'!B24=0,1,'数据-取费表'!N16)</f>
        <v>1</v>
      </c>
      <c r="G34" s="398" t="s">
        <v>2181</v>
      </c>
    </row>
    <row r="35" spans="1:7" ht="13.5" customHeight="1">
      <c r="A35" s="424" t="s">
        <v>995</v>
      </c>
      <c r="B35" s="394" t="s">
        <v>2182</v>
      </c>
      <c r="C35" s="399">
        <f>ROUND(C34*F35,0)</f>
        <v>4</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7</v>
      </c>
      <c r="D37" s="396">
        <f>'数据-汇总表'!E3</f>
        <v>333.8</v>
      </c>
      <c r="E37" s="437">
        <f>'数据-取费表'!B35</f>
        <v>200</v>
      </c>
      <c r="F37" s="446"/>
      <c r="G37" s="448" t="s">
        <v>2187</v>
      </c>
    </row>
    <row r="38" spans="1:7" ht="13.5" customHeight="1">
      <c r="A38" s="424" t="s">
        <v>1062</v>
      </c>
      <c r="B38" s="394" t="s">
        <v>2145</v>
      </c>
      <c r="C38" s="399">
        <f>ROUND(C34*F38,0)</f>
        <v>2</v>
      </c>
      <c r="D38" s="399"/>
      <c r="E38" s="399"/>
      <c r="F38" s="446">
        <f>'数据-取费表'!B36</f>
        <v>0.02</v>
      </c>
      <c r="G38" s="398" t="s">
        <v>2183</v>
      </c>
    </row>
    <row r="39" spans="1:7" s="370" customFormat="1" ht="13.5" customHeight="1">
      <c r="A39" s="413" t="s">
        <v>1355</v>
      </c>
      <c r="B39" s="389" t="s">
        <v>2155</v>
      </c>
      <c r="C39" s="416">
        <f>ROUND(C33*F20,0)</f>
        <v>3</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4</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4</v>
      </c>
      <c r="D42" s="426"/>
      <c r="E42" s="426"/>
      <c r="F42" s="427"/>
      <c r="G42" s="3652" t="s">
        <v>2191</v>
      </c>
    </row>
    <row r="43" spans="1:7" ht="13.5" customHeight="1">
      <c r="A43" s="424" t="s">
        <v>995</v>
      </c>
      <c r="B43" s="394" t="s">
        <v>2163</v>
      </c>
      <c r="C43" s="426">
        <f ca="1">ROUND(IF('数据-取费表'!B22&lt;=1,C39*F22*'数据-取费表'!B21/2,C39*(POWER((1+F22),'数据-取费表'!B21/2)-1)),0)</f>
        <v>0</v>
      </c>
      <c r="D43" s="426"/>
      <c r="E43" s="426"/>
      <c r="F43" s="427"/>
      <c r="G43" s="3653"/>
    </row>
    <row r="44" spans="1:7" ht="13.5" customHeight="1">
      <c r="A44" s="424" t="s">
        <v>997</v>
      </c>
      <c r="B44" s="394" t="s">
        <v>2165</v>
      </c>
      <c r="C44" s="426">
        <f ca="1">ROUND(IF('数据-取费表'!B22&lt;=1,C40*F22*'数据-取费表'!B21/2,C40*(POWER((1+F22),'数据-取费表'!B21/2)-1)),4)</f>
        <v>6.9999999999999999E-4</v>
      </c>
      <c r="D44" s="426"/>
      <c r="E44" s="426"/>
      <c r="F44" s="427"/>
      <c r="G44" s="3654"/>
    </row>
    <row r="45" spans="1:7" s="370" customFormat="1" ht="13.5" customHeight="1">
      <c r="A45" s="413" t="s">
        <v>1407</v>
      </c>
      <c r="B45" s="432" t="s">
        <v>2168</v>
      </c>
      <c r="C45" s="433">
        <f>C46</f>
        <v>20</v>
      </c>
      <c r="D45" s="419">
        <f>C47</f>
        <v>3.0000000000000001E-3</v>
      </c>
      <c r="E45" s="420" t="s">
        <v>2189</v>
      </c>
      <c r="F45" s="434"/>
      <c r="G45" s="435" t="s">
        <v>2192</v>
      </c>
    </row>
    <row r="46" spans="1:7" s="370" customFormat="1" ht="13.5" customHeight="1">
      <c r="A46" s="424" t="s">
        <v>993</v>
      </c>
      <c r="B46" s="436" t="s">
        <v>2193</v>
      </c>
      <c r="C46" s="437">
        <f>ROUND((C33+C39)*F27,0)</f>
        <v>20</v>
      </c>
      <c r="D46" s="450"/>
      <c r="E46" s="420"/>
      <c r="F46" s="434"/>
      <c r="G46" s="435"/>
    </row>
    <row r="47" spans="1:7" s="370" customFormat="1" ht="13.5" customHeight="1">
      <c r="A47" s="424" t="s">
        <v>995</v>
      </c>
      <c r="B47" s="436" t="s">
        <v>2194</v>
      </c>
      <c r="C47" s="426">
        <f>ROUND(C40*F27,4)</f>
        <v>3.0000000000000001E-3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170</v>
      </c>
      <c r="D49" s="416"/>
      <c r="E49" s="416"/>
      <c r="F49" s="451"/>
      <c r="G49" s="421" t="s">
        <v>2198</v>
      </c>
    </row>
    <row r="50" spans="1:7" s="372" customFormat="1" ht="24">
      <c r="A50" s="413" t="s">
        <v>2199</v>
      </c>
      <c r="B50" s="389" t="s">
        <v>2200</v>
      </c>
      <c r="C50" s="416"/>
      <c r="D50" s="416"/>
      <c r="E50" s="416"/>
      <c r="F50" s="451">
        <f>IF('数据-取费表'!B24=0,'数据-取费表'!N16,1)</f>
        <v>0.83</v>
      </c>
      <c r="G50" s="435" t="s">
        <v>2201</v>
      </c>
    </row>
    <row r="51" spans="1:7" ht="16.5" customHeight="1">
      <c r="A51" s="413" t="s">
        <v>2202</v>
      </c>
      <c r="B51" s="389" t="s">
        <v>2203</v>
      </c>
      <c r="C51" s="416">
        <f ca="1">ROUND(C49*F50,0)</f>
        <v>141</v>
      </c>
      <c r="D51" s="416"/>
      <c r="E51" s="416"/>
      <c r="F51" s="451"/>
      <c r="G51" s="421" t="s">
        <v>2204</v>
      </c>
    </row>
    <row r="52" spans="1:7" s="369" customFormat="1" ht="15.75">
      <c r="A52" s="452" t="s">
        <v>2205</v>
      </c>
      <c r="B52" s="453"/>
      <c r="C52" s="454">
        <f ca="1">C31+C51</f>
        <v>27850</v>
      </c>
      <c r="D52" s="453"/>
      <c r="E52" s="453"/>
      <c r="F52" s="453"/>
      <c r="G52" s="455"/>
    </row>
    <row r="55" spans="1:7" ht="15">
      <c r="B55" s="456" t="s">
        <v>2206</v>
      </c>
      <c r="C55" s="457"/>
    </row>
    <row r="56" spans="1:7">
      <c r="B56" s="458" t="s">
        <v>2207</v>
      </c>
      <c r="C56" s="459">
        <f ca="1">ROUND(C51/C52,3)</f>
        <v>5.0000000000000001E-3</v>
      </c>
    </row>
    <row r="57" spans="1:7">
      <c r="B57" s="458" t="s">
        <v>2208</v>
      </c>
      <c r="C57" s="460">
        <f ca="1">1-C56</f>
        <v>0.995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B42" sqref="B42"/>
    </sheetView>
  </sheetViews>
  <sheetFormatPr defaultRowHeight="13.5"/>
  <sheetData>
    <row r="19" spans="5:6">
      <c r="E19" s="3436"/>
    </row>
    <row r="20" spans="5:6">
      <c r="E20" s="3436"/>
      <c r="F20" s="3788"/>
    </row>
    <row r="21" spans="5:6">
      <c r="E21" s="3436"/>
      <c r="F21" s="3788"/>
    </row>
    <row r="22" spans="5:6">
      <c r="E22" s="3436"/>
      <c r="F22" s="3788"/>
    </row>
    <row r="23" spans="5:6">
      <c r="E23" s="3436"/>
      <c r="F23" s="3788"/>
    </row>
    <row r="24" spans="5:6">
      <c r="E24" s="3436"/>
      <c r="F24" s="3788"/>
    </row>
    <row r="25" spans="5:6">
      <c r="E25" s="3436"/>
      <c r="F25" s="3788"/>
    </row>
    <row r="26" spans="5:6">
      <c r="E26" s="3436"/>
      <c r="F26" s="3788"/>
    </row>
    <row r="27" spans="5:6">
      <c r="E27" s="3436"/>
      <c r="F27" s="3788"/>
    </row>
    <row r="28" spans="5:6">
      <c r="E28" s="3436"/>
    </row>
    <row r="29" spans="5:6">
      <c r="E29" s="3436"/>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9" t="s">
        <v>2308</v>
      </c>
      <c r="B1" s="3789"/>
      <c r="C1" s="3789"/>
      <c r="D1" s="3789"/>
      <c r="E1" s="3789"/>
      <c r="F1" s="3789"/>
      <c r="G1" s="379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91"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92"/>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3" t="s">
        <v>2693</v>
      </c>
      <c r="B1" s="3793"/>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4" t="s">
        <v>2698</v>
      </c>
      <c r="B1" s="3794"/>
      <c r="C1" s="3794"/>
      <c r="D1" s="3794"/>
      <c r="E1" s="3794"/>
      <c r="F1" s="3795"/>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6" t="s">
        <v>2705</v>
      </c>
      <c r="S1" s="3797"/>
      <c r="T1" s="3797"/>
      <c r="U1" s="3797"/>
      <c r="V1" s="3797"/>
      <c r="W1" s="3797"/>
      <c r="X1" s="244"/>
      <c r="Y1" s="3796" t="s">
        <v>2706</v>
      </c>
      <c r="Z1" s="3797"/>
      <c r="AA1" s="3797"/>
      <c r="AB1" s="3797"/>
      <c r="AC1" s="3797"/>
      <c r="AD1" s="3797"/>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6" t="s">
        <v>2705</v>
      </c>
      <c r="S24" s="3797"/>
      <c r="T24" s="3797"/>
      <c r="U24" s="3797"/>
      <c r="V24" s="3797"/>
      <c r="W24" s="3797"/>
      <c r="X24" s="244"/>
      <c r="Y24" s="3796" t="s">
        <v>2706</v>
      </c>
      <c r="Z24" s="3797"/>
      <c r="AA24" s="3797"/>
      <c r="AB24" s="3797"/>
      <c r="AC24" s="3797"/>
      <c r="AD24" s="3797"/>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3378" t="s">
        <v>110</v>
      </c>
      <c r="E3" s="3378" t="s">
        <v>111</v>
      </c>
      <c r="F3" s="3378" t="s">
        <v>110</v>
      </c>
      <c r="G3" s="3378" t="s">
        <v>111</v>
      </c>
      <c r="H3" s="3378" t="s">
        <v>110</v>
      </c>
      <c r="I3" s="3378" t="s">
        <v>111</v>
      </c>
    </row>
    <row r="4" spans="1:9" ht="15">
      <c r="A4" s="3379" t="str">
        <f>项目基本情况!S2</f>
        <v>北京市房地产</v>
      </c>
      <c r="B4" s="3378">
        <f>项目基本情况!C17</f>
        <v>333.8</v>
      </c>
      <c r="C4" s="3378">
        <f>项目基本情况!C18</f>
        <v>0</v>
      </c>
      <c r="D4" s="3378">
        <f>结果表!D118</f>
        <v>0</v>
      </c>
      <c r="E4" s="3378">
        <f>结果表!E118</f>
        <v>0</v>
      </c>
      <c r="F4" s="3378">
        <f>结果表!F118</f>
        <v>0</v>
      </c>
      <c r="G4" s="3378">
        <f>结果表!G118</f>
        <v>0</v>
      </c>
      <c r="H4" s="3378" t="e">
        <f ca="1">结果表!H118</f>
        <v>#N/A</v>
      </c>
      <c r="I4" s="3378" t="e">
        <f ca="1">结果表!I118</f>
        <v>#N/A</v>
      </c>
    </row>
    <row r="5" spans="1:9" ht="30" customHeight="1">
      <c r="A5" s="3483" t="s">
        <v>112</v>
      </c>
      <c r="B5" s="3483"/>
      <c r="C5" s="3483"/>
      <c r="D5" s="3483" t="str">
        <f>结果表!D119</f>
        <v>零元整</v>
      </c>
      <c r="E5" s="3483"/>
      <c r="F5" s="3483" t="str">
        <f>结果表!F119</f>
        <v>零元整</v>
      </c>
      <c r="G5" s="3483"/>
      <c r="H5" s="3483" t="e">
        <f ca="1">结果表!H119</f>
        <v>#N/A</v>
      </c>
      <c r="I5" s="3483"/>
    </row>
    <row r="6" spans="1:9" ht="15.75">
      <c r="A6" s="3480" t="str">
        <f>结果表!A120</f>
        <v>估价师知悉的法定优先受偿款</v>
      </c>
      <c r="B6" s="3480"/>
      <c r="C6" s="3480"/>
      <c r="D6" s="3480">
        <f>结果表!D120</f>
        <v>0</v>
      </c>
      <c r="E6" s="3480"/>
      <c r="F6" s="3480"/>
      <c r="G6" s="3480"/>
      <c r="H6" s="3480"/>
      <c r="I6" s="3480"/>
    </row>
    <row r="7" spans="1:9" ht="15">
      <c r="A7" s="3483" t="s">
        <v>112</v>
      </c>
      <c r="B7" s="3483"/>
      <c r="C7" s="3483"/>
      <c r="D7" s="3484" t="str">
        <f>结果表!D121</f>
        <v>零元整</v>
      </c>
      <c r="E7" s="3485"/>
      <c r="F7" s="3485"/>
      <c r="G7" s="3485"/>
      <c r="H7" s="3485"/>
      <c r="I7" s="3486"/>
    </row>
    <row r="8" spans="1:9" ht="15.75">
      <c r="A8" s="3480" t="str">
        <f>结果表!A122</f>
        <v>房地产抵押价值</v>
      </c>
      <c r="B8" s="3480"/>
      <c r="C8" s="3480"/>
      <c r="D8" s="3480" t="e">
        <f ca="1">结果表!D122</f>
        <v>#N/A</v>
      </c>
      <c r="E8" s="3480"/>
      <c r="F8" s="3480"/>
      <c r="G8" s="3480"/>
      <c r="H8" s="3480"/>
      <c r="I8" s="3480"/>
    </row>
    <row r="9" spans="1:9" ht="15">
      <c r="A9" s="3483" t="s">
        <v>112</v>
      </c>
      <c r="B9" s="3483"/>
      <c r="C9" s="3483"/>
      <c r="D9" s="3483" t="e">
        <f ca="1">结果表!D123</f>
        <v>#N/A</v>
      </c>
      <c r="E9" s="3483"/>
      <c r="F9" s="3483"/>
      <c r="G9" s="3483"/>
      <c r="H9" s="3483"/>
      <c r="I9" s="3483"/>
    </row>
    <row r="10" spans="1:9" ht="15.75">
      <c r="A10" s="3480" t="str">
        <f>结果表!A124</f>
        <v/>
      </c>
      <c r="B10" s="3480"/>
      <c r="C10" s="3480"/>
      <c r="D10" s="3480" t="str">
        <f>结果表!D124</f>
        <v>——</v>
      </c>
      <c r="E10" s="3480"/>
      <c r="F10" s="3480"/>
      <c r="G10" s="3480"/>
      <c r="H10" s="3480"/>
      <c r="I10" s="3480"/>
    </row>
    <row r="11" spans="1:9" ht="15">
      <c r="A11" s="3483" t="s">
        <v>112</v>
      </c>
      <c r="B11" s="3483"/>
      <c r="C11" s="3483"/>
      <c r="D11" s="3483" t="e">
        <f>结果表!D125</f>
        <v>#VALUE!</v>
      </c>
      <c r="E11" s="3483"/>
      <c r="F11" s="3483"/>
      <c r="G11" s="3483"/>
      <c r="H11" s="3483"/>
      <c r="I11" s="3483"/>
    </row>
    <row r="12" spans="1:9" ht="15.75">
      <c r="A12" s="3480" t="str">
        <f>结果表!A126</f>
        <v/>
      </c>
      <c r="B12" s="3480"/>
      <c r="C12" s="3480"/>
      <c r="D12" s="3480" t="str">
        <f>结果表!D126</f>
        <v>——</v>
      </c>
      <c r="E12" s="3480"/>
      <c r="F12" s="3480"/>
      <c r="G12" s="3480"/>
      <c r="H12" s="3480"/>
      <c r="I12" s="3480"/>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380"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8" t="s">
        <v>2727</v>
      </c>
      <c r="C1" s="3808"/>
      <c r="D1" s="3808"/>
      <c r="E1" s="3808"/>
      <c r="F1" s="3808"/>
      <c r="G1" s="3805" t="s">
        <v>2728</v>
      </c>
      <c r="H1" s="3805"/>
      <c r="I1" s="3805"/>
      <c r="J1" s="3805"/>
      <c r="K1" s="3805"/>
      <c r="L1" s="3805"/>
      <c r="N1" s="3805" t="s">
        <v>2704</v>
      </c>
      <c r="O1" s="3805"/>
      <c r="P1" s="3805"/>
      <c r="Q1" s="3805"/>
      <c r="S1" s="3805" t="s">
        <v>2729</v>
      </c>
      <c r="T1" s="3805"/>
      <c r="U1" s="3805"/>
      <c r="V1" s="3805"/>
      <c r="X1" s="3804" t="s">
        <v>2705</v>
      </c>
      <c r="Y1" s="3805"/>
      <c r="Z1" s="3805"/>
      <c r="AA1" s="3805"/>
      <c r="AB1" s="3805"/>
      <c r="AD1" s="3804" t="s">
        <v>2706</v>
      </c>
      <c r="AE1" s="3805"/>
      <c r="AF1" s="3805"/>
      <c r="AG1" s="3805"/>
      <c r="AH1" s="3805"/>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9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9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80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79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9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80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79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9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80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8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79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9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9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80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79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9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80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79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9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80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79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9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80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79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9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80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79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9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80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79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9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80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79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9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80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79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9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80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798">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99">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99">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800">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798">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99">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99">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80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5" t="s">
        <v>114</v>
      </c>
      <c r="B1" s="3495"/>
      <c r="C1" s="3495"/>
      <c r="D1" s="3495"/>
    </row>
    <row r="2" spans="1:4" ht="18">
      <c r="A2" s="3496" t="s">
        <v>115</v>
      </c>
      <c r="B2" s="3496"/>
      <c r="C2" s="3496"/>
      <c r="D2" s="3496"/>
    </row>
    <row r="3" spans="1:4" ht="18.75">
      <c r="A3" s="3367" t="s">
        <v>116</v>
      </c>
      <c r="B3" s="3367" t="s">
        <v>117</v>
      </c>
      <c r="C3" s="3367" t="s">
        <v>118</v>
      </c>
      <c r="D3" s="3367" t="s">
        <v>119</v>
      </c>
    </row>
    <row r="4" spans="1:4" ht="56.25" customHeight="1">
      <c r="A4" s="3368" t="str">
        <f>项目基本情况!B4</f>
        <v>崔锴</v>
      </c>
      <c r="B4" s="3369">
        <f ca="1">项目基本情况!C4</f>
        <v>1120100036</v>
      </c>
      <c r="C4" s="3370"/>
      <c r="D4" s="3371" t="s">
        <v>120</v>
      </c>
    </row>
    <row r="5" spans="1:4" ht="56.25" customHeight="1">
      <c r="A5" s="3368">
        <f>项目基本情况!D4</f>
        <v>0</v>
      </c>
      <c r="B5" s="3369">
        <f>项目基本情况!E4</f>
        <v>0</v>
      </c>
      <c r="C5" s="3372"/>
      <c r="D5" s="3371" t="s">
        <v>120</v>
      </c>
    </row>
    <row r="6" spans="1:4" ht="18">
      <c r="A6" s="3496" t="s">
        <v>121</v>
      </c>
      <c r="B6" s="3496"/>
      <c r="C6" s="3496"/>
      <c r="D6" s="349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97" t="s">
        <v>126</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0" t="str">
        <f>IF(项目基本情况!B8="抵押","4.本次评估估价师所知悉的法定优先受偿款情况说明如下：","——")</f>
        <v>4.本次评估估价师所知悉的法定优先受偿款情况说明如下：</v>
      </c>
      <c r="B14" s="3493"/>
      <c r="C14" s="3493"/>
      <c r="D14" s="3493"/>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4" t="s">
        <v>127</v>
      </c>
      <c r="B16" s="3494"/>
      <c r="C16" s="3494"/>
      <c r="D16" s="3494"/>
    </row>
    <row r="17" spans="1:4" ht="144" customHeight="1">
      <c r="A17" s="3494" t="s">
        <v>128</v>
      </c>
      <c r="B17" s="3494"/>
      <c r="C17" s="3494"/>
      <c r="D17" s="3494"/>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375"/>
      <c r="B23" s="1377"/>
      <c r="C23" s="1377"/>
      <c r="D23" s="1377"/>
    </row>
    <row r="24" spans="1:4">
      <c r="A24" s="3375"/>
      <c r="B24" s="1377"/>
      <c r="C24" s="1377"/>
      <c r="D24" s="1377"/>
    </row>
    <row r="25" spans="1:4" ht="18.75">
      <c r="A25" s="3376" t="s">
        <v>130</v>
      </c>
    </row>
    <row r="26" spans="1:4" ht="18">
      <c r="A26" s="3377"/>
    </row>
    <row r="27" spans="1:4" ht="18.75">
      <c r="A27" s="3377" t="s">
        <v>131</v>
      </c>
    </row>
    <row r="30" spans="1:4" ht="18.75">
      <c r="D30" s="3376" t="s">
        <v>132</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500" t="s">
        <v>146</v>
      </c>
      <c r="B15" s="3505" t="s">
        <v>147</v>
      </c>
      <c r="C15" s="3499"/>
    </row>
    <row r="16" spans="1:7" ht="13.5">
      <c r="A16" s="3501"/>
      <c r="B16" s="3505" t="s">
        <v>148</v>
      </c>
      <c r="C16" s="3499"/>
    </row>
    <row r="17" spans="1:3" ht="13.5">
      <c r="A17" s="3501"/>
      <c r="B17" s="3504" t="s">
        <v>149</v>
      </c>
      <c r="C17" s="3355" t="s">
        <v>146</v>
      </c>
    </row>
    <row r="18" spans="1:3" ht="13.5">
      <c r="A18" s="3501"/>
      <c r="B18" s="3504"/>
      <c r="C18" s="3355" t="s">
        <v>150</v>
      </c>
    </row>
    <row r="19" spans="1:3" ht="13.5">
      <c r="A19" s="3501"/>
      <c r="B19" s="3504"/>
      <c r="C19" s="3355" t="s">
        <v>151</v>
      </c>
    </row>
    <row r="20" spans="1:3" ht="13.5">
      <c r="A20" s="3502"/>
      <c r="B20" s="3498" t="s">
        <v>152</v>
      </c>
      <c r="C20" s="3499"/>
    </row>
    <row r="21" spans="1:3" ht="13.5">
      <c r="A21" s="3356" t="s">
        <v>153</v>
      </c>
      <c r="B21" s="3357"/>
      <c r="C21" s="3358"/>
    </row>
    <row r="22" spans="1:3" ht="13.5">
      <c r="A22" s="3503" t="s">
        <v>154</v>
      </c>
      <c r="B22" s="3498" t="s">
        <v>155</v>
      </c>
      <c r="C22" s="3499"/>
    </row>
    <row r="23" spans="1:3" ht="13.5">
      <c r="A23" s="3503"/>
      <c r="B23" s="3498" t="s">
        <v>156</v>
      </c>
      <c r="C23" s="3499"/>
    </row>
    <row r="24" spans="1:3" ht="13.5">
      <c r="A24" s="3503"/>
      <c r="B24" s="3498" t="s">
        <v>157</v>
      </c>
      <c r="C24" s="3499"/>
    </row>
    <row r="25" spans="1:3" ht="13.5">
      <c r="A25" s="3503"/>
      <c r="B25" s="3504" t="s">
        <v>158</v>
      </c>
      <c r="C25" s="3355" t="s">
        <v>159</v>
      </c>
    </row>
    <row r="26" spans="1:3" ht="13.5">
      <c r="A26" s="3503"/>
      <c r="B26" s="3504"/>
      <c r="C26" s="3355" t="s">
        <v>160</v>
      </c>
    </row>
    <row r="27" spans="1:3" ht="13.5">
      <c r="A27" s="3503"/>
      <c r="B27" s="3504"/>
      <c r="C27" s="3355" t="s">
        <v>161</v>
      </c>
    </row>
    <row r="28" spans="1:3" ht="13.5">
      <c r="A28" s="3503"/>
      <c r="B28" s="3504"/>
      <c r="C28" s="3355" t="s">
        <v>162</v>
      </c>
    </row>
    <row r="29" spans="1:3" ht="13.5">
      <c r="A29" s="3503"/>
      <c r="B29" s="3504"/>
      <c r="C29" s="3355" t="s">
        <v>163</v>
      </c>
    </row>
    <row r="30" spans="1:3" ht="13.5">
      <c r="A30" s="3503"/>
      <c r="B30" s="3504"/>
      <c r="C30" s="3355" t="s">
        <v>164</v>
      </c>
    </row>
    <row r="31" spans="1:3" ht="13.5">
      <c r="A31" s="3503"/>
      <c r="B31" s="3504"/>
      <c r="C31" s="3355" t="s">
        <v>165</v>
      </c>
    </row>
    <row r="32" spans="1:3" ht="13.5">
      <c r="A32" s="3503"/>
      <c r="B32" s="3504"/>
      <c r="C32" s="3355" t="s">
        <v>166</v>
      </c>
    </row>
    <row r="33" spans="1:3" ht="13.5">
      <c r="A33" s="3503"/>
      <c r="B33" s="3504"/>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45555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t="str">
        <f ca="1">IF(C6&lt;B2,"已过期",1120050019)</f>
        <v>已过期</v>
      </c>
      <c r="C6" s="3325">
        <v>45410</v>
      </c>
      <c r="D6" s="3326" t="str">
        <f t="shared" ca="1" si="0"/>
        <v>王鹏（注册号：已过期）</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506" t="s">
        <v>197</v>
      </c>
      <c r="B17" s="3506"/>
      <c r="C17" s="3506"/>
      <c r="D17" s="3506"/>
      <c r="E17" s="3506"/>
      <c r="F17" s="3506"/>
      <c r="G17" s="3506"/>
      <c r="H17" s="3506"/>
    </row>
    <row r="18" spans="1:8" ht="24" customHeight="1">
      <c r="A18" s="3507" t="s">
        <v>198</v>
      </c>
      <c r="B18" s="3507"/>
      <c r="C18" s="3507"/>
      <c r="D18" s="3322"/>
      <c r="E18" s="3508" t="s">
        <v>199</v>
      </c>
      <c r="F18" s="3507"/>
      <c r="G18" s="3507"/>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成本法-120</vt:lpstr>
      <vt:lpstr>收益法-120</vt:lpstr>
      <vt:lpstr>比较法-办公</vt:lpstr>
      <vt:lpstr>比较法-商业</vt:lpstr>
      <vt:lpstr>结果表 (2)</vt:lpstr>
      <vt:lpstr>成本法-207</vt:lpstr>
      <vt:lpstr>基准地价修正</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2024-09-20T08:46:06Z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