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37" i="34" l="1"/>
  <c r="G37" i="34"/>
  <c r="E37" i="34"/>
  <c r="U17" i="1"/>
  <c r="J58" i="81" l="1"/>
  <c r="D105" i="34"/>
  <c r="E105" i="34" s="1"/>
  <c r="F105" i="34" s="1"/>
  <c r="O19" i="1"/>
  <c r="G22" i="4"/>
  <c r="G23" i="4" s="1"/>
  <c r="N17" i="1"/>
  <c r="N18" i="1" s="1"/>
  <c r="F19" i="6"/>
  <c r="N20" i="1" l="1"/>
  <c r="N6" i="1"/>
  <c r="C37" i="34"/>
  <c r="Y6" i="1"/>
  <c r="D3" i="4"/>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U54" i="79"/>
  <c r="AI54" i="79" s="1"/>
  <c r="AD55" i="79"/>
  <c r="S56" i="79"/>
  <c r="AG56" i="79" s="1"/>
  <c r="U58" i="79"/>
  <c r="AI58" i="79" s="1"/>
  <c r="AD59" i="79"/>
  <c r="Z3" i="79"/>
  <c r="T41" i="79"/>
  <c r="T37" i="79"/>
  <c r="T42" i="79"/>
  <c r="T43" i="79"/>
  <c r="T40" i="79"/>
  <c r="T39" i="79"/>
  <c r="T38" i="79"/>
  <c r="AR48" i="79"/>
  <c r="AR49" i="79" s="1"/>
  <c r="AR50" i="79" s="1"/>
  <c r="AR51" i="79" s="1"/>
  <c r="AR52" i="79" s="1"/>
  <c r="AR53" i="79" s="1"/>
  <c r="AR54" i="79" s="1"/>
  <c r="AR55" i="79" s="1"/>
  <c r="AR56" i="79" s="1"/>
  <c r="AR57" i="79" s="1"/>
  <c r="AR58" i="79" s="1"/>
  <c r="AR59" i="79" s="1"/>
  <c r="AR60" i="79" s="1"/>
  <c r="AD42" i="79"/>
  <c r="AD45" i="79"/>
  <c r="AD44" i="79"/>
  <c r="AD43" i="79"/>
  <c r="AD46" i="79"/>
  <c r="S40" i="79"/>
  <c r="AG40" i="79" s="1"/>
  <c r="S38" i="79"/>
  <c r="AG38" i="79" s="1"/>
  <c r="S43" i="79"/>
  <c r="AG43" i="79" s="1"/>
  <c r="S42" i="79"/>
  <c r="AG42" i="79" s="1"/>
  <c r="S37" i="79"/>
  <c r="AG37" i="79" s="1"/>
  <c r="S41" i="79"/>
  <c r="AG41" i="79" s="1"/>
  <c r="S39" i="79"/>
  <c r="AG39" i="79" s="1"/>
  <c r="U39" i="79"/>
  <c r="AI39" i="79" s="1"/>
  <c r="U43" i="79"/>
  <c r="AI43" i="79" s="1"/>
  <c r="U41" i="79"/>
  <c r="AI41" i="79" s="1"/>
  <c r="U42" i="79"/>
  <c r="AI42" i="79" s="1"/>
  <c r="U40" i="79"/>
  <c r="AI40"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3" i="79" l="1"/>
  <c r="W43" i="79"/>
  <c r="AK43" i="79" s="1"/>
  <c r="AH38" i="79"/>
  <c r="W38" i="79"/>
  <c r="AK38" i="79" s="1"/>
  <c r="W42" i="79"/>
  <c r="AK42" i="79" s="1"/>
  <c r="AH42" i="79"/>
  <c r="AH39" i="79"/>
  <c r="W39" i="79"/>
  <c r="AK39" i="79" s="1"/>
  <c r="W37" i="79"/>
  <c r="AK37" i="79" s="1"/>
  <c r="AH37" i="79"/>
  <c r="AH40" i="79"/>
  <c r="W40" i="79"/>
  <c r="AK40" i="79" s="1"/>
  <c r="W41" i="79"/>
  <c r="AK41" i="79" s="1"/>
  <c r="AH41" i="79"/>
  <c r="W50" i="79"/>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X38" i="71" s="1"/>
  <c r="F38" i="71"/>
  <c r="F39" i="71" s="1"/>
  <c r="F40" i="71" s="1"/>
  <c r="V40" i="71" s="1"/>
  <c r="Q37" i="71"/>
  <c r="P37" i="71"/>
  <c r="O37" i="71"/>
  <c r="N37" i="71"/>
  <c r="B38" i="71" s="1"/>
  <c r="B39" i="71" s="1"/>
  <c r="B40" i="71" s="1"/>
  <c r="S40" i="71" s="1"/>
  <c r="D37" i="71"/>
  <c r="Q36" i="71"/>
  <c r="P36" i="71"/>
  <c r="O36" i="71"/>
  <c r="N36" i="71"/>
  <c r="X36" i="71" s="1"/>
  <c r="Q35" i="71"/>
  <c r="P35" i="71"/>
  <c r="AA35" i="71" s="1"/>
  <c r="O35" i="71"/>
  <c r="Y35" i="71" s="1"/>
  <c r="Z35" i="71" s="1"/>
  <c r="N35" i="71"/>
  <c r="X34" i="71" s="1"/>
  <c r="Q34" i="71"/>
  <c r="AB34" i="71" s="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Q30" i="71"/>
  <c r="P30" i="71"/>
  <c r="O30" i="71"/>
  <c r="Y30" i="71"/>
  <c r="Z30" i="71" s="1"/>
  <c r="N30" i="71"/>
  <c r="Q29" i="71"/>
  <c r="F30" i="71" s="1"/>
  <c r="P29" i="71"/>
  <c r="O29" i="71"/>
  <c r="Y29" i="71" s="1"/>
  <c r="Z29" i="71" s="1"/>
  <c r="N29" i="71"/>
  <c r="D29" i="71"/>
  <c r="O28" i="7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AB28" i="71" s="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F21" i="37"/>
  <c r="AA21" i="37" s="1"/>
  <c r="H21" i="34"/>
  <c r="AB21" i="34" s="1"/>
  <c r="H21" i="33"/>
  <c r="U21" i="33" s="1"/>
  <c r="F21" i="33"/>
  <c r="H1" i="69"/>
  <c r="AC27" i="40"/>
  <c r="AB21" i="37"/>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s="1"/>
  <c r="U33" i="33"/>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AB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AZ160" i="3" s="1"/>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AZ275" i="3"/>
  <c r="AZ291" i="3"/>
  <c r="BO5" i="3"/>
  <c r="BM5" i="3"/>
  <c r="BJ5" i="3"/>
  <c r="BH5" i="3"/>
  <c r="BF5" i="3"/>
  <c r="BD5" i="3"/>
  <c r="AZ325" i="3"/>
  <c r="AC5" i="3"/>
  <c r="AZ506" i="3"/>
  <c r="AZ496" i="3"/>
  <c r="G548" i="3"/>
  <c r="G538" i="3"/>
  <c r="G520" i="3"/>
  <c r="G502" i="3"/>
  <c r="BS5" i="3"/>
  <c r="BP5" i="3"/>
  <c r="BN5" i="3"/>
  <c r="BK5" i="3"/>
  <c r="BI5" i="3"/>
  <c r="BG5" i="3"/>
  <c r="BE5" i="3"/>
  <c r="G17" i="3"/>
  <c r="BA17" i="3"/>
  <c r="BT5" i="3"/>
  <c r="AZ356" i="3"/>
  <c r="AZ368" i="3"/>
  <c r="BA15" i="3"/>
  <c r="BR5" i="3"/>
  <c r="AZ380" i="3"/>
  <c r="AZ499"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53" i="3"/>
  <c r="AZ248" i="3"/>
  <c r="AZ69" i="3"/>
  <c r="AZ110" i="3"/>
  <c r="F25" i="39"/>
  <c r="AA25" i="39" s="1"/>
  <c r="H27" i="36"/>
  <c r="U27" i="36" s="1"/>
  <c r="F27" i="36"/>
  <c r="AA27" i="36" s="1"/>
  <c r="H33" i="34"/>
  <c r="U33" i="34" s="1"/>
  <c r="F32" i="37"/>
  <c r="AA32" i="37"/>
  <c r="F20" i="36"/>
  <c r="AA20" i="36" s="1"/>
  <c r="J33" i="34"/>
  <c r="AC33" i="34" s="1"/>
  <c r="H25" i="39"/>
  <c r="U25" i="39" s="1"/>
  <c r="K9" i="1"/>
  <c r="M9" i="1" s="1"/>
  <c r="K6" i="1"/>
  <c r="AC26" i="33"/>
  <c r="W26" i="33"/>
  <c r="AB34" i="36"/>
  <c r="U34" i="36"/>
  <c r="AB33" i="36"/>
  <c r="U33" i="36"/>
  <c r="AC14" i="39"/>
  <c r="W14" i="39"/>
  <c r="AC41" i="40"/>
  <c r="W41" i="40"/>
  <c r="AZ586" i="3"/>
  <c r="W12" i="33"/>
  <c r="AC12" i="33"/>
  <c r="AA32" i="36"/>
  <c r="S32" i="36"/>
  <c r="BL14" i="3"/>
  <c r="U30" i="33"/>
  <c r="AC13" i="34"/>
  <c r="AA47" i="34"/>
  <c r="W28" i="37"/>
  <c r="S21" i="39"/>
  <c r="F12" i="33"/>
  <c r="H14" i="39"/>
  <c r="AB14" i="39"/>
  <c r="F41" i="40"/>
  <c r="AA41" i="40" s="1"/>
  <c r="BA14" i="3"/>
  <c r="AZ250" i="3"/>
  <c r="AZ297" i="3"/>
  <c r="AZ189"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A33" i="34"/>
  <c r="AC42" i="34"/>
  <c r="AB41" i="34"/>
  <c r="AA45" i="34"/>
  <c r="AA2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F34" i="67"/>
  <c r="F62" i="67" s="1"/>
  <c r="M20" i="67"/>
  <c r="F20" i="15"/>
  <c r="F72" i="15" s="1"/>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C40" i="34"/>
  <c r="AA19" i="34"/>
  <c r="S1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J27" i="33"/>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63" i="37"/>
  <c r="K63" i="37" s="1"/>
  <c r="L63" i="37" s="1"/>
  <c r="M63" i="37" s="1"/>
  <c r="J11" i="37"/>
  <c r="AC11" i="37"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2" i="15"/>
  <c r="AO13" i="1"/>
  <c r="L56" i="15"/>
  <c r="M8" i="15"/>
  <c r="M26" i="15"/>
  <c r="J15" i="67"/>
  <c r="F43" i="67"/>
  <c r="F36" i="67"/>
  <c r="F22" i="15"/>
  <c r="M22" i="15"/>
  <c r="F42" i="67"/>
  <c r="F40" i="67"/>
  <c r="F9" i="67"/>
  <c r="E12" i="76"/>
  <c r="F30" i="15"/>
  <c r="M6" i="67"/>
  <c r="B8" i="76"/>
  <c r="M26" i="67"/>
  <c r="L47" i="67"/>
  <c r="F4" i="73"/>
  <c r="M9" i="15"/>
  <c r="F32" i="15"/>
  <c r="F24" i="15"/>
  <c r="F3" i="73"/>
  <c r="F38" i="67"/>
  <c r="F37" i="67"/>
  <c r="F7" i="67"/>
  <c r="M8" i="67"/>
  <c r="M36" i="15"/>
  <c r="M23" i="67"/>
  <c r="C71" i="15"/>
  <c r="M31" i="15"/>
  <c r="D6" i="73"/>
  <c r="B7" i="76"/>
  <c r="F28" i="15"/>
  <c r="E7" i="76"/>
  <c r="E8" i="76"/>
  <c r="F20" i="31"/>
  <c r="F7" i="15"/>
  <c r="E9" i="76"/>
  <c r="F26" i="15"/>
  <c r="B11" i="76"/>
  <c r="C88" i="15"/>
  <c r="B12" i="76"/>
  <c r="F38" i="15"/>
  <c r="F6" i="15"/>
  <c r="C76" i="67"/>
  <c r="F6" i="67"/>
  <c r="E2" i="69"/>
  <c r="M29" i="67"/>
  <c r="M30" i="15"/>
  <c r="F13" i="67"/>
  <c r="F5" i="73"/>
  <c r="M28" i="67"/>
  <c r="M24" i="15"/>
  <c r="M9" i="67"/>
  <c r="E10" i="76"/>
  <c r="M22" i="67"/>
  <c r="F48" i="15"/>
  <c r="F7" i="73"/>
  <c r="B13" i="76"/>
  <c r="M24" i="67"/>
  <c r="F8" i="67"/>
  <c r="F9" i="15"/>
  <c r="F8" i="15"/>
  <c r="B9" i="76"/>
  <c r="F16" i="67"/>
  <c r="F6" i="73"/>
  <c r="F26" i="67"/>
  <c r="B10" i="76"/>
  <c r="M28" i="15"/>
  <c r="M6" i="15"/>
  <c r="E13" i="76"/>
  <c r="E11" i="76"/>
  <c r="E17" i="68" l="1"/>
  <c r="AC27" i="21"/>
  <c r="W27" i="21"/>
  <c r="AZ314" i="3"/>
  <c r="U13" i="21"/>
  <c r="AB13" i="21"/>
  <c r="AC29" i="21"/>
  <c r="W29" i="21"/>
  <c r="W45" i="21"/>
  <c r="AC45" i="21"/>
  <c r="W23" i="21"/>
  <c r="AA17" i="33"/>
  <c r="S37" i="21"/>
  <c r="U15" i="21"/>
  <c r="W15" i="21"/>
  <c r="AZ391" i="3"/>
  <c r="AZ313" i="3"/>
  <c r="AZ394" i="3"/>
  <c r="AC45" i="33"/>
  <c r="AZ535" i="3"/>
  <c r="AZ577" i="3"/>
  <c r="AZ557" i="3"/>
  <c r="AZ513" i="3"/>
  <c r="AZ575" i="3"/>
  <c r="AZ528" i="3"/>
  <c r="AZ566" i="3"/>
  <c r="AZ574" i="3"/>
  <c r="AZ582" i="3"/>
  <c r="AZ540" i="3"/>
  <c r="AZ502" i="3"/>
  <c r="AA14" i="34"/>
  <c r="U45" i="33"/>
  <c r="BL585" i="3"/>
  <c r="U23" i="21"/>
  <c r="AZ519" i="3"/>
  <c r="AZ573" i="3"/>
  <c r="B79" i="43"/>
  <c r="AZ419" i="3"/>
  <c r="W17" i="21"/>
  <c r="W34" i="39"/>
  <c r="AB20" i="36"/>
  <c r="AZ334" i="3"/>
  <c r="AZ390" i="3"/>
  <c r="AZ371" i="3"/>
  <c r="AZ351" i="3"/>
  <c r="AZ336" i="3"/>
  <c r="AZ305" i="3"/>
  <c r="AZ360" i="3"/>
  <c r="AZ515" i="3"/>
  <c r="AZ569" i="3"/>
  <c r="AZ571" i="3"/>
  <c r="AZ579" i="3"/>
  <c r="AZ516" i="3"/>
  <c r="AZ524" i="3"/>
  <c r="BL587" i="3"/>
  <c r="AZ587" i="3" s="1"/>
  <c r="AZ529" i="3"/>
  <c r="AZ585" i="3"/>
  <c r="G587" i="3"/>
  <c r="F9" i="33"/>
  <c r="AA9" i="33" s="1"/>
  <c r="H36" i="35"/>
  <c r="J12" i="36"/>
  <c r="H41" i="40"/>
  <c r="BL550" i="3"/>
  <c r="BA13" i="3"/>
  <c r="AZ13" i="3" s="1"/>
  <c r="BA401" i="3"/>
  <c r="BA403" i="3"/>
  <c r="AZ403" i="3" s="1"/>
  <c r="BA404" i="3"/>
  <c r="BA405" i="3"/>
  <c r="BL410" i="3"/>
  <c r="AZ410" i="3" s="1"/>
  <c r="G412" i="3"/>
  <c r="G418" i="3"/>
  <c r="G419" i="3"/>
  <c r="BA422" i="3"/>
  <c r="AZ422" i="3" s="1"/>
  <c r="G429" i="3"/>
  <c r="G430" i="3"/>
  <c r="BL431" i="3"/>
  <c r="G433" i="3"/>
  <c r="BL434" i="3"/>
  <c r="G437" i="3"/>
  <c r="BA437" i="3"/>
  <c r="AZ437" i="3" s="1"/>
  <c r="BA438" i="3"/>
  <c r="G443" i="3"/>
  <c r="G445" i="3"/>
  <c r="BA448" i="3"/>
  <c r="BA450" i="3"/>
  <c r="AZ450" i="3" s="1"/>
  <c r="G452" i="3"/>
  <c r="G453" i="3"/>
  <c r="BL453" i="3"/>
  <c r="BL454" i="3"/>
  <c r="BL16" i="3"/>
  <c r="AZ16" i="3" s="1"/>
  <c r="A15" i="62"/>
  <c r="B61" i="72" s="1"/>
  <c r="BL429" i="3"/>
  <c r="BL432" i="3"/>
  <c r="BL435" i="3"/>
  <c r="AZ435" i="3" s="1"/>
  <c r="BL436" i="3"/>
  <c r="BA445" i="3"/>
  <c r="BA447" i="3"/>
  <c r="AZ447" i="3" s="1"/>
  <c r="BA451" i="3"/>
  <c r="AZ451" i="3" s="1"/>
  <c r="AZ453" i="3"/>
  <c r="BL458" i="3"/>
  <c r="BL459" i="3"/>
  <c r="G461" i="3"/>
  <c r="AZ462" i="3"/>
  <c r="BA463" i="3"/>
  <c r="J40"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AZ429" i="3"/>
  <c r="AZ432" i="3"/>
  <c r="BA436" i="3"/>
  <c r="AZ458" i="3"/>
  <c r="H9" i="34"/>
  <c r="F12" i="34"/>
  <c r="S12" i="34" s="1"/>
  <c r="H43" i="34"/>
  <c r="AB43" i="34" s="1"/>
  <c r="J12" i="35"/>
  <c r="F25" i="37"/>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L457" i="3"/>
  <c r="AZ466"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G260" i="3"/>
  <c r="BL260" i="3"/>
  <c r="G262" i="3"/>
  <c r="BL264" i="3"/>
  <c r="G270" i="3"/>
  <c r="BL270" i="3"/>
  <c r="BA272" i="3"/>
  <c r="AZ272" i="3" s="1"/>
  <c r="BA286" i="3"/>
  <c r="AZ286" i="3" s="1"/>
  <c r="AZ125" i="3"/>
  <c r="AZ471" i="3"/>
  <c r="AZ487" i="3"/>
  <c r="AZ270" i="3"/>
  <c r="BA277" i="3"/>
  <c r="AZ277" i="3" s="1"/>
  <c r="BL277" i="3"/>
  <c r="BA281" i="3"/>
  <c r="AZ301" i="3"/>
  <c r="G440" i="3"/>
  <c r="BL441" i="3"/>
  <c r="BL442" i="3"/>
  <c r="BL444" i="3"/>
  <c r="AZ444" i="3" s="1"/>
  <c r="G447" i="3"/>
  <c r="BL448" i="3"/>
  <c r="G451" i="3"/>
  <c r="BA454" i="3"/>
  <c r="AZ454" i="3" s="1"/>
  <c r="BA457" i="3"/>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8" i="3"/>
  <c r="BL261" i="3"/>
  <c r="BA268" i="3"/>
  <c r="BA271" i="3"/>
  <c r="AZ271" i="3" s="1"/>
  <c r="BL271" i="3"/>
  <c r="BA274" i="3"/>
  <c r="BL274" i="3"/>
  <c r="BA276" i="3"/>
  <c r="BL278" i="3"/>
  <c r="BL438" i="3"/>
  <c r="BL439" i="3"/>
  <c r="BA441" i="3"/>
  <c r="AZ441" i="3" s="1"/>
  <c r="BL445" i="3"/>
  <c r="BL446" i="3"/>
  <c r="BL449" i="3"/>
  <c r="AZ449" i="3" s="1"/>
  <c r="BL450" i="3"/>
  <c r="BL452" i="3"/>
  <c r="G454" i="3"/>
  <c r="G455"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AZ238" i="3" s="1"/>
  <c r="G239" i="3"/>
  <c r="BL243" i="3"/>
  <c r="AZ243" i="3" s="1"/>
  <c r="G244" i="3"/>
  <c r="BA247" i="3"/>
  <c r="AZ247" i="3" s="1"/>
  <c r="BL247" i="3"/>
  <c r="BA249" i="3"/>
  <c r="AZ249" i="3" s="1"/>
  <c r="BL249" i="3"/>
  <c r="BA251" i="3"/>
  <c r="AZ251" i="3" s="1"/>
  <c r="BL251" i="3"/>
  <c r="BA253" i="3"/>
  <c r="BA256" i="3"/>
  <c r="AZ256" i="3" s="1"/>
  <c r="BL256" i="3"/>
  <c r="BA259" i="3"/>
  <c r="AZ259" i="3" s="1"/>
  <c r="BL262" i="3"/>
  <c r="BL263" i="3"/>
  <c r="AZ263" i="3" s="1"/>
  <c r="G264" i="3"/>
  <c r="BL266" i="3"/>
  <c r="BA269" i="3"/>
  <c r="AZ269" i="3" s="1"/>
  <c r="BA279" i="3"/>
  <c r="BA283" i="3"/>
  <c r="G280" i="3"/>
  <c r="G282" i="3"/>
  <c r="BL285" i="3"/>
  <c r="BL287" i="3"/>
  <c r="BA290" i="3"/>
  <c r="AZ290" i="3" s="1"/>
  <c r="G297" i="3"/>
  <c r="BL299" i="3"/>
  <c r="G300" i="3"/>
  <c r="BL113" i="3"/>
  <c r="BL115" i="3"/>
  <c r="AZ115" i="3" s="1"/>
  <c r="BA118" i="3"/>
  <c r="AZ118" i="3" s="1"/>
  <c r="BL118" i="3"/>
  <c r="BA122" i="3"/>
  <c r="AZ122" i="3" s="1"/>
  <c r="BL125" i="3"/>
  <c r="BL126" i="3"/>
  <c r="BA144" i="3"/>
  <c r="AZ144" i="3" s="1"/>
  <c r="BA164" i="3"/>
  <c r="AZ164" i="3" s="1"/>
  <c r="AZ64" i="3"/>
  <c r="AZ65" i="3"/>
  <c r="AZ103" i="3"/>
  <c r="B13" i="1"/>
  <c r="E13" i="1" s="1"/>
  <c r="K13" i="1"/>
  <c r="M13" i="1" s="1"/>
  <c r="O13" i="1" s="1"/>
  <c r="P13" i="1" s="1"/>
  <c r="P65" i="71"/>
  <c r="P66" i="71"/>
  <c r="T40" i="71"/>
  <c r="D40" i="71"/>
  <c r="C32" i="71"/>
  <c r="D31" i="71"/>
  <c r="B27" i="71"/>
  <c r="B26" i="71" s="1"/>
  <c r="S28" i="71"/>
  <c r="C55" i="71"/>
  <c r="D54" i="71"/>
  <c r="C64" i="71"/>
  <c r="D63" i="71"/>
  <c r="BA282" i="3"/>
  <c r="AZ282" i="3" s="1"/>
  <c r="BL282" i="3"/>
  <c r="BA284" i="3"/>
  <c r="BA302" i="3"/>
  <c r="AZ302" i="3" s="1"/>
  <c r="BA117" i="3"/>
  <c r="BA130" i="3"/>
  <c r="BL130" i="3"/>
  <c r="BA137" i="3"/>
  <c r="AZ137" i="3" s="1"/>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G24" i="3"/>
  <c r="G25" i="3"/>
  <c r="G27" i="3"/>
  <c r="BA27" i="3"/>
  <c r="AZ27" i="3" s="1"/>
  <c r="G30" i="3"/>
  <c r="BL30" i="3"/>
  <c r="BL31" i="3"/>
  <c r="AZ31" i="3" s="1"/>
  <c r="G37" i="3"/>
  <c r="G40" i="3"/>
  <c r="BL40" i="3"/>
  <c r="BL41" i="3"/>
  <c r="AZ41" i="3" s="1"/>
  <c r="BL45" i="3"/>
  <c r="BA48" i="3"/>
  <c r="BA49" i="3"/>
  <c r="BA51" i="3"/>
  <c r="AZ51" i="3" s="1"/>
  <c r="G55" i="3"/>
  <c r="BL56" i="3"/>
  <c r="BA58" i="3"/>
  <c r="BL59" i="3"/>
  <c r="AZ59" i="3" s="1"/>
  <c r="BL60" i="3"/>
  <c r="BA61" i="3"/>
  <c r="AZ61" i="3" s="1"/>
  <c r="BA68" i="3"/>
  <c r="BA71" i="3"/>
  <c r="AZ71" i="3" s="1"/>
  <c r="BA77" i="3"/>
  <c r="AZ77" i="3" s="1"/>
  <c r="BA80" i="3"/>
  <c r="BL84" i="3"/>
  <c r="BA91" i="3"/>
  <c r="AZ91" i="3" s="1"/>
  <c r="G95" i="3"/>
  <c r="G96" i="3"/>
  <c r="G106" i="3"/>
  <c r="BL106" i="3"/>
  <c r="AZ106" i="3" s="1"/>
  <c r="BA108" i="3"/>
  <c r="AZ108" i="3" s="1"/>
  <c r="BL111" i="3"/>
  <c r="G291" i="3"/>
  <c r="BA296" i="3"/>
  <c r="BA116" i="3"/>
  <c r="AZ116"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BA46" i="3"/>
  <c r="AZ46" i="3" s="1"/>
  <c r="BL49" i="3"/>
  <c r="BL50" i="3"/>
  <c r="AZ50" i="3" s="1"/>
  <c r="BL51" i="3"/>
  <c r="BL53" i="3"/>
  <c r="BA56" i="3"/>
  <c r="BA57" i="3"/>
  <c r="BL58" i="3"/>
  <c r="G60" i="3"/>
  <c r="BA60" i="3"/>
  <c r="BA63" i="3"/>
  <c r="BA66" i="3"/>
  <c r="BL73" i="3"/>
  <c r="BA74" i="3"/>
  <c r="AZ74" i="3" s="1"/>
  <c r="BA75" i="3"/>
  <c r="C47" i="71"/>
  <c r="D47" i="71" s="1"/>
  <c r="D46" i="71"/>
  <c r="C51" i="71"/>
  <c r="D50" i="71"/>
  <c r="BL255" i="3"/>
  <c r="G257" i="3"/>
  <c r="BL257" i="3"/>
  <c r="AZ257" i="3" s="1"/>
  <c r="BL258" i="3"/>
  <c r="G259" i="3"/>
  <c r="BA262" i="3"/>
  <c r="AZ262" i="3" s="1"/>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71" i="3"/>
  <c r="BA73" i="3"/>
  <c r="BL77" i="3"/>
  <c r="BA79" i="3"/>
  <c r="AZ79" i="3" s="1"/>
  <c r="BL86" i="3"/>
  <c r="AZ86" i="3" s="1"/>
  <c r="BA87" i="3"/>
  <c r="BA98" i="3"/>
  <c r="BL101" i="3"/>
  <c r="BL102" i="3"/>
  <c r="BA104" i="3"/>
  <c r="V24" i="71"/>
  <c r="E23" i="71"/>
  <c r="E22" i="71" s="1"/>
  <c r="E21" i="71" s="1"/>
  <c r="E20" i="71" s="1"/>
  <c r="V20" i="71" s="1"/>
  <c r="X28" i="71"/>
  <c r="AB21" i="33"/>
  <c r="B68" i="43"/>
  <c r="D39" i="71"/>
  <c r="C74" i="71"/>
  <c r="D74" i="71" s="1"/>
  <c r="AA3" i="71"/>
  <c r="C27" i="71"/>
  <c r="D62" i="71"/>
  <c r="U68" i="71"/>
  <c r="D30" i="71"/>
  <c r="Y27" i="71"/>
  <c r="Z27" i="71" s="1"/>
  <c r="X31" i="71"/>
  <c r="AA34" i="71"/>
  <c r="AB35" i="71"/>
  <c r="B51" i="71"/>
  <c r="B52" i="71" s="1"/>
  <c r="S52" i="71" s="1"/>
  <c r="B71" i="71"/>
  <c r="B70" i="71" s="1"/>
  <c r="BA84" i="3"/>
  <c r="AZ84" i="3" s="1"/>
  <c r="BL88" i="3"/>
  <c r="AZ88" i="3" s="1"/>
  <c r="BL90" i="3"/>
  <c r="BL92" i="3"/>
  <c r="G101" i="3"/>
  <c r="BA101" i="3"/>
  <c r="G109" i="3"/>
  <c r="BL112" i="3"/>
  <c r="AC21" i="37"/>
  <c r="U21" i="34"/>
  <c r="W18" i="36"/>
  <c r="B57" i="43"/>
  <c r="D60" i="71"/>
  <c r="D66" i="71"/>
  <c r="C70" i="71"/>
  <c r="D70"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C18" i="9"/>
  <c r="D18" i="9" s="1"/>
  <c r="G21" i="9" s="1"/>
  <c r="BB5" i="3"/>
  <c r="F6" i="1"/>
  <c r="AS6" i="1" s="1"/>
  <c r="F44" i="34"/>
  <c r="AA44" i="34" s="1"/>
  <c r="H44" i="34"/>
  <c r="U44" i="34" s="1"/>
  <c r="J44" i="34"/>
  <c r="AC44" i="34" s="1"/>
  <c r="W41" i="34"/>
  <c r="AB33" i="34"/>
  <c r="AB40" i="34"/>
  <c r="U39"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70" i="3"/>
  <c r="W37" i="39"/>
  <c r="F27" i="34"/>
  <c r="C23" i="39"/>
  <c r="U9" i="36"/>
  <c r="U14" i="37"/>
  <c r="H12" i="21"/>
  <c r="G526" i="3"/>
  <c r="AZ420" i="3"/>
  <c r="AZ424" i="3"/>
  <c r="AZ434" i="3"/>
  <c r="AZ436" i="3"/>
  <c r="AZ438" i="3"/>
  <c r="AZ446" i="3"/>
  <c r="G28" i="6"/>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F78" i="15"/>
  <c r="Q71" i="67"/>
  <c r="F75" i="15"/>
  <c r="C27" i="67"/>
  <c r="F71" i="67"/>
  <c r="C49" i="15"/>
  <c r="F77" i="15"/>
  <c r="N59" i="67"/>
  <c r="L59" i="67"/>
  <c r="M59" i="67"/>
  <c r="B13" i="70"/>
  <c r="M7" i="67"/>
  <c r="J6" i="67" s="1"/>
  <c r="F50" i="67"/>
  <c r="F68" i="67"/>
  <c r="F64" i="67"/>
  <c r="F80" i="15"/>
  <c r="D9" i="69"/>
  <c r="D15" i="80"/>
  <c r="D21" i="12"/>
  <c r="D15" i="68"/>
  <c r="F8" i="81"/>
  <c r="D3" i="73"/>
  <c r="D7" i="73"/>
  <c r="L57" i="15"/>
  <c r="D4" i="73"/>
  <c r="M28" i="81"/>
  <c r="F7" i="81"/>
  <c r="F32" i="81"/>
  <c r="M24" i="81"/>
  <c r="C88" i="81"/>
  <c r="C38" i="15"/>
  <c r="L57" i="81"/>
  <c r="F26" i="81"/>
  <c r="F9" i="81"/>
  <c r="M9" i="81"/>
  <c r="M22" i="81"/>
  <c r="M36" i="81"/>
  <c r="F52" i="81"/>
  <c r="L56" i="81"/>
  <c r="C16" i="67"/>
  <c r="F38" i="81"/>
  <c r="F24" i="81"/>
  <c r="F6" i="81"/>
  <c r="F22" i="81"/>
  <c r="M31" i="81"/>
  <c r="F28" i="81"/>
  <c r="M30" i="81"/>
  <c r="L48" i="67"/>
  <c r="C71" i="81"/>
  <c r="M8" i="81"/>
  <c r="M26" i="81"/>
  <c r="M6" i="81"/>
  <c r="F30" i="81"/>
  <c r="F48" i="81"/>
  <c r="D5" i="73"/>
  <c r="N68" i="15" l="1"/>
  <c r="L68" i="15"/>
  <c r="W12" i="35"/>
  <c r="AC12" i="35"/>
  <c r="AC17" i="39"/>
  <c r="AZ268" i="3"/>
  <c r="W44" i="34"/>
  <c r="C86" i="71"/>
  <c r="D86" i="71" s="1"/>
  <c r="D87" i="71"/>
  <c r="C26" i="71"/>
  <c r="D26" i="71" s="1"/>
  <c r="D27" i="71"/>
  <c r="AZ66" i="3"/>
  <c r="AZ45" i="3"/>
  <c r="AZ58" i="3"/>
  <c r="AZ49" i="3"/>
  <c r="AZ284" i="3"/>
  <c r="AZ332" i="3"/>
  <c r="AZ274" i="3"/>
  <c r="AZ244" i="3"/>
  <c r="AZ239" i="3"/>
  <c r="AZ425" i="3"/>
  <c r="AZ448" i="3"/>
  <c r="AZ405" i="3"/>
  <c r="AB36" i="35"/>
  <c r="U36" i="35"/>
  <c r="S44" i="34"/>
  <c r="AZ401" i="3"/>
  <c r="Q16" i="1"/>
  <c r="F27" i="69" s="1"/>
  <c r="C47" i="69" s="1"/>
  <c r="D45" i="69" s="1"/>
  <c r="AZ296" i="3"/>
  <c r="C36" i="71"/>
  <c r="D35" i="71"/>
  <c r="AZ101" i="3"/>
  <c r="AZ53" i="3"/>
  <c r="AZ150" i="3"/>
  <c r="AZ75" i="3"/>
  <c r="AZ63" i="3"/>
  <c r="AZ57" i="3"/>
  <c r="AZ182" i="3"/>
  <c r="AZ130" i="3"/>
  <c r="AZ283" i="3"/>
  <c r="AZ464" i="3"/>
  <c r="AZ459" i="3"/>
  <c r="AZ210" i="3"/>
  <c r="AZ415" i="3"/>
  <c r="AZ398" i="3"/>
  <c r="AZ404" i="3"/>
  <c r="AC40" i="40"/>
  <c r="W40" i="40"/>
  <c r="W12" i="36"/>
  <c r="AC12" i="36"/>
  <c r="B20" i="31"/>
  <c r="B21" i="31" s="1"/>
  <c r="H16" i="1"/>
  <c r="D43" i="71"/>
  <c r="C44" i="71"/>
  <c r="AZ29" i="3"/>
  <c r="C52" i="71"/>
  <c r="D51" i="71"/>
  <c r="C56" i="71"/>
  <c r="D55" i="71"/>
  <c r="T32" i="71"/>
  <c r="D32" i="71"/>
  <c r="AZ483" i="3"/>
  <c r="AZ457" i="3"/>
  <c r="AZ491" i="3"/>
  <c r="AA25" i="37"/>
  <c r="S25" i="37"/>
  <c r="AB9" i="34"/>
  <c r="U9" i="34"/>
  <c r="U41" i="40"/>
  <c r="AB41" i="40"/>
  <c r="E14" i="6"/>
  <c r="E65" i="39" s="1"/>
  <c r="J7" i="36"/>
  <c r="W7" i="36" s="1"/>
  <c r="C67" i="40"/>
  <c r="L8" i="81"/>
  <c r="E8" i="81"/>
  <c r="E66" i="15"/>
  <c r="L14" i="15"/>
  <c r="C59" i="15"/>
  <c r="C61" i="15" s="1"/>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19" i="15"/>
  <c r="C38" i="81"/>
  <c r="F30" i="83" l="1"/>
  <c r="F27" i="68"/>
  <c r="C29" i="68" s="1"/>
  <c r="E62" i="40"/>
  <c r="F28" i="82"/>
  <c r="C30" i="82" s="1"/>
  <c r="F27" i="11"/>
  <c r="C29" i="11" s="1"/>
  <c r="D27" i="11" s="1"/>
  <c r="E58" i="40"/>
  <c r="F27" i="80"/>
  <c r="F52" i="80" s="1"/>
  <c r="E61" i="40"/>
  <c r="AC7" i="36"/>
  <c r="V36" i="36" s="1"/>
  <c r="I36" i="36" s="1"/>
  <c r="F45" i="69"/>
  <c r="C29" i="69"/>
  <c r="D27" i="69" s="1"/>
  <c r="D56" i="71"/>
  <c r="T56" i="71"/>
  <c r="T44" i="71"/>
  <c r="D44" i="71"/>
  <c r="T36" i="71"/>
  <c r="D36" i="71"/>
  <c r="T52" i="71"/>
  <c r="D52" i="71"/>
  <c r="S7" i="36"/>
  <c r="E16" i="6"/>
  <c r="AC6" i="3"/>
  <c r="G16" i="1"/>
  <c r="F12" i="39" s="1"/>
  <c r="U7" i="36"/>
  <c r="Q61" i="15"/>
  <c r="F1" i="15"/>
  <c r="J9" i="81"/>
  <c r="C10" i="15"/>
  <c r="C5" i="15" s="1"/>
  <c r="C62" i="15"/>
  <c r="Q84" i="15"/>
  <c r="C29" i="80"/>
  <c r="K16" i="1"/>
  <c r="C10" i="80"/>
  <c r="E53" i="40"/>
  <c r="E58" i="39"/>
  <c r="E67" i="39" s="1"/>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Q61" i="81"/>
  <c r="F1" i="81"/>
  <c r="C34" i="12"/>
  <c r="J6" i="15"/>
  <c r="J5" i="15" s="1"/>
  <c r="C58" i="15"/>
  <c r="C16" i="15"/>
  <c r="C54"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F41" i="67"/>
  <c r="M29" i="81"/>
  <c r="AE6" i="1"/>
  <c r="M27" i="67"/>
  <c r="M29" i="15"/>
  <c r="F29" i="15"/>
  <c r="F52" i="68" l="1"/>
  <c r="C54" i="80"/>
  <c r="B14" i="74"/>
  <c r="B1" i="7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4" i="67"/>
  <c r="C39" i="81"/>
  <c r="C17" i="67"/>
  <c r="C39" i="15"/>
  <c r="C36" i="81"/>
  <c r="F29" i="81"/>
  <c r="I33" i="1" l="1"/>
  <c r="K36" i="1"/>
  <c r="B4" i="52"/>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C36" i="15"/>
  <c r="B6" i="76"/>
  <c r="D31" i="6" l="1"/>
  <c r="D18" i="80"/>
  <c r="H34" i="34"/>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B34" i="34" l="1"/>
  <c r="T49" i="34" s="1"/>
  <c r="G49" i="34" s="1"/>
  <c r="U34" i="34"/>
  <c r="AA34" i="34"/>
  <c r="R49" i="34" s="1"/>
  <c r="S34" i="34"/>
  <c r="AC34" i="34"/>
  <c r="V49" i="34" s="1"/>
  <c r="I49" i="34" s="1"/>
  <c r="I53" i="34" s="1"/>
  <c r="J53" i="34" s="1"/>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G53" i="34" l="1"/>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67"/>
  <c r="F21" i="15"/>
  <c r="M21" i="15"/>
  <c r="F35" i="67"/>
  <c r="F21" i="81"/>
  <c r="I54" i="34" l="1"/>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6"/>
  <c r="F2" i="35"/>
  <c r="F2" i="37"/>
  <c r="L60" i="81"/>
  <c r="D2" i="34" l="1"/>
  <c r="B2" i="34" s="1"/>
  <c r="B3" i="34"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2" i="1"/>
  <c r="C20" i="9"/>
  <c r="C19" i="9"/>
  <c r="AO10" i="1"/>
  <c r="AO11" i="1"/>
  <c r="C102" i="9" l="1"/>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D20" i="9"/>
  <c r="AO7" i="1"/>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l="1"/>
  <c r="N119" i="9"/>
  <c r="H118" i="9" s="1"/>
  <c r="C34" i="9"/>
  <c r="M117" i="9"/>
  <c r="M119" i="9"/>
  <c r="F118" i="9" s="1"/>
  <c r="G118" i="9" s="1"/>
  <c r="B3" i="40"/>
  <c r="B4" i="40"/>
  <c r="B5" i="40"/>
  <c r="C95" i="15"/>
  <c r="C94" i="15" s="1"/>
  <c r="D34" i="9"/>
  <c r="AO8" i="1"/>
  <c r="AO6" i="1"/>
  <c r="AO9" i="1"/>
  <c r="L119" i="9" l="1"/>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<sst xmlns="http://schemas.openxmlformats.org/spreadsheetml/2006/main" count="9097" uniqueCount="4051">
  <si>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</si>
  <si>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</si>
  <si>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</si>
  <si>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</si>
  <si>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</si>
  <si>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</si>
  <si>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</si>
  <si>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</si>
  <si>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</si>
  <si>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</si>
  <si>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</si>
  <si>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</si>
  <si>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</si>
  <si>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</si>
  <si>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</si>
  <si>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</si>
  <si>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</si>
  <si>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</si>
  <si>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</si>
  <si>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</si>
  <si>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</si>
  <si>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</si>
  <si>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</si>
  <si>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</si>
  <si>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</si>
  <si>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</si>
  <si>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</si>
  <si>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</si>
  <si>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</si>
  <si>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</si>
  <si>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</si>
  <si>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</si>
  <si>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</si>
  <si>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</si>
  <si>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</si>
  <si>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</si>
  <si>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</si>
  <si>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</si>
  <si>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</si>
  <si>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</si>
  <si>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</si>
  <si>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</si>
  <si>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</si>
  <si>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</si>
  <si>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</si>
  <si>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</si>
  <si>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</si>
  <si>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</si>
  <si>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</si>
  <si>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</si>
  <si>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</si>
  <si>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</si>
  <si>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</si>
  <si>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</si>
  <si>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</si>
  <si>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</si>
  <si>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</si>
  <si>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</si>
  <si>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</si>
  <si>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</si>
  <si>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</si>
  <si>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</si>
  <si>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</si>
  <si>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</si>
  <si>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</si>
  <si>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</si>
  <si>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</si>
  <si>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</si>
  <si>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</si>
  <si>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</si>
  <si>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</si>
  <si>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</si>
  <si>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</si>
  <si>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</si>
  <si>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</si>
  <si>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</si>
  <si>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</si>
  <si>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</si>
  <si>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</si>
  <si>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</si>
  <si>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</si>
  <si>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</si>
  <si>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</si>
  <si>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</si>
  <si>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</si>
  <si>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</si>
  <si>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</si>
  <si>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</si>
  <si>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</si>
  <si>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</si>
  <si>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</si>
  <si>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</si>
  <si>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</si>
  <si>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</si>
  <si>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</si>
  <si>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</si>
  <si>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</si>
  <si>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</si>
  <si>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</si>
  <si>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</si>
  <si>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</si>
  <si>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</si>
  <si>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</si>
  <si>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</si>
  <si>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</si>
  <si>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</si>
  <si>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</si>
  <si>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</si>
  <si>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</si>
  <si>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</si>
  <si>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</si>
  <si>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</si>
  <si>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</si>
  <si>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</si>
  <si>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</si>
  <si>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</si>
  <si>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</si>
  <si>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</si>
  <si>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</si>
  <si>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</si>
  <si>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</si>
  <si>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</si>
  <si>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</si>
  <si>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</si>
  <si>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</si>
  <si>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</si>
  <si>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</si>
  <si>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</si>
  <si>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</si>
  <si>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</si>
  <si>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</si>
  <si>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</si>
  <si>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</si>
  <si>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</si>
  <si>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</si>
  <si>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</si>
  <si>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</si>
  <si>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</si>
  <si>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</si>
  <si>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</si>
  <si>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</si>
  <si>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</si>
  <si>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</si>
  <si>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</si>
  <si>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</si>
  <si>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</si>
  <si>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</si>
  <si>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</si>
  <si>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</si>
  <si>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</si>
  <si>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</si>
  <si>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</si>
  <si>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</si>
  <si>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</si>
  <si>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</si>
  <si>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</si>
  <si>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</si>
  <si>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</si>
  <si>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</si>
  <si>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</si>
  <si>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</si>
  <si>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</si>
  <si>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</si>
  <si>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</si>
  <si>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</si>
  <si>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</si>
  <si>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</si>
  <si>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</si>
  <si>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</si>
  <si>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</si>
  <si>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</si>
  <si>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</si>
  <si>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</si>
  <si>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</si>
  <si>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</si>
  <si>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</si>
  <si>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</si>
  <si>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</si>
  <si>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</si>
  <si>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</si>
  <si>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</si>
  <si>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</si>
  <si>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</si>
  <si>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</si>
  <si>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</si>
  <si>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</si>
  <si>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</si>
  <si>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</si>
  <si>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</si>
  <si>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</si>
  <si>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</si>
  <si>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</si>
  <si>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</si>
  <si>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</si>
  <si>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</si>
  <si>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</si>
  <si>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</si>
  <si>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</si>
  <si>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</si>
  <si>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</si>
  <si>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</si>
  <si>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</si>
  <si>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</si>
  <si>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</si>
  <si>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</si>
  <si>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</si>
  <si>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</si>
  <si>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</si>
  <si>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</si>
  <si>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</si>
  <si>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</si>
  <si>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</si>
  <si>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</si>
  <si>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</si>
  <si>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</si>
  <si>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</si>
  <si>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</si>
  <si>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</si>
  <si>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</si>
  <si>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</si>
  <si>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</si>
  <si>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</si>
  <si>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</si>
  <si>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</si>
  <si>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</si>
  <si>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</si>
  <si>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</si>
  <si>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</si>
  <si>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</si>
  <si>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</si>
  <si>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</si>
  <si>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</si>
  <si>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</si>
  <si>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</si>
  <si>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</si>
  <si>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</si>
  <si>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</si>
  <si>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</si>
  <si>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</si>
  <si>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</si>
  <si>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</si>
  <si>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</si>
  <si>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</si>
  <si>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</si>
  <si>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</si>
  <si>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</si>
  <si>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</si>
  <si>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</si>
  <si>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</si>
  <si>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</si>
  <si>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</si>
  <si>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</si>
  <si>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</si>
  <si>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</si>
  <si>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</si>
  <si>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</si>
  <si>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</si>
  <si>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</si>
  <si>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</si>
  <si>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</si>
  <si>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</si>
  <si>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</si>
  <si>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</si>
  <si>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</si>
  <si>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</si>
  <si>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</si>
  <si>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</si>
  <si>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</si>
  <si>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</si>
  <si>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</si>
  <si>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</si>
  <si>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</si>
  <si>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</si>
  <si>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</si>
  <si>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</si>
  <si>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</si>
  <si>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</si>
  <si>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</si>
  <si>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</si>
  <si>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</si>
  <si>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</si>
  <si>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</si>
  <si>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</si>
  <si>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</si>
  <si>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</si>
  <si>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</si>
  <si>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</si>
  <si>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</si>
  <si>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</si>
  <si>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</si>
  <si>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</si>
  <si>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</si>
  <si>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</si>
  <si>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</si>
  <si>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</si>
  <si>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</si>
  <si>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</si>
  <si>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</si>
  <si>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</si>
  <si>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</si>
  <si>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</si>
  <si>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</si>
  <si>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</si>
  <si>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</si>
  <si>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</si>
  <si>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</si>
  <si>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</si>
  <si>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</si>
  <si>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</si>
  <si>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</si>
  <si>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</si>
  <si>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</si>
  <si>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</si>
  <si>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</si>
  <si>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</si>
  <si>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</si>
  <si>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</si>
  <si>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</si>
  <si>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</si>
  <si>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</si>
  <si>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</si>
  <si>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</si>
  <si>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</si>
  <si>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</si>
  <si>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</si>
  <si>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</si>
  <si>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</si>
  <si>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</si>
  <si>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</si>
  <si>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</si>
  <si>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</si>
  <si>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</si>
  <si>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</si>
  <si>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</si>
  <si>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</si>
  <si>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</si>
  <si>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</si>
  <si>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</si>
  <si>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</si>
  <si>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</si>
  <si>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</si>
  <si>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</si>
  <si>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</si>
  <si>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</si>
  <si>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</si>
  <si>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</si>
  <si>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</si>
  <si>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</si>
  <si>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</si>
  <si>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</si>
  <si>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</si>
  <si>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</si>
  <si>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</si>
  <si>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</si>
  <si>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</si>
  <si>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</si>
  <si>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</si>
  <si>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</si>
  <si>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</si>
  <si>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</si>
  <si>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</si>
  <si>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</si>
  <si>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</si>
  <si>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</si>
  <si>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</si>
  <si>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</si>
  <si>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</si>
  <si>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</si>
  <si>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</si>
  <si>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</si>
  <si>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</si>
  <si>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</si>
  <si>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</si>
  <si>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</si>
  <si>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</si>
  <si>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</si>
  <si>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</si>
  <si>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</si>
  <si>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</si>
  <si>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</si>
  <si>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</si>
  <si>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</si>
  <si>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</si>
  <si>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</si>
  <si>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</si>
  <si>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</si>
  <si>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</si>
  <si>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</si>
  <si>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</si>
  <si>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</si>
  <si>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</si>
  <si>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</si>
  <si>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</si>
  <si>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</si>
  <si>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</si>
  <si>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</si>
  <si>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</si>
  <si>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</si>
  <si>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</si>
  <si>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</si>
  <si>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</si>
  <si>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</si>
  <si>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</si>
  <si>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</si>
  <si>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</si>
  <si>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</si>
  <si>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</si>
  <si>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</si>
  <si>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</si>
  <si>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</si>
  <si>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</si>
  <si>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</si>
  <si>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</si>
  <si>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</si>
  <si>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</si>
  <si>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</si>
  <si>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</si>
  <si>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</si>
  <si>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</si>
  <si>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</si>
  <si>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</si>
  <si>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</si>
  <si>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</si>
  <si>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</si>
  <si>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</si>
  <si>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</si>
  <si>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</si>
  <si>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</si>
  <si>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</si>
  <si>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</si>
  <si>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</si>
  <si>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</si>
  <si>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</si>
  <si>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</si>
  <si>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</si>
  <si>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</si>
  <si>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</si>
  <si>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</si>
  <si>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</si>
  <si>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</si>
  <si>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</si>
  <si>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</si>
  <si>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</si>
  <si>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</si>
  <si>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</si>
  <si>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</si>
  <si>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</si>
  <si>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</si>
  <si>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</si>
  <si>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</si>
  <si>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</si>
  <si>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</si>
  <si>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</si>
  <si>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</si>
  <si>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</si>
  <si>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</si>
  <si>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</si>
  <si>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</si>
  <si>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</si>
  <si>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</si>
  <si>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</si>
  <si>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</si>
  <si>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</si>
  <si>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</si>
  <si>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</si>
  <si>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</si>
  <si>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</si>
  <si>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</si>
  <si>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</si>
  <si>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</si>
  <si>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</si>
  <si>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</si>
  <si>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</si>
  <si>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</si>
  <si>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</si>
  <si>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</si>
  <si>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</si>
  <si>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</si>
  <si>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</si>
  <si>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</si>
  <si>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</si>
  <si>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</si>
  <si>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</si>
  <si>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</si>
  <si>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</si>
  <si>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</si>
  <si>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</si>
  <si>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</si>
  <si>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</si>
  <si>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</si>
  <si>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</si>
  <si>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</si>
  <si>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</si>
  <si>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</si>
  <si>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</si>
  <si>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</si>
  <si>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</si>
  <si>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</si>
  <si>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</si>
  <si>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</si>
  <si>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</si>
  <si>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</si>
  <si>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</si>
  <si>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</si>
  <si>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</si>
  <si>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</si>
  <si>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</si>
  <si>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</si>
  <si>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</si>
  <si>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</si>
  <si>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</si>
  <si>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</si>
  <si>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</si>
  <si>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</si>
  <si>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</si>
  <si>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</si>
  <si>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</si>
  <si>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</si>
  <si>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</si>
  <si>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</si>
  <si>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</si>
  <si>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</si>
  <si>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</si>
  <si>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</si>
  <si>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</si>
  <si>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</si>
  <si>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</si>
  <si>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</si>
  <si>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</si>
  <si>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</si>
  <si>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</si>
  <si>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</si>
  <si>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</si>
  <si>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</si>
  <si>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</si>
  <si>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</si>
  <si>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</si>
  <si>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</si>
  <si>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</si>
  <si>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</si>
  <si>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</si>
  <si>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</si>
  <si>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</si>
  <si>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</si>
  <si>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</si>
  <si>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</si>
  <si>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</si>
  <si>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</si>
  <si>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</si>
  <si>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</si>
  <si>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</si>
  <si>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</si>
  <si>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</si>
  <si>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</si>
  <si>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</si>
  <si>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</si>
  <si>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</si>
  <si>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</si>
  <si>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</si>
  <si>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</si>
  <si>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</si>
  <si>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</si>
  <si>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</si>
  <si>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</si>
  <si>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</si>
  <si>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</si>
  <si>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</si>
  <si>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</si>
  <si>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</si>
  <si>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</si>
  <si>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</si>
  <si>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</si>
  <si>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</si>
  <si>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</si>
  <si>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</si>
  <si>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</si>
  <si>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</si>
  <si>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</si>
  <si>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</si>
  <si>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</si>
  <si>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</si>
  <si>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</si>
  <si>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</si>
  <si>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</si>
  <si>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</si>
  <si>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</si>
  <si>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</si>
  <si>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</si>
  <si>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</si>
  <si>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</si>
  <si>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</si>
  <si>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</si>
  <si>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</si>
  <si>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</si>
  <si>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</si>
  <si>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</si>
  <si>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</si>
  <si>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</si>
  <si>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</si>
  <si>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</si>
  <si>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</si>
  <si>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</si>
  <si>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</si>
  <si>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</si>
  <si>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</si>
  <si>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</si>
  <si>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</si>
  <si>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</si>
  <si>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</si>
  <si>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</si>
  <si>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</si>
  <si>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</si>
  <si>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</si>
  <si>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</si>
  <si>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</si>
  <si>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</si>
  <si>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</si>
  <si>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</si>
  <si>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</si>
  <si>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</si>
  <si>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</si>
  <si>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</si>
  <si>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</si>
  <si>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</si>
  <si>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</si>
  <si>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</si>
  <si>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</si>
  <si>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</si>
  <si>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</si>
  <si>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</si>
  <si>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</si>
  <si>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</si>
  <si>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</si>
  <si>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</si>
  <si>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</si>
  <si>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</si>
  <si>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</si>
  <si>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</si>
  <si>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</si>
  <si>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</si>
  <si>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</si>
  <si>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</si>
  <si>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</si>
  <si>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</si>
  <si>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</si>
  <si>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</si>
  <si>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</si>
  <si>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</si>
  <si>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</si>
  <si>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</si>
  <si>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</si>
  <si>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</si>
  <si>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</si>
  <si>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</si>
  <si>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</si>
  <si>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</si>
  <si>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</si>
  <si>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</si>
  <si>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</si>
  <si>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</si>
  <si>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</si>
  <si>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</si>
  <si>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</si>
  <si>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</si>
  <si>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</si>
  <si>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</si>
  <si>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</si>
  <si>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</si>
  <si>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</si>
  <si>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</si>
  <si>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</si>
  <si>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</si>
  <si>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</si>
  <si>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</si>
  <si>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</si>
  <si>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</si>
  <si>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</si>
  <si>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</si>
  <si>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</si>
  <si>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</si>
  <si>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</si>
  <si>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</si>
  <si>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</si>
  <si>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</si>
  <si>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</si>
  <si>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</si>
  <si>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</si>
  <si>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</si>
  <si>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</si>
  <si>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</si>
  <si>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</si>
  <si>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</si>
  <si>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</si>
  <si>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</si>
  <si>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</si>
  <si>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</si>
  <si>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</si>
  <si>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</si>
  <si>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</si>
  <si>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</si>
  <si>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</si>
  <si>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</si>
  <si>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</si>
  <si>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</si>
  <si>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</si>
  <si>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</si>
  <si>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</si>
  <si>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</si>
  <si>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</si>
  <si>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</si>
  <si>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</si>
  <si>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</si>
  <si>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</si>
  <si>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</si>
  <si>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</si>
  <si>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</si>
  <si>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</si>
  <si>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</si>
  <si>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</si>
  <si>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</si>
  <si>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</si>
  <si>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</si>
  <si>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</si>
  <si>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</si>
  <si>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</si>
  <si>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</si>
  <si>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</si>
  <si>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</si>
  <si>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</si>
  <si>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</si>
  <si>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</si>
  <si>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</si>
  <si>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</si>
  <si>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</si>
  <si>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</si>
  <si>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</si>
  <si>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</si>
  <si>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</si>
  <si>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</si>
  <si>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</si>
  <si>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</si>
  <si>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</si>
  <si>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</si>
  <si>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</si>
  <si>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</si>
  <si>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</si>
  <si>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</si>
  <si>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</si>
  <si>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</si>
  <si>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</si>
  <si>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</si>
  <si>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</si>
  <si>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</si>
  <si>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</si>
  <si>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</si>
  <si>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</si>
  <si>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</si>
  <si>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</si>
  <si>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</si>
  <si>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</si>
  <si>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</si>
  <si>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</si>
  <si>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</si>
  <si>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</si>
  <si>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</si>
  <si>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</si>
  <si>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</si>
  <si>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</si>
  <si>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</si>
  <si>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</si>
  <si>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</si>
  <si>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</si>
  <si>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</si>
  <si>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</si>
  <si>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</si>
  <si>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</si>
  <si>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</si>
  <si>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</si>
  <si>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</si>
  <si>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</si>
  <si>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</si>
  <si>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</si>
  <si>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</si>
  <si>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</si>
  <si>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</si>
  <si>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</si>
  <si>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</si>
  <si>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</si>
  <si>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</si>
  <si>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</si>
  <si>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</si>
  <si>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</si>
  <si>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</si>
  <si>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</si>
  <si>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</si>
  <si>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</si>
  <si>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</si>
  <si>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</si>
  <si>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</si>
  <si>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</si>
  <si>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</si>
  <si>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</si>
  <si>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</si>
  <si>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</si>
  <si>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</si>
  <si>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</si>
  <si>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</si>
  <si>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</si>
  <si>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</si>
  <si>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</si>
  <si>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</si>
  <si>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</si>
  <si>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</si>
  <si>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</si>
  <si>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</si>
  <si>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</si>
  <si>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</si>
  <si>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</si>
  <si>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</si>
  <si>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</si>
  <si>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</si>
  <si>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</si>
  <si>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</si>
  <si>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</si>
  <si>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</si>
  <si>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</si>
  <si>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</si>
  <si>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</si>
  <si>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</si>
  <si>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</si>
  <si>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</si>
  <si>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</si>
  <si>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</si>
  <si>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</si>
  <si>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</si>
  <si>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</si>
  <si>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</si>
  <si>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</si>
  <si>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</si>
  <si>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</si>
  <si>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</si>
  <si>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</si>
  <si>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</si>
  <si>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</si>
  <si>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</si>
  <si>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</si>
  <si>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</si>
  <si>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</si>
  <si>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</si>
  <si>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</si>
  <si>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</si>
  <si>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</si>
  <si>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</si>
  <si>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</si>
  <si>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</si>
  <si>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</si>
  <si>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</si>
  <si>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</si>
  <si>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</si>
  <si>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</si>
  <si>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</si>
  <si>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</si>
  <si>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</si>
  <si>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</si>
  <si>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</si>
  <si>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</si>
  <si>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</si>
  <si>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</si>
  <si>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</si>
  <si>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</si>
  <si>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</si>
  <si>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</si>
  <si>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</si>
  <si>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</si>
  <si>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</si>
  <si>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</si>
  <si>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</si>
  <si>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</si>
  <si>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</si>
  <si>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</si>
  <si>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</si>
  <si>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</si>
  <si>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</si>
  <si>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</si>
  <si>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</si>
  <si>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</si>
  <si>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</si>
  <si>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</si>
  <si>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</si>
  <si>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</si>
  <si>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</si>
  <si>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</si>
  <si>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</si>
  <si>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</si>
  <si>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</si>
  <si>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</si>
  <si>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</si>
  <si>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</si>
  <si>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</si>
  <si>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</si>
  <si>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</si>
  <si>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</si>
  <si>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</si>
  <si>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</si>
  <si>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</si>
  <si>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</si>
  <si>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</si>
  <si>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</si>
  <si>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</si>
  <si>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</si>
  <si>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</si>
  <si>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</si>
  <si>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</si>
  <si>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</si>
  <si>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</si>
  <si>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</si>
  <si>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</si>
  <si>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</si>
  <si>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</si>
  <si>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</si>
  <si>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</si>
  <si>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</si>
  <si>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</si>
  <si>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</si>
  <si>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</si>
  <si>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</si>
  <si>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</si>
  <si>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</si>
  <si>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</si>
  <si>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</si>
  <si>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</si>
  <si>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</si>
  <si>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</si>
  <si>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</si>
  <si>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</si>
  <si>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</si>
  <si>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</si>
  <si>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</si>
  <si>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</si>
  <si>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</si>
  <si>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</si>
  <si>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</si>
  <si>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</si>
  <si>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</si>
  <si>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</si>
  <si>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</si>
  <si>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</si>
  <si>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</si>
  <si>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</si>
  <si>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</si>
  <si>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</si>
  <si>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</si>
  <si>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</si>
  <si>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</si>
  <si>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</si>
  <si>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</si>
  <si>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</si>
  <si>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</si>
  <si>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</si>
  <si>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</si>
  <si>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</si>
  <si>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</si>
  <si>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</si>
  <si>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</si>
  <si>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</si>
  <si>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</si>
  <si>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</si>
  <si>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</si>
  <si>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</si>
  <si>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</si>
  <si>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</si>
  <si>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</si>
  <si>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</si>
  <si>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</si>
  <si>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</si>
  <si>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</si>
  <si>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</si>
  <si>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</si>
  <si>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</si>
  <si>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</si>
  <si>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</si>
  <si>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</si>
  <si>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</si>
  <si>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</si>
  <si>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</si>
  <si>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</si>
  <si>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</si>
  <si>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</si>
  <si>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</si>
  <si>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</si>
  <si>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</si>
  <si>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</si>
  <si>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</si>
  <si>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</si>
  <si>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</si>
  <si>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</si>
  <si>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</si>
  <si>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</si>
  <si>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</si>
  <si>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</si>
  <si>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</si>
  <si>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</si>
  <si>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</si>
  <si>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</si>
  <si>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</si>
  <si>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</si>
  <si>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</si>
  <si>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</si>
  <si>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</si>
  <si>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</si>
  <si>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</si>
  <si>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</si>
  <si>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</si>
  <si>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</si>
  <si>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</si>
  <si>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</si>
  <si>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</si>
  <si>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</si>
  <si>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</si>
  <si>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</si>
  <si>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</si>
  <si>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</si>
  <si>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</si>
  <si>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</si>
  <si>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</si>
  <si>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</si>
  <si>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</si>
  <si>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</si>
  <si>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</si>
  <si>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</si>
  <si>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</si>
  <si>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</si>
  <si>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</si>
  <si>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</si>
  <si>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</si>
  <si>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</si>
  <si>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</si>
  <si>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</si>
  <si>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</si>
  <si>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</si>
  <si>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</si>
  <si>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</si>
  <si>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</si>
  <si>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</si>
  <si>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</si>
  <si>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</si>
  <si>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</si>
  <si>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</si>
  <si>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</si>
  <si>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</si>
  <si>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</si>
  <si>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</si>
  <si>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</si>
  <si>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</si>
  <si>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</si>
  <si>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</si>
  <si>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</si>
  <si>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</si>
  <si>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</si>
  <si>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</si>
  <si>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</si>
  <si>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</si>
  <si>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</si>
  <si>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</si>
  <si>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</si>
  <si>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</si>
  <si>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</si>
  <si>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</si>
  <si>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</si>
  <si>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</si>
  <si>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</si>
  <si>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</si>
  <si>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</si>
  <si>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</si>
  <si>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</si>
  <si>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</si>
  <si>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</si>
  <si>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</si>
  <si>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</si>
  <si>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</si>
  <si>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</si>
  <si>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</si>
  <si>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</si>
  <si>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</si>
  <si>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</si>
  <si>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</si>
  <si>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</si>
  <si>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</si>
  <si>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</si>
  <si>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</si>
  <si>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</si>
  <si>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</si>
  <si>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</si>
  <si>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</si>
  <si>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</si>
  <si>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</si>
  <si>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</si>
  <si>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</si>
  <si>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</si>
  <si>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</si>
  <si>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</si>
  <si>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</si>
  <si>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</si>
  <si>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</si>
  <si>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</si>
  <si>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</si>
  <si>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</si>
  <si>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</si>
  <si>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</si>
  <si>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</si>
  <si>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</si>
  <si>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</si>
  <si>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</si>
  <si>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</si>
  <si>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</si>
  <si>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</si>
  <si>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</si>
  <si>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</si>
  <si>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</si>
  <si>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</si>
  <si>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</si>
  <si>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</si>
  <si>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</si>
  <si>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</si>
  <si>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</si>
  <si>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</si>
  <si>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</si>
  <si>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</si>
  <si>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</si>
  <si>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</si>
  <si>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</si>
  <si>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</si>
  <si>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</si>
  <si>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</si>
  <si>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</si>
  <si>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</si>
  <si>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</si>
  <si>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</si>
  <si>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</si>
  <si>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</si>
  <si>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</si>
  <si>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</si>
  <si>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</si>
  <si>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</si>
  <si>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</si>
  <si>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</si>
  <si>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</si>
  <si>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</si>
  <si>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</si>
  <si>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</si>
  <si>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</si>
  <si>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</si>
  <si>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</si>
  <si>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</si>
  <si>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</si>
  <si>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</si>
  <si>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</si>
  <si>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</si>
  <si>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</si>
  <si>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</si>
  <si>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</si>
  <si>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</si>
  <si>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</si>
  <si>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</si>
  <si>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</si>
  <si>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</si>
  <si>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</si>
  <si>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</si>
  <si>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</si>
  <si>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</si>
  <si>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</si>
  <si>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</si>
  <si>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</si>
  <si>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</si>
  <si>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</si>
  <si>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</si>
  <si>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</si>
  <si>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</si>
  <si>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</si>
  <si>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</si>
  <si>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</si>
  <si>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</si>
  <si>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</si>
  <si>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</si>
  <si>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</si>
  <si>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</si>
  <si>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</si>
  <si>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</si>
  <si>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</si>
  <si>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</si>
  <si>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</si>
  <si>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</si>
  <si>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</si>
  <si>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</si>
  <si>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</si>
  <si>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</si>
  <si>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</si>
  <si>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</si>
  <si>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</si>
  <si>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</si>
  <si>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</si>
  <si>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</si>
  <si>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</si>
  <si>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</si>
  <si>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</si>
  <si>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</si>
  <si>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</si>
  <si>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</si>
  <si>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</si>
  <si>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</si>
  <si>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</si>
  <si>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</si>
  <si>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</si>
  <si>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</si>
  <si>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</si>
  <si>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</si>
  <si>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</si>
  <si>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</si>
  <si>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</si>
  <si>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</si>
  <si>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</si>
  <si>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</si>
  <si>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</si>
  <si>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</si>
  <si>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</si>
  <si>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</si>
  <si>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</si>
  <si>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</si>
  <si>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</si>
  <si>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</si>
  <si>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</si>
  <si>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</si>
  <si>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</si>
  <si>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</si>
  <si>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</si>
  <si>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</si>
  <si>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</si>
  <si>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</si>
  <si>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</si>
  <si>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</si>
  <si>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</si>
  <si>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</si>
  <si>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</si>
  <si>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</si>
  <si>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</si>
  <si>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</si>
  <si>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</si>
  <si>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</si>
  <si>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</si>
  <si>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</si>
  <si>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</si>
  <si>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</si>
  <si>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</si>
  <si>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</si>
  <si>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</si>
  <si>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</si>
  <si>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</si>
  <si>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</si>
  <si>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</si>
  <si>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</si>
  <si>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</si>
  <si>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</si>
  <si>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</si>
  <si>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</si>
  <si>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</si>
  <si>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</si>
  <si>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</si>
  <si>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</si>
  <si>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</si>
  <si>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</si>
  <si>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</si>
  <si>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</si>
  <si>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</si>
  <si>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</si>
  <si>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</si>
  <si>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</si>
  <si>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</si>
  <si>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</si>
  <si>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</si>
  <si>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</si>
  <si>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</si>
  <si>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</si>
  <si>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</si>
  <si>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</si>
  <si>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</si>
  <si>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</si>
  <si>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</si>
  <si>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</si>
  <si>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</si>
  <si>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</si>
  <si>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</si>
  <si>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</si>
  <si>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</si>
  <si>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</si>
  <si>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</si>
  <si>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</si>
  <si>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</si>
  <si>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</si>
  <si>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</si>
  <si>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</si>
  <si>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</si>
  <si>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</si>
  <si>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</si>
  <si>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</si>
  <si>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</si>
  <si>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</si>
  <si>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</si>
  <si>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</si>
  <si>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</si>
  <si>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</si>
  <si>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</si>
  <si>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</si>
  <si>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</si>
  <si>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</si>
  <si>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</si>
  <si>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</si>
  <si>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</si>
  <si>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</si>
  <si>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</si>
  <si>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</si>
  <si>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</si>
  <si>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</si>
  <si>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</si>
  <si>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</si>
  <si>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</si>
  <si>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</si>
  <si>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</si>
  <si>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</si>
  <si>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</si>
  <si>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</si>
  <si>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</si>
  <si>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</si>
  <si>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</si>
  <si>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</si>
  <si>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</si>
  <si>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</si>
  <si>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</si>
  <si>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</si>
  <si>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</si>
  <si>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</si>
  <si>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</si>
  <si>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</si>
  <si>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</si>
  <si>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</si>
  <si>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</si>
  <si>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</si>
  <si>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</si>
  <si>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</si>
  <si>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</si>
  <si>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</si>
  <si>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</si>
  <si>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</si>
  <si>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</si>
  <si>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</si>
  <si>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</si>
  <si>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</si>
  <si>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</si>
  <si>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</si>
  <si>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</si>
  <si>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</si>
  <si>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</si>
  <si>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</si>
  <si>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</si>
  <si>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</si>
  <si>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</si>
  <si>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</si>
  <si>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</si>
  <si>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</si>
  <si>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</si>
  <si>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</si>
  <si>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</si>
  <si>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</si>
  <si>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</si>
  <si>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</si>
  <si>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</si>
  <si>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</si>
  <si>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</si>
  <si>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</si>
  <si>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</si>
  <si>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</si>
  <si>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</si>
  <si>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</si>
  <si>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</si>
  <si>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</si>
  <si>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</si>
  <si>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</si>
  <si>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</si>
  <si>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</si>
  <si>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</si>
  <si>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</si>
  <si>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</si>
  <si>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</si>
  <si>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</si>
  <si>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</si>
  <si>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</si>
  <si>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</si>
  <si>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</si>
  <si>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</si>
  <si>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</si>
  <si>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</si>
  <si>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</si>
  <si>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</si>
  <si>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</si>
  <si>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</si>
  <si>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</si>
  <si>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</si>
  <si>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</si>
  <si>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</si>
  <si>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</si>
  <si>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</si>
  <si>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</si>
  <si>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</si>
  <si>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</si>
  <si>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</si>
  <si>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</si>
  <si>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</si>
  <si>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</si>
  <si>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</si>
  <si>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</si>
  <si>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</si>
  <si>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</si>
  <si>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</si>
  <si>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</si>
  <si>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</si>
  <si>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</si>
  <si>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</si>
  <si>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</si>
  <si>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</si>
  <si>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</si>
  <si>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</si>
  <si>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</si>
  <si>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</si>
  <si>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</si>
  <si>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</si>
  <si>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</si>
  <si>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</si>
  <si>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</si>
  <si>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</si>
  <si>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</si>
  <si>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</si>
  <si>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</si>
  <si>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</si>
  <si>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</si>
  <si>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</si>
  <si>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</si>
  <si>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</si>
  <si>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</si>
  <si>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</si>
  <si>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</si>
  <si>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</si>
  <si>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</si>
  <si>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</si>
  <si>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</si>
  <si>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</si>
  <si>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</si>
  <si>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</si>
  <si>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</si>
  <si>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</si>
  <si>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</si>
  <si>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</si>
  <si>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</si>
  <si>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</si>
  <si>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</si>
  <si>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</si>
  <si>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</si>
  <si>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</si>
  <si>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</si>
  <si>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</si>
  <si>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</si>
  <si>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</si>
  <si>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</si>
  <si>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</si>
  <si>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</si>
  <si>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</si>
  <si>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</si>
  <si>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</si>
  <si>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</si>
  <si>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</si>
  <si>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</si>
  <si>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</si>
  <si>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</si>
  <si>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</si>
  <si>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</si>
  <si>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</si>
  <si>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</si>
  <si>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</si>
  <si>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</si>
  <si>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</si>
  <si>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</si>
  <si>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</si>
  <si>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</si>
  <si>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</si>
  <si>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</si>
  <si>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</si>
  <si>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</si>
  <si>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</si>
  <si>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</si>
  <si>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</si>
  <si>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</si>
  <si>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</si>
  <si>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</si>
  <si>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</si>
  <si>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</si>
  <si>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</si>
  <si>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</si>
  <si>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</si>
  <si>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</si>
  <si>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</si>
  <si>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</si>
  <si>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</si>
  <si>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</si>
  <si>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</si>
  <si>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</si>
  <si>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</si>
  <si>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</si>
  <si>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</si>
  <si>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</si>
  <si>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</si>
  <si>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</si>
  <si>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</si>
  <si>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</si>
  <si>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</si>
  <si>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</si>
  <si>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</si>
  <si>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</si>
  <si>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</si>
  <si>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</si>
  <si>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</si>
  <si>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</si>
  <si>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</si>
  <si>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</si>
  <si>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</si>
  <si>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</si>
  <si>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</si>
  <si>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</si>
  <si>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</si>
  <si>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</si>
  <si>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</si>
  <si>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</si>
  <si>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</si>
  <si>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</si>
  <si>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</si>
  <si>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</si>
  <si>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</si>
  <si>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</si>
  <si>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</si>
  <si>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</si>
  <si>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</si>
  <si>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</si>
  <si>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</si>
  <si>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</si>
  <si>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</si>
  <si>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</si>
  <si>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</si>
  <si>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</si>
  <si>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</si>
  <si>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</si>
  <si>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</si>
  <si>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</si>
  <si>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</si>
  <si>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</si>
  <si>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</si>
  <si>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</si>
  <si>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</si>
  <si>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</si>
  <si>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</si>
  <si>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</si>
  <si>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</si>
  <si>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</si>
  <si>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</si>
  <si>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</si>
  <si>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</si>
  <si>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</si>
  <si>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</si>
  <si>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</si>
  <si>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</si>
  <si>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</si>
  <si>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</si>
  <si>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</si>
  <si>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</si>
  <si>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</si>
  <si>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</si>
  <si>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</si>
  <si>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</si>
  <si>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</si>
  <si>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</si>
  <si>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</si>
  <si>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</si>
  <si>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</si>
  <si>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</si>
  <si>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</si>
  <si>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</si>
  <si>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</si>
  <si>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</si>
  <si>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</si>
  <si>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</si>
  <si>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</si>
  <si>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</si>
  <si>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</si>
  <si>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</si>
  <si>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</si>
  <si>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</si>
  <si>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</si>
  <si>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</si>
  <si>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</si>
  <si>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</si>
  <si>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</si>
  <si>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</si>
  <si>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</si>
  <si>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</si>
  <si>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</si>
  <si>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</si>
  <si>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</si>
  <si>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</si>
  <si>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</si>
  <si>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</si>
  <si>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</si>
  <si>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</si>
  <si>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</si>
  <si>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</si>
  <si>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</si>
  <si>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</si>
  <si>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</si>
  <si>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</si>
  <si>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</si>
  <si>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</si>
  <si>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</si>
  <si>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</si>
  <si>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</si>
  <si>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</si>
  <si>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</si>
  <si>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</si>
  <si>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</si>
  <si>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</si>
  <si>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</si>
  <si>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</si>
  <si>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</si>
  <si>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</si>
  <si>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</si>
  <si>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</si>
  <si>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</si>
  <si>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</si>
  <si>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</si>
  <si>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</si>
  <si>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</si>
  <si>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</si>
  <si>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</si>
  <si>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</si>
  <si>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</si>
  <si>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</si>
  <si>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</si>
  <si>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</si>
  <si>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</si>
  <si>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</si>
  <si>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</si>
  <si>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</si>
  <si>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</si>
  <si>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</si>
  <si>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</si>
  <si>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</si>
  <si>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</si>
  <si>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</si>
  <si>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</si>
  <si>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</si>
  <si>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</si>
  <si>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</si>
  <si>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</si>
  <si>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</si>
  <si>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</si>
  <si>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</si>
  <si>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</si>
  <si>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</si>
  <si>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</si>
  <si>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</si>
  <si>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</si>
  <si>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</si>
  <si>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</si>
  <si>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</si>
  <si>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</si>
  <si>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</si>
  <si>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</si>
  <si>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</si>
  <si>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</si>
  <si>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</si>
  <si>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</si>
  <si>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</si>
  <si>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</si>
  <si>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</si>
  <si>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</si>
  <si>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</si>
  <si>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</si>
  <si>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</si>
  <si>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</si>
  <si>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</si>
  <si>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</si>
  <si>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</si>
  <si>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</si>
  <si>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</si>
  <si>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</si>
  <si>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</si>
  <si>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</si>
  <si>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</si>
  <si>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</si>
  <si>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</si>
  <si>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</si>
  <si>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</si>
  <si>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</si>
  <si>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</si>
  <si>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</si>
  <si>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</si>
  <si>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</si>
  <si>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</si>
  <si>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</si>
  <si>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</si>
  <si>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</si>
  <si>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</si>
  <si>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</si>
  <si>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</si>
  <si>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</si>
  <si>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</si>
  <si>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</si>
  <si>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</si>
  <si>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</si>
  <si>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</si>
  <si>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</si>
  <si>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</si>
  <si>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</si>
  <si>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</si>
  <si>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</si>
  <si>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</si>
  <si>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</si>
  <si>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</si>
  <si>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</si>
  <si>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</si>
  <si>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</si>
  <si>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</si>
  <si>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</si>
  <si>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</si>
  <si>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</si>
  <si>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</si>
  <si>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</si>
  <si>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</si>
  <si>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</si>
  <si>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</si>
  <si>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</si>
  <si>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</si>
  <si>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</si>
  <si>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</si>
  <si>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</si>
  <si>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</si>
  <si>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</si>
  <si>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</si>
  <si>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</si>
  <si>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</si>
  <si>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</si>
  <si>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</si>
  <si>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</si>
  <si>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</si>
  <si>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</si>
  <si>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</si>
  <si>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</si>
  <si>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</si>
  <si>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</si>
  <si>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</si>
  <si>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</si>
  <si>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</si>
  <si>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</si>
  <si>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</si>
  <si>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</si>
  <si>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</si>
  <si>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</si>
  <si>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</si>
  <si>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</si>
  <si>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</si>
  <si>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</si>
  <si>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</si>
  <si>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</si>
  <si>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</si>
  <si>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</si>
  <si>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</si>
  <si>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</si>
  <si>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</si>
  <si>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</si>
  <si>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</si>
  <si>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</si>
  <si>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</si>
  <si>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</si>
  <si>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</si>
  <si>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</si>
  <si>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</si>
  <si>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</si>
  <si>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</si>
  <si>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</si>
  <si>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</si>
  <si>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</si>
  <si>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</si>
  <si>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</si>
  <si>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</si>
  <si>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</si>
  <si>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</si>
  <si>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</si>
  <si>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</si>
  <si>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</si>
  <si>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</si>
  <si>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</si>
  <si>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</si>
  <si>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</si>
  <si>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</si>
  <si>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</si>
  <si>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</si>
  <si>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</si>
  <si>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</si>
  <si>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</si>
  <si>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</si>
  <si>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</si>
  <si>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</si>
  <si>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</si>
  <si>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</si>
  <si>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</si>
  <si>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</si>
  <si>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</si>
  <si>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</si>
  <si>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</si>
  <si>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</si>
  <si>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</si>
  <si>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</si>
  <si>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</si>
  <si>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</si>
  <si>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</si>
  <si>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</si>
  <si>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</si>
  <si>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</si>
  <si>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</si>
  <si>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</si>
  <si>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</si>
  <si>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</si>
  <si>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</si>
  <si>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</si>
  <si>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</si>
  <si>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</si>
  <si>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</si>
  <si>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</si>
  <si>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</si>
  <si>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</si>
  <si>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</si>
  <si>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</si>
  <si>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</si>
  <si>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</si>
  <si>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</si>
  <si>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</si>
  <si>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</si>
  <si>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</si>
  <si>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</si>
  <si>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</si>
  <si>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</si>
  <si>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</si>
  <si>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</si>
  <si>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</si>
  <si>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</si>
  <si>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</si>
  <si>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</si>
  <si>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</si>
  <si>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</si>
  <si>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</si>
  <si>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</si>
  <si>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</si>
  <si>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</si>
  <si>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</si>
  <si>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</si>
  <si>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</si>
  <si>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</si>
  <si>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</si>
  <si>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</si>
  <si>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</si>
  <si>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</si>
  <si>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</si>
  <si>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</si>
  <si>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</si>
  <si>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</si>
  <si>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</si>
  <si>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</si>
  <si>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</si>
  <si>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</si>
  <si>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</si>
  <si>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</si>
  <si>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</si>
  <si>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</si>
  <si>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</si>
  <si>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</si>
  <si>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</si>
  <si>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</si>
  <si>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</si>
  <si>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</si>
  <si>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</si>
  <si>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</si>
  <si>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</si>
  <si>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</si>
  <si>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</si>
  <si>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</si>
  <si>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</si>
  <si>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</si>
  <si>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</si>
  <si>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</si>
  <si>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</si>
  <si>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</si>
  <si>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</si>
  <si>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</si>
  <si>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</si>
  <si>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</si>
  <si>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</si>
  <si>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</si>
  <si>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</si>
  <si>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</si>
  <si>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</si>
  <si>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</si>
  <si>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</si>
  <si>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</si>
  <si>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</si>
  <si>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</si>
  <si>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</si>
  <si>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</si>
  <si>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</si>
  <si>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</si>
  <si>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</si>
  <si>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</si>
  <si>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</si>
  <si>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</si>
  <si>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</si>
  <si>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</si>
  <si>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</si>
  <si>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</si>
  <si>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</si>
  <si>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</si>
  <si>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</si>
  <si>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</si>
  <si>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</si>
  <si>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</si>
  <si>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</si>
  <si>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</si>
  <si>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</si>
  <si>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</si>
  <si>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</si>
  <si>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</si>
  <si>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</si>
  <si>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</si>
  <si>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</si>
  <si>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</si>
  <si>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</si>
  <si>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</si>
  <si>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</si>
  <si>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</si>
  <si>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</si>
  <si>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</si>
  <si>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</si>
  <si>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</si>
  <si>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</si>
  <si>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</si>
  <si>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</si>
  <si>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</si>
  <si>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</si>
  <si>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</si>
  <si>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</si>
  <si>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</si>
  <si>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</si>
  <si>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</si>
  <si>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</si>
  <si>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</si>
  <si>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</si>
  <si>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</si>
  <si>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</si>
  <si>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</si>
  <si>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</si>
  <si>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</si>
  <si>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</si>
  <si>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</si>
  <si>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</si>
  <si>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</si>
  <si>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</si>
  <si>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</si>
  <si>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</si>
  <si>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</si>
  <si>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</si>
  <si>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</si>
  <si>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</si>
  <si>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</si>
  <si>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</si>
  <si>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</si>
  <si>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</si>
  <si>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</si>
  <si>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</si>
  <si>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</si>
  <si>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</si>
  <si>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</si>
  <si>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</si>
  <si>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</si>
  <si>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</si>
  <si>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</si>
  <si>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</si>
  <si>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</si>
  <si>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</si>
  <si>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</si>
  <si>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</si>
  <si>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</si>
  <si>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</si>
  <si>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</si>
  <si>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</si>
  <si>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</si>
  <si>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</si>
  <si>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</si>
  <si>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</si>
  <si>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</si>
  <si>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</si>
  <si>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</si>
  <si>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</si>
  <si>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</si>
  <si>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</si>
  <si>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</si>
  <si>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</si>
  <si>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</si>
  <si>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</si>
  <si>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</si>
  <si>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</si>
  <si>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</si>
  <si>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</si>
  <si>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</si>
  <si>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</si>
  <si>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</si>
  <si>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</si>
  <si>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</si>
  <si>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</si>
  <si>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</si>
  <si>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</si>
  <si>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</si>
  <si>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</si>
  <si>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</si>
  <si>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</si>
  <si>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</si>
  <si>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</si>
  <si>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</si>
  <si>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</si>
  <si>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</si>
  <si>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</si>
  <si>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</si>
  <si>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</si>
  <si>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</si>
  <si>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</si>
  <si>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</si>
  <si>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</si>
  <si>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</si>
  <si>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</si>
  <si>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</si>
  <si>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</si>
  <si>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</si>
  <si>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</si>
  <si>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</si>
  <si>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</si>
  <si>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</si>
  <si>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</si>
  <si>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</si>
  <si>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</si>
  <si>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</si>
  <si>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</si>
  <si>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</si>
  <si>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</si>
  <si>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</si>
  <si>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</si>
  <si>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</si>
  <si>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</si>
  <si>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</si>
  <si>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</si>
  <si>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</si>
  <si>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</si>
  <si>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</si>
  <si>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</si>
  <si>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</si>
  <si>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</si>
  <si>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</si>
  <si>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</si>
  <si>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</si>
  <si>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</si>
  <si>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</si>
  <si>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</si>
  <si>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</si>
  <si>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</si>
  <si>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</si>
  <si>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</si>
  <si>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</si>
  <si>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</si>
  <si>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</si>
  <si>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</si>
  <si>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</si>
  <si>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</si>
  <si>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</si>
  <si>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</si>
  <si>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</si>
  <si>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</si>
  <si>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</si>
  <si>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</si>
  <si>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</si>
  <si>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</si>
  <si>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</si>
  <si>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</si>
  <si>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</si>
  <si>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</si>
  <si>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</si>
  <si>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</si>
  <si>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</si>
  <si>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</si>
  <si>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</si>
  <si>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</si>
  <si>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</si>
  <si>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</si>
  <si>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</si>
  <si>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</si>
  <si>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</si>
  <si>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</si>
  <si>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</si>
  <si>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</si>
  <si>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</si>
  <si>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</si>
  <si>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</si>
  <si>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</si>
  <si>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</si>
  <si>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</si>
  <si>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</si>
  <si>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</si>
  <si>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</si>
  <si>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</si>
  <si>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</si>
  <si>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</si>
  <si>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</si>
  <si>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</si>
  <si>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</si>
  <si>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</si>
  <si>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</si>
  <si>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</si>
  <si>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</si>
  <si>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</si>
  <si>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</si>
  <si>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</si>
  <si>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</si>
  <si>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</si>
  <si>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</si>
  <si>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</si>
  <si>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</si>
  <si>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</si>
  <si>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</si>
  <si>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</si>
  <si>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</si>
  <si>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</si>
  <si>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</si>
  <si>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</si>
  <si>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</si>
  <si>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</si>
  <si>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</si>
  <si>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</si>
  <si>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</si>
  <si>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</si>
  <si>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</si>
  <si>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</si>
  <si>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</si>
  <si>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</si>
  <si>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</si>
  <si>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</si>
  <si>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</si>
  <si>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</si>
  <si>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</si>
  <si>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</si>
  <si>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</si>
  <si>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</si>
  <si>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</si>
  <si>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</si>
  <si>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</si>
  <si>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</si>
  <si>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</si>
  <si>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</si>
  <si>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</si>
  <si>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</si>
  <si>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</si>
  <si>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</si>
  <si>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</si>
  <si>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</si>
  <si>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</si>
  <si>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</si>
  <si>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</si>
  <si>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</si>
  <si>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</si>
  <si>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</si>
  <si>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</si>
  <si>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</si>
  <si>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</si>
  <si>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</si>
  <si>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</si>
  <si>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</si>
  <si>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</si>
  <si>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</si>
  <si>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</si>
  <si>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</si>
  <si>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</si>
  <si>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</si>
  <si>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</si>
  <si>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</si>
  <si>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</si>
  <si>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</si>
  <si>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</si>
  <si>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</si>
  <si>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</si>
  <si>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</si>
  <si>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</si>
  <si>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</si>
  <si>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</si>
  <si>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</si>
  <si>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</si>
  <si>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</si>
  <si>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</si>
  <si>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</si>
  <si>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</si>
  <si>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</si>
  <si>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</si>
  <si>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</si>
  <si>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</si>
  <si>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</si>
  <si>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</si>
  <si>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</si>
  <si>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</si>
  <si>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</si>
  <si>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</si>
  <si>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</si>
  <si>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</si>
  <si>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</si>
  <si>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</si>
  <si>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</si>
  <si>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</si>
  <si>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</si>
  <si>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</si>
  <si>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</si>
  <si>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</si>
  <si>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</si>
  <si>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</si>
  <si>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</si>
  <si>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</si>
  <si>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</si>
  <si>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</si>
  <si>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</si>
  <si>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</si>
  <si>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</si>
  <si>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</si>
  <si>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</si>
  <si>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</si>
  <si>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</si>
  <si>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</si>
  <si>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</si>
  <si>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</si>
  <si>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</si>
  <si>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</si>
  <si>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</si>
  <si>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</si>
  <si>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</si>
  <si>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</si>
  <si>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</si>
  <si>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</si>
  <si>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</si>
  <si>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</si>
  <si>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</si>
  <si>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</si>
  <si>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</si>
  <si>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</si>
  <si>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</si>
  <si>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</si>
  <si>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</si>
  <si>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</si>
  <si>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</si>
  <si>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</si>
  <si>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</si>
  <si>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</si>
  <si>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</si>
  <si>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</si>
  <si>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</si>
  <si>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</si>
  <si>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</si>
  <si>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</si>
  <si>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</si>
  <si>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</si>
  <si>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</si>
  <si>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</si>
  <si>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</si>
  <si>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</si>
  <si>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</si>
  <si>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</si>
  <si>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</si>
  <si>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</si>
  <si>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</si>
  <si>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</si>
  <si>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</si>
  <si>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</si>
  <si>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</si>
  <si>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</si>
  <si>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</si>
  <si>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</si>
  <si>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</si>
  <si>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</si>
  <si>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</si>
  <si>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</si>
  <si>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</si>
  <si>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</si>
  <si>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</si>
  <si>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</si>
  <si>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</si>
  <si>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</si>
  <si>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</si>
  <si>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</si>
  <si>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</si>
  <si>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</si>
  <si>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</si>
  <si>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</si>
  <si>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</si>
  <si>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</si>
  <si>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</si>
  <si>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</si>
  <si>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</si>
  <si>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</si>
  <si>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</si>
  <si>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</si>
  <si>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</si>
  <si>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</si>
  <si>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</si>
  <si>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</si>
  <si>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</si>
  <si>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</si>
  <si>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</si>
  <si>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</si>
  <si>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</si>
  <si>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</si>
  <si>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</si>
  <si>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</si>
  <si>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</si>
  <si>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</si>
  <si>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</si>
  <si>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</si>
  <si>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</si>
  <si>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</si>
  <si>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</si>
  <si>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</si>
  <si>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</si>
  <si>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</si>
  <si>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</si>
  <si>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</si>
  <si>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</si>
  <si>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</si>
  <si>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</si>
  <si>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</si>
  <si>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</si>
  <si>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</si>
  <si>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</si>
  <si>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</si>
  <si>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</si>
  <si>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</si>
  <si>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</si>
  <si>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</si>
  <si>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</si>
  <si>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</si>
  <si>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</si>
  <si>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</si>
  <si>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</si>
  <si>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</si>
  <si>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</si>
  <si>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</si>
  <si>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</si>
  <si>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</si>
  <si>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</si>
  <si>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</si>
  <si>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</si>
  <si>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</si>
  <si>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</si>
  <si>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</si>
  <si>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</si>
  <si>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</si>
  <si>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</si>
  <si>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</si>
  <si>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</si>
  <si>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</si>
  <si>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</si>
  <si>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</si>
  <si>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</si>
  <si>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</si>
  <si>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</si>
  <si>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</si>
  <si>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</si>
  <si>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</si>
  <si>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</si>
  <si>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</si>
  <si>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</si>
  <si>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</si>
  <si>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</si>
  <si>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</si>
  <si>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</si>
  <si>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</si>
  <si>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</si>
  <si>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</si>
  <si>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</si>
  <si>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</si>
  <si>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</si>
  <si>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</si>
  <si>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</si>
  <si>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</si>
  <si>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</si>
  <si>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</si>
  <si>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</si>
  <si>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</si>
  <si>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</si>
  <si>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</si>
  <si>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</si>
  <si>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</si>
  <si>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</si>
  <si>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</si>
  <si>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</si>
  <si>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</si>
  <si>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</si>
  <si>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</si>
  <si>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</si>
  <si>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</si>
  <si>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</si>
  <si>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</si>
  <si>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</si>
  <si>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</si>
  <si>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</si>
  <si>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</si>
  <si>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</si>
  <si>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</si>
  <si>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</si>
  <si>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</si>
  <si>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</si>
  <si>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</si>
  <si>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</si>
  <si>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</si>
  <si>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</si>
  <si>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</si>
  <si>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</si>
  <si>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</si>
  <si>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</si>
  <si>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</si>
  <si>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</si>
  <si>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</si>
  <si>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</si>
  <si>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</si>
  <si>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</si>
  <si>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</si>
  <si>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</si>
  <si>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</si>
  <si>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</si>
  <si>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</si>
  <si>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</si>
  <si>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</si>
  <si>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</si>
  <si>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</si>
  <si>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</si>
  <si>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</si>
  <si>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</si>
  <si>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</si>
  <si>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</si>
  <si>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</si>
  <si>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</si>
  <si>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</si>
  <si>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</si>
  <si>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</si>
  <si>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</si>
  <si>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</si>
  <si>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</si>
  <si>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</si>
  <si>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</si>
  <si>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</si>
  <si>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</si>
  <si>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</si>
  <si>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</si>
  <si>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</si>
  <si>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</si>
  <si>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</si>
  <si>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</si>
  <si>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</si>
  <si>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</si>
  <si>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</si>
  <si>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</si>
  <si>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</si>
  <si>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</si>
  <si>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</si>
  <si>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</si>
  <si>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</si>
  <si>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</si>
  <si>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</si>
  <si>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</si>
  <si>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</si>
  <si>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</si>
  <si>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</si>
  <si>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</si>
  <si>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</si>
  <si>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</si>
  <si>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</si>
  <si>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</si>
  <si>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</si>
  <si>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</si>
  <si>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</si>
  <si>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</si>
  <si>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</si>
  <si>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</si>
  <si>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</si>
  <si>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</si>
  <si>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</si>
  <si>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</si>
  <si>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</si>
  <si>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</si>
  <si>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</si>
  <si>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</si>
  <si>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</si>
  <si>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</si>
  <si>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</si>
  <si>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</si>
  <si>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</si>
  <si>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</si>
  <si>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</si>
  <si>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</si>
  <si>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</si>
  <si>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</si>
  <si>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</si>
  <si>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</si>
  <si>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</si>
  <si>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</si>
  <si>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</si>
  <si>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</si>
  <si>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</si>
  <si>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</si>
  <si>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</si>
  <si>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</si>
  <si>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</si>
  <si>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</si>
  <si>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</si>
  <si>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</si>
  <si>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</si>
  <si>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</si>
  <si>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</si>
  <si>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</si>
  <si>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</si>
  <si>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</si>
  <si>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</si>
  <si>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</si>
  <si>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</si>
  <si>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</si>
  <si>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</si>
  <si>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</si>
  <si>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</si>
  <si>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</si>
  <si>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</si>
  <si>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</si>
  <si>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</si>
  <si>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</si>
  <si>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</si>
  <si>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</si>
  <si>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</si>
  <si>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</si>
  <si>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</si>
  <si>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</si>
  <si>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</si>
  <si>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</si>
  <si>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</si>
  <si>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</si>
  <si>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</si>
  <si>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</si>
  <si>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</si>
  <si>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</si>
  <si>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</si>
  <si>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</si>
  <si>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</si>
  <si>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</si>
  <si>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</si>
  <si>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</si>
  <si>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</si>
  <si>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</si>
  <si>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</si>
  <si>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</si>
  <si>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</si>
  <si>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</si>
  <si>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</si>
  <si>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</si>
  <si>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</si>
  <si>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</si>
  <si>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</si>
  <si>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</si>
  <si>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</si>
  <si>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</si>
  <si>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</si>
  <si>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</si>
  <si>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</si>
  <si>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</si>
  <si>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</si>
  <si>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</si>
  <si>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</si>
  <si>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</si>
  <si>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</si>
  <si>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</si>
  <si>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</si>
  <si>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</si>
  <si>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</si>
  <si>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</si>
  <si>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</si>
  <si>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</si>
  <si>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</si>
  <si>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</si>
  <si>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</si>
  <si>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</si>
  <si>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</si>
  <si>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</si>
  <si>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</si>
  <si>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</si>
  <si>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</si>
  <si>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</si>
  <si>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</si>
  <si>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</si>
  <si>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</si>
  <si>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</si>
  <si>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</si>
  <si>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</si>
  <si>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</si>
  <si>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</si>
  <si>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</si>
  <si>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</si>
  <si>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</si>
  <si>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</si>
  <si>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</si>
  <si>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</si>
  <si>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</si>
  <si>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</si>
  <si>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</si>
  <si>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</si>
  <si>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</si>
  <si>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</si>
  <si>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</si>
  <si>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</si>
  <si>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</si>
  <si>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</si>
  <si>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</si>
  <si>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</si>
  <si>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</si>
  <si>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</si>
  <si>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</si>
  <si>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</si>
  <si>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</si>
  <si>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</si>
  <si>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</si>
  <si>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</si>
  <si>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</si>
  <si>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</si>
  <si>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</si>
  <si>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</si>
  <si>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</si>
  <si>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</si>
  <si>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</si>
  <si>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</si>
  <si>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</si>
  <si>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</si>
  <si>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</si>
  <si>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</si>
  <si>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</si>
  <si>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</si>
  <si>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</si>
  <si>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</si>
  <si>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</si>
  <si>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</si>
  <si>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</si>
  <si>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</si>
  <si>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</si>
  <si>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</si>
  <si>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</si>
  <si>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</si>
  <si>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</si>
  <si>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</si>
  <si>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</si>
  <si>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</si>
  <si>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</si>
  <si>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</si>
  <si>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</si>
  <si>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</si>
  <si>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</si>
  <si>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</si>
  <si>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</si>
  <si>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</si>
  <si>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</si>
  <si>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</si>
  <si>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</si>
  <si>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</si>
  <si>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</si>
  <si>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</si>
  <si>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</si>
  <si>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</si>
  <si>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</si>
  <si>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</si>
  <si>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</si>
  <si>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</si>
  <si>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</si>
  <si>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</si>
  <si>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</si>
  <si>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</si>
  <si>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</si>
  <si>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</si>
  <si>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</si>
  <si>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</si>
  <si>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</si>
  <si>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</si>
  <si>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</si>
  <si>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</si>
  <si>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</si>
  <si>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</si>
  <si>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</si>
  <si>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</si>
  <si>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</si>
  <si>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</si>
  <si>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</si>
  <si>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</si>
  <si>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</si>
  <si>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</si>
  <si>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</si>
  <si>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</si>
  <si>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</si>
  <si>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</si>
  <si>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</si>
  <si>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</si>
  <si>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</si>
  <si>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</si>
  <si>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</si>
  <si>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</si>
  <si>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</si>
  <si>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</si>
  <si>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</si>
  <si>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</si>
  <si>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</si>
  <si>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</si>
  <si>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</si>
  <si>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</si>
  <si>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</si>
  <si>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</si>
  <si>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</si>
  <si>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</si>
  <si>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</si>
  <si>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</si>
  <si>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</si>
  <si>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</si>
  <si>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</si>
  <si>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</si>
  <si>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</si>
  <si>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</si>
  <si>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</si>
  <si>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</si>
  <si>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</si>
  <si>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</si>
  <si>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</si>
  <si>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</si>
  <si>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</si>
  <si>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</si>
  <si>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</si>
  <si>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</si>
  <si>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</si>
  <si>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</si>
  <si>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</si>
  <si>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</si>
  <si>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</si>
  <si>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</si>
  <si>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</si>
  <si>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</si>
  <si>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</si>
  <si>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</si>
  <si>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</si>
  <si>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</si>
  <si>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</si>
  <si>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</si>
  <si>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</si>
  <si>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</si>
  <si>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</si>
  <si>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</si>
  <si>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</si>
  <si>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</si>
  <si>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</si>
  <si>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</si>
  <si>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</si>
  <si>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</si>
  <si>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</si>
  <si>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</si>
  <si>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</si>
  <si>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</si>
  <si>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</si>
  <si>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</si>
  <si>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</si>
  <si>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</si>
  <si>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</si>
  <si>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</si>
  <si>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</si>
  <si>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</si>
  <si>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</si>
  <si>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</si>
  <si>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</si>
  <si>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</si>
  <si>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</si>
  <si>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</si>
  <si>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</si>
  <si>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</si>
  <si>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</si>
  <si>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</si>
  <si>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</si>
  <si>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</si>
  <si>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</si>
  <si>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</si>
  <si>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</si>
  <si>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</si>
  <si>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</si>
  <si>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</si>
  <si>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</si>
  <si>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</si>
  <si>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</si>
  <si>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</si>
  <si>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</si>
  <si>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</si>
  <si>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</si>
  <si>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</si>
  <si>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</si>
  <si>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</si>
  <si>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</si>
  <si>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</si>
  <si>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</si>
  <si>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</si>
  <si>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</si>
  <si>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</si>
  <si>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</si>
  <si>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</si>
  <si>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</si>
  <si>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</si>
  <si>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</si>
  <si>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</si>
  <si>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</si>
  <si>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</si>
  <si>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</si>
  <si>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</si>
  <si>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</si>
  <si>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</si>
  <si>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</si>
  <si>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</si>
  <si>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</si>
  <si>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</si>
  <si>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</si>
  <si>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</si>
  <si>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</si>
  <si>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</si>
  <si>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</si>
  <si>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</si>
  <si>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</si>
  <si>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</si>
  <si>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</si>
  <si>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</si>
  <si>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</si>
  <si>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</si>
  <si>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</si>
  <si>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</si>
  <si>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</si>
  <si>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</si>
  <si>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</si>
  <si>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</si>
  <si>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</si>
  <si>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</si>
  <si>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</si>
  <si>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</si>
  <si>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</si>
  <si>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</si>
  <si>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</si>
  <si>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</si>
  <si>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</si>
  <si>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</si>
  <si>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</si>
  <si>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</si>
  <si>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</si>
  <si>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</si>
  <si>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</si>
  <si>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</si>
  <si>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</si>
  <si>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</si>
  <si>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</si>
  <si>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</si>
  <si>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</si>
  <si>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</si>
  <si>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</si>
  <si>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</si>
  <si>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</si>
  <si>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</si>
  <si>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</si>
  <si>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</si>
  <si>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</si>
  <si>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</si>
  <si>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</si>
  <si>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</si>
  <si>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</si>
  <si>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</si>
  <si>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</si>
  <si>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</si>
  <si>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</si>
  <si>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</si>
  <si>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</si>
  <si>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</si>
  <si>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</si>
  <si>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</si>
  <si>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</si>
  <si>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</si>
  <si>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</si>
  <si>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</si>
  <si>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</si>
  <si>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</si>
  <si>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</si>
  <si>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</si>
  <si>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</si>
  <si>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</si>
  <si>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</si>
  <si>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</si>
  <si>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</si>
  <si>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</si>
  <si>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</si>
  <si>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</si>
  <si>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</si>
  <si>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</si>
  <si>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</si>
  <si>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</si>
  <si>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</si>
  <si>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</si>
  <si>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</si>
  <si>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</si>
  <si>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</si>
  <si>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</si>
  <si>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</si>
  <si>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</si>
  <si>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</si>
  <si>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</si>
  <si>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</si>
  <si>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</si>
  <si>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</si>
  <si>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</si>
  <si>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</si>
  <si>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</si>
  <si>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</si>
  <si>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</si>
  <si>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</si>
  <si>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</si>
  <si>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</si>
  <si>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</si>
  <si>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</si>
  <si>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</si>
  <si>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</si>
  <si>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</si>
  <si>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</si>
  <si>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</si>
  <si>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</si>
  <si>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</si>
  <si>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</si>
  <si>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</si>
  <si>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</si>
  <si>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</si>
  <si>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</si>
  <si>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</si>
  <si>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</si>
  <si>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</si>
  <si>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</si>
  <si>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</si>
  <si>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</si>
  <si>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</si>
  <si>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</si>
  <si>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</si>
  <si>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</si>
  <si>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</si>
  <si>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</si>
  <si>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</si>
  <si>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</si>
  <si>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</si>
  <si>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</si>
  <si>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</si>
  <si>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</si>
  <si>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</si>
  <si>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</si>
  <si>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</si>
  <si>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</si>
  <si>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</si>
  <si>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</si>
  <si>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</si>
  <si>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</si>
  <si>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</si>
  <si>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</si>
  <si>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</si>
  <si>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</si>
  <si>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</si>
  <si>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</si>
  <si>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</si>
  <si>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</si>
  <si>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</si>
  <si>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</si>
  <si>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</si>
  <si>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</si>
  <si>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</si>
  <si>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</si>
  <si>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</si>
  <si>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</si>
  <si>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</si>
  <si>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</si>
  <si>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</si>
  <si>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</si>
  <si>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</si>
  <si>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</si>
  <si>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</si>
  <si>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</si>
  <si>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</si>
  <si>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</si>
  <si>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</si>
  <si>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</si>
  <si>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</si>
  <si>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</si>
  <si>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</si>
  <si>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</si>
  <si>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</si>
  <si>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</si>
  <si>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</si>
  <si>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</si>
  <si>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</si>
  <si>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</si>
  <si>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</si>
  <si>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</si>
  <si>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</si>
  <si>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</si>
  <si>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</si>
  <si>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</si>
  <si>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</si>
  <si>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</si>
  <si>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</si>
  <si>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</si>
  <si>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</si>
  <si>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</si>
  <si>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</si>
  <si>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</si>
  <si>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</si>
  <si>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</si>
  <si>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</si>
  <si>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</si>
  <si>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</si>
  <si>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</si>
  <si>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</si>
  <si>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</si>
  <si>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</si>
  <si>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</si>
  <si>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</si>
  <si>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</si>
  <si>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</si>
  <si>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</si>
  <si>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</si>
  <si>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</si>
  <si>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</si>
  <si>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</si>
  <si>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</si>
  <si>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</si>
  <si>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</si>
  <si>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</si>
  <si>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</si>
  <si>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</si>
  <si>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</si>
  <si>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</si>
  <si>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</si>
  <si>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</si>
  <si>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</si>
  <si>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</si>
  <si>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</si>
  <si>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</si>
  <si>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</si>
  <si>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</si>
  <si>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</si>
  <si>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</si>
  <si>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</si>
  <si>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</si>
  <si>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</si>
  <si>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</si>
  <si>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</si>
  <si>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</si>
  <si>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</si>
  <si>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</si>
  <si>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</si>
  <si>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</si>
  <si>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</si>
  <si>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</si>
  <si>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</si>
  <si>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</si>
  <si>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</si>
  <si>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</si>
  <si>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</si>
  <si>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</si>
  <si>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</si>
  <si>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</si>
  <si>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</si>
  <si>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</si>
  <si>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</si>
  <si>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</si>
  <si>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</si>
  <si>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</si>
  <si>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</si>
  <si>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</si>
  <si>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</si>
  <si>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</si>
  <si>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</si>
  <si>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</si>
  <si>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</si>
  <si>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</si>
  <si>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</si>
  <si>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</si>
  <si>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</si>
  <si>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</si>
  <si>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</si>
  <si>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</si>
  <si>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</si>
  <si>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</si>
  <si>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</si>
  <si>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</si>
  <si>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</si>
  <si>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</si>
  <si>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</si>
  <si>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</si>
  <si>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</si>
  <si>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</si>
  <si>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</si>
  <si>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</si>
  <si>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</si>
  <si>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</si>
  <si>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</si>
  <si>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</si>
  <si>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</si>
  <si>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</si>
  <si>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</si>
  <si>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</si>
  <si>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</si>
  <si>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</si>
  <si>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</si>
  <si>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</si>
  <si>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</si>
  <si>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</si>
  <si>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</si>
  <si>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</si>
  <si>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</si>
  <si>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</si>
  <si>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</si>
  <si>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</si>
  <si>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</si>
  <si>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</si>
  <si>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</si>
  <si>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</si>
  <si>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</si>
  <si>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</si>
  <si>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</si>
  <si>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</si>
  <si>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</si>
  <si>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</si>
  <si>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</si>
  <si>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</si>
  <si>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</si>
  <si>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</si>
  <si>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</si>
  <si>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</si>
  <si>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</si>
  <si>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</si>
  <si>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</si>
  <si>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</si>
  <si>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</si>
  <si>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</si>
  <si>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</si>
  <si>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</si>
  <si>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</si>
  <si>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</si>
  <si>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</si>
  <si>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</si>
  <si>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</si>
  <si>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</si>
  <si>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</si>
  <si>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</si>
  <si>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</si>
  <si>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</si>
  <si>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</si>
  <si>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</si>
  <si>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</si>
  <si>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</si>
  <si>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</si>
  <si>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</si>
  <si>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</si>
  <si>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</si>
  <si>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</si>
  <si>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</si>
  <si>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</si>
  <si>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</si>
  <si>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</si>
  <si>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</si>
  <si>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</si>
  <si>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</si>
  <si>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</si>
  <si>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</si>
  <si>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</si>
  <si>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</si>
  <si>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</si>
  <si>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</si>
  <si>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</si>
  <si>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</si>
  <si>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</si>
  <si>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</si>
  <si>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</si>
  <si>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</si>
  <si>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</si>
  <si>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</si>
  <si>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</si>
  <si>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</si>
  <si>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</si>
  <si>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</si>
  <si>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</si>
  <si>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</si>
  <si>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</si>
  <si>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</si>
  <si>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</si>
  <si>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</si>
  <si>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</si>
  <si>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</si>
  <si>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</si>
  <si>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</si>
  <si>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</si>
  <si>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</si>
  <si>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</si>
  <si>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</si>
  <si>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</si>
  <si>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</si>
  <si>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</si>
  <si>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</si>
  <si>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</si>
  <si>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</si>
  <si>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</si>
  <si>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</si>
  <si>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</si>
  <si>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</si>
  <si>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</si>
  <si>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</si>
  <si>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</si>
  <si>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</si>
  <si>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</si>
  <si>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</si>
  <si>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</si>
  <si>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</si>
  <si>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</si>
  <si>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</si>
  <si>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</si>
  <si>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</si>
  <si>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</si>
  <si>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</si>
  <si>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</si>
  <si>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</si>
  <si>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</si>
  <si>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</si>
  <si>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</si>
  <si>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</si>
  <si>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</si>
  <si>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</si>
  <si>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</si>
  <si>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</si>
  <si>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</si>
  <si>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</si>
  <si>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</si>
  <si>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</si>
  <si>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</si>
  <si>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</si>
  <si>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</si>
  <si>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</si>
  <si>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</si>
  <si>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</si>
  <si>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</si>
  <si>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</si>
  <si>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</si>
  <si>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</si>
  <si>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</si>
  <si>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</si>
  <si>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</si>
  <si>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</si>
  <si>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</si>
  <si>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</si>
  <si>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</si>
  <si>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</si>
  <si>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</si>
  <si>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</si>
  <si>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</si>
  <si>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</si>
  <si>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</si>
  <si>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</si>
  <si>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</si>
  <si>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</si>
  <si>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</si>
  <si>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</si>
  <si>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</si>
  <si>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</si>
  <si>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</si>
  <si>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</si>
  <si>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</si>
  <si>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</si>
  <si>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</si>
  <si>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</si>
  <si>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</si>
  <si>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</si>
  <si>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</si>
  <si>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</si>
  <si>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</si>
  <si>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</si>
  <si>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</si>
  <si>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</si>
  <si>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</si>
  <si>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</si>
  <si>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</si>
  <si>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</si>
  <si>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</si>
  <si>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</si>
  <si>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</si>
  <si>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</si>
  <si>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</si>
  <si>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</si>
  <si>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</si>
  <si>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</si>
  <si>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</si>
  <si>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</si>
  <si>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</si>
  <si>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</si>
  <si>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</si>
  <si>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</si>
  <si>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</si>
  <si>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</si>
  <si>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</si>
  <si>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</si>
  <si>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</si>
  <si>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</si>
  <si>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</si>
  <si>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</si>
  <si>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</si>
  <si>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</si>
  <si>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</si>
  <si>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</si>
  <si>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</si>
  <si>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</si>
  <si>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</si>
  <si>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</si>
  <si>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</si>
  <si>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</si>
  <si>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</si>
  <si>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</si>
  <si>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</si>
  <si>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</si>
  <si>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</si>
  <si>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</si>
  <si>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</si>
  <si>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</si>
  <si>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</si>
  <si>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</si>
  <si>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</si>
  <si>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</si>
  <si>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</si>
  <si>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</si>
  <si>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</si>
  <si>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</si>
  <si>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</si>
  <si>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</si>
  <si>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</si>
  <si>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</si>
  <si>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</si>
  <si>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</si>
  <si>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</si>
  <si>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</si>
  <si>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</si>
  <si>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</si>
  <si>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</si>
  <si>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</si>
  <si>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</si>
  <si>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</si>
  <si>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</si>
  <si>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</si>
  <si>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</si>
  <si>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</si>
  <si>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</si>
  <si>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</si>
  <si>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</si>
  <si>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</si>
  <si>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</si>
  <si>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</si>
  <si>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</si>
  <si>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</si>
  <si>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</si>
  <si>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</si>
  <si>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</si>
  <si>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</si>
  <si>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</si>
  <si>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</si>
  <si>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</si>
  <si>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</si>
  <si>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</si>
  <si>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</si>
  <si>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</si>
  <si>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</si>
  <si>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</si>
  <si>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</si>
  <si>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</si>
  <si>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</si>
  <si>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</si>
  <si>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</si>
  <si>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</si>
  <si>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</si>
  <si>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</si>
  <si>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</si>
  <si>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</si>
  <si>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</si>
  <si>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</si>
  <si>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</si>
  <si>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</si>
  <si>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</si>
  <si>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</si>
  <si>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</si>
  <si>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</si>
  <si>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</si>
  <si>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</si>
  <si>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</si>
  <si>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</si>
  <si>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</si>
  <si>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</si>
  <si>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</si>
  <si>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</si>
  <si>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</si>
  <si>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</si>
  <si>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</si>
  <si>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</si>
  <si>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</si>
  <si>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</si>
  <si>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</si>
  <si>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</si>
  <si>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</si>
  <si>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</si>
  <si>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</si>
  <si>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</si>
  <si>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</si>
  <si>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</si>
  <si>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</si>
  <si>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</si>
  <si>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</si>
  <si>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</si>
  <si>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</si>
  <si>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</si>
  <si>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</si>
  <si>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</si>
  <si>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</si>
  <si>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</si>
  <si>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</si>
  <si>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</si>
  <si>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</si>
  <si>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</si>
  <si>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</si>
  <si>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</si>
  <si>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</si>
  <si>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</si>
  <si>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</si>
  <si>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</si>
  <si>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</si>
  <si>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</si>
  <si>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</si>
  <si>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</si>
  <si>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</si>
  <si>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</si>
  <si>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</si>
  <si>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</si>
  <si>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</si>
  <si>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</si>
  <si>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</si>
  <si>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</si>
  <si>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</si>
  <si>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</si>
  <si>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</si>
  <si>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</si>
  <si>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</si>
  <si>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</si>
  <si>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</si>
  <si>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</si>
  <si>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</si>
  <si>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</si>
  <si>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</si>
  <si>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</si>
  <si>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</si>
  <si>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</si>
  <si>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</si>
  <si>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</si>
  <si>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</si>
  <si>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</si>
  <si>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</si>
  <si>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</si>
  <si>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</si>
  <si>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</si>
  <si>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</si>
  <si>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</si>
  <si>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</si>
  <si>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</si>
  <si>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</si>
  <si>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</si>
  <si>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</si>
  <si>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</si>
  <si>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</si>
  <si>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</si>
  <si>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</si>
  <si>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</si>
  <si>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</si>
  <si>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</si>
  <si>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</si>
  <si>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</si>
  <si>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</si>
  <si>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</si>
  <si>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</si>
  <si>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</si>
  <si>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</si>
  <si>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</si>
  <si>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</si>
  <si>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</si>
  <si>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</si>
  <si>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</si>
  <si>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</si>
  <si>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</si>
  <si>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</si>
  <si>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</si>
  <si>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</si>
  <si>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</si>
  <si>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</si>
  <si>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</si>
  <si>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</si>
  <si>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</si>
  <si>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</si>
  <si>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</si>
  <si>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</si>
  <si>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</si>
  <si>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</si>
  <si>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</si>
  <si>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</si>
  <si>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</si>
  <si>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</si>
  <si>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</si>
  <si>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</si>
  <si>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</si>
  <si>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</si>
  <si>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</si>
  <si>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</si>
  <si>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</si>
  <si>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</si>
  <si>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</si>
  <si>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</si>
  <si>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</si>
  <si>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</si>
  <si>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</si>
  <si>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</si>
  <si>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</si>
  <si>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</si>
  <si>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</si>
  <si>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</si>
  <si>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</si>
  <si>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</si>
  <si>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</si>
  <si>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</si>
  <si>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</si>
  <si>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</si>
  <si>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</si>
  <si>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</si>
  <si>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</si>
  <si>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</si>
  <si>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</si>
  <si>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</si>
  <si>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</si>
  <si>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</si>
  <si>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</si>
  <si>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</si>
  <si>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</si>
  <si>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</si>
  <si>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</si>
  <si>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</si>
  <si>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</si>
  <si>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</si>
  <si>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</si>
  <si>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</si>
  <si>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</si>
  <si>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</si>
  <si>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</si>
  <si>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</si>
  <si>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</si>
  <si>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</si>
  <si>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</si>
  <si>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</si>
  <si>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</si>
  <si>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</si>
  <si>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</si>
  <si>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</si>
  <si>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</si>
  <si>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</si>
  <si>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</si>
  <si>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</si>
  <si>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</si>
  <si>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</si>
  <si>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</si>
  <si>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</si>
  <si>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</si>
  <si>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</si>
  <si>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</si>
  <si>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</si>
  <si>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</si>
  <si>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</si>
  <si>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</si>
  <si>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</si>
  <si>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</si>
  <si>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</si>
  <si>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</si>
  <si>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</si>
  <si>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</si>
  <si>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</si>
  <si>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</si>
  <si>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</si>
  <si>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</si>
  <si>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</si>
  <si>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</si>
  <si>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</si>
  <si>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</si>
  <si>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</si>
  <si>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</si>
  <si>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</si>
  <si>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</si>
  <si>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</si>
  <si>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</si>
  <si>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</si>
  <si>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</si>
  <si>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</si>
  <si>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</si>
  <si>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</si>
  <si>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</si>
  <si>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</si>
  <si>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</si>
  <si>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</si>
  <si>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</si>
  <si>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</si>
  <si>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</si>
  <si>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</si>
  <si>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</si>
  <si>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</si>
  <si>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</si>
  <si>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</si>
  <si>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</si>
  <si>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</si>
  <si>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</si>
  <si>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</si>
  <si>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</si>
  <si>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</si>
  <si>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</si>
  <si>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</si>
  <si>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</si>
  <si>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</si>
  <si>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</si>
  <si>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</si>
  <si>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</si>
  <si>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</si>
  <si>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</si>
  <si>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</si>
  <si>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</si>
  <si>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</si>
  <si>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</si>
  <si>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</si>
  <si>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</si>
  <si>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</si>
  <si>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</si>
  <si>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</si>
  <si>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</si>
  <si>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</si>
  <si>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</si>
  <si>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</si>
  <si>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</si>
  <si>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</si>
  <si>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</si>
  <si>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</si>
  <si>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</si>
  <si>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</si>
  <si>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</si>
  <si>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</si>
  <si>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</si>
  <si>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</si>
  <si>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</si>
  <si>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</si>
  <si>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</si>
  <si>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</si>
  <si>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</si>
  <si>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</si>
  <si>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</si>
  <si>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</si>
  <si>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</si>
  <si>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</si>
  <si>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</si>
  <si>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</si>
  <si>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</si>
  <si>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</si>
  <si>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</si>
  <si>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</si>
  <si>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</si>
  <si>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</si>
  <si>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</si>
  <si>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</si>
  <si>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</si>
  <si>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</si>
  <si>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</si>
  <si>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</si>
  <si>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</si>
  <si>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</si>
  <si>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</si>
  <si>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</si>
  <si>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</si>
  <si>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</si>
  <si>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</si>
  <si>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</si>
  <si>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</si>
  <si>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</si>
  <si>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</si>
  <si>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</si>
  <si>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</si>
  <si>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</si>
  <si>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</si>
  <si>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</si>
  <si>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</si>
  <si>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</si>
  <si>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</si>
  <si>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</si>
  <si>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</si>
  <si>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</si>
  <si>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</si>
  <si>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</si>
  <si>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</si>
  <si>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</si>
  <si>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</si>
  <si>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</si>
  <si>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</si>
  <si>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</si>
  <si>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</si>
  <si>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</si>
  <si>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</si>
  <si>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</si>
  <si>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</si>
  <si>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</si>
  <si>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</si>
  <si>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</si>
  <si>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</si>
  <si>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</si>
  <si>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</si>
  <si>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</si>
  <si>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</si>
  <si>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</si>
  <si>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</si>
  <si>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</si>
  <si>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</si>
  <si>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</si>
  <si>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</si>
  <si>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</si>
  <si>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</si>
  <si>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</si>
  <si>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</si>
  <si>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</si>
  <si>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</si>
  <si>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</si>
  <si>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</si>
  <si>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</si>
  <si>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</si>
  <si>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</si>
  <si>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</si>
  <si>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</si>
  <si>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</si>
  <si>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</si>
  <si>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</si>
  <si>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</si>
  <si>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</si>
  <si>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</si>
  <si>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</si>
  <si>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</si>
  <si>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</si>
  <si>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</si>
  <si>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</si>
  <si>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</si>
  <si>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</si>
  <si>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</si>
  <si>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</si>
  <si>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</si>
  <si>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</si>
  <si>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</si>
  <si>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</si>
  <si>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</si>
  <si>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</si>
  <si>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</si>
  <si>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</si>
  <si>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</si>
  <si>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</si>
  <si>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</si>
  <si>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</si>
  <si>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</si>
  <si>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</si>
  <si>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</si>
  <si>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</si>
  <si>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</si>
  <si>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</si>
  <si>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</si>
  <si>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</si>
  <si>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</si>
  <si>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</si>
  <si>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</si>
  <si>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</si>
  <si>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</si>
  <si>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</si>
  <si>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</si>
  <si>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</si>
  <si>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</si>
  <si>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</si>
  <si>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</si>
  <si>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</si>
  <si>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</si>
  <si>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</si>
  <si>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</si>
  <si>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</si>
  <si>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</si>
  <si>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</si>
  <si>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</si>
  <si>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</si>
  <si>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</si>
  <si>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</si>
  <si>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</si>
  <si>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</si>
  <si>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</si>
  <si>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</si>
  <si>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</si>
  <si>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</si>
  <si>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</si>
  <si>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</si>
  <si>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</si>
  <si>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</si>
  <si>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</si>
  <si>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</si>
  <si>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</si>
  <si>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</si>
  <si>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</si>
  <si>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</si>
  <si>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</si>
  <si>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</si>
  <si>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</si>
  <si>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</si>
  <si>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</si>
  <si>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</si>
  <si>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</si>
  <si>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</si>
  <si>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</si>
  <si>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</si>
  <si>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</si>
  <si>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</si>
  <si>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</si>
  <si>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</si>
  <si>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</si>
  <si>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</si>
  <si>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</si>
  <si>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</si>
  <si>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</si>
  <si>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</si>
  <si>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</si>
  <si>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</si>
  <si>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</si>
  <si>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</si>
  <si>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</si>
  <si>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</si>
  <si>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</si>
  <si>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</si>
  <si>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</si>
  <si>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</si>
  <si>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</si>
  <si>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</si>
  <si>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</si>
  <si>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</si>
  <si>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</si>
  <si>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</si>
  <si>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</si>
  <si>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</si>
  <si>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</si>
  <si>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</si>
  <si>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</si>
  <si>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</si>
  <si>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</si>
  <si>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</si>
  <si>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</si>
  <si>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</si>
  <si>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</si>
  <si>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</si>
  <si>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</si>
  <si>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</si>
  <si>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</si>
  <si>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</si>
  <si>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</si>
  <si>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</si>
  <si>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</si>
  <si>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</si>
  <si>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</si>
  <si>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</si>
  <si>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</si>
  <si>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</si>
  <si>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</si>
  <si>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</si>
  <si>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</si>
  <si>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</si>
  <si>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</si>
  <si>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</si>
  <si>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</si>
  <si>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</si>
  <si>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</si>
  <si>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</si>
  <si>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</si>
  <si>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</si>
  <si>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</si>
  <si>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</si>
  <si>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</si>
  <si>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</si>
  <si>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</si>
  <si>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</si>
  <si>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</si>
  <si>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</si>
  <si>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</si>
  <si>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</si>
  <si>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</si>
  <si>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</si>
  <si>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</si>
  <si>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</si>
  <si>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</si>
  <si>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</si>
  <si>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</si>
  <si>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</si>
  <si>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</si>
  <si>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</si>
  <si>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</si>
  <si>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</si>
  <si>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</si>
  <si>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</si>
  <si>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</si>
  <si>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</si>
  <si>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</si>
  <si>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</si>
  <si>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</si>
  <si>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</si>
  <si>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</si>
  <si>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</si>
  <si>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</si>
  <si>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</si>
  <si>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</si>
  <si>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</si>
  <si>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</si>
  <si>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</si>
  <si>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</si>
  <si>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</si>
  <si>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</si>
  <si>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</si>
  <si>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</si>
  <si>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</si>
  <si>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</si>
  <si>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</si>
  <si>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</si>
  <si>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</si>
  <si>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</si>
  <si>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</si>
  <si>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</si>
  <si>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</si>
  <si>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</si>
  <si>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</si>
  <si>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</si>
  <si>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</si>
  <si>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</si>
  <si>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</si>
  <si>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</si>
  <si>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</si>
  <si>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</si>
  <si>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</si>
  <si>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</si>
  <si>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</si>
  <si>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</si>
  <si>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</si>
  <si>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</si>
  <si>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</si>
  <si>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</si>
  <si>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</si>
  <si>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</si>
  <si>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</si>
  <si>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</si>
  <si>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</si>
  <si>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</si>
  <si>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</si>
  <si>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</si>
  <si>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</si>
  <si>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</si>
  <si>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</si>
  <si>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</si>
  <si>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</si>
  <si>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</si>
  <si>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</si>
  <si>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</si>
  <si>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</si>
  <si>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</si>
  <si>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</si>
  <si>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</si>
  <si>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</si>
  <si>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</si>
  <si>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</si>
  <si>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</si>
  <si>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</si>
  <si>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</si>
  <si>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</si>
  <si>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</si>
  <si>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</si>
  <si>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</si>
  <si>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</si>
  <si>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</si>
  <si>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</si>
  <si>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</si>
  <si>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</si>
  <si>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</si>
  <si>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</si>
  <si>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</si>
  <si>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</si>
  <si>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</si>
  <si>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</si>
  <si>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</si>
  <si>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</si>
  <si>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</si>
  <si>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</si>
  <si>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</si>
  <si>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</si>
  <si>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</si>
  <si>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</si>
  <si>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</si>
  <si>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</si>
  <si>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</si>
  <si>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</si>
  <si>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</si>
  <si>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</si>
  <si>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</si>
  <si>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</si>
  <si>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</si>
  <si>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</si>
  <si>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</si>
  <si>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</si>
  <si>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</si>
  <si>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</si>
  <si>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</si>
  <si>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</si>
  <si>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</si>
  <si>
    <t>做过同项目</t>
    <phoneticPr fontId="6" type="noConversion"/>
  </si>
  <si>
    <t>调查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</si>
</sst>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53" fillId="8" borderId="8" xfId="1" applyFont="1" applyFill="1" applyBorder="1" applyAlignment="1" applyProtection="1">
      <alignment horizontal="right" vertical="center"/>
      <protection locked="0"/>
    </xf>
    <xf numFmtId="9" fontId="44" fillId="8" borderId="37" xfId="0" applyNumberFormat="1"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485775</xdr:colOff>
      <xdr:row>0</xdr:row>
      <xdr:rowOff>0</xdr:rowOff>
    </xdr:from>
    <xdr:to>
      <xdr:col>10</xdr:col>
      <xdr:colOff>542489</xdr:colOff>
      <xdr:row>13</xdr:row>
      <xdr:rowOff>152102</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3914775" y="0"/>
          <a:ext cx="3485714" cy="2380952"/>
        </a:xfrm>
        <a:prstGeom prst="rect">
          <a:avLst/>
        </a:prstGeom>
      </xdr:spPr>
    </xdr:pic>
    <xdr:clientData/>
  </xdr:twoCellAnchor>
  <xdr:twoCellAnchor editAs="oneCell">
    <xdr:from>
      <xdr:col>5</xdr:col>
      <xdr:colOff>514350</xdr:colOff>
      <xdr:row>13</xdr:row>
      <xdr:rowOff>161925</xdr:rowOff>
    </xdr:from>
    <xdr:to>
      <xdr:col>11</xdr:col>
      <xdr:colOff>9074</xdr:colOff>
      <xdr:row>20</xdr:row>
      <xdr:rowOff>9394</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3943350" y="2390775"/>
          <a:ext cx="3609524" cy="1047619"/>
        </a:xfrm>
        <a:prstGeom prst="rect">
          <a:avLst/>
        </a:prstGeom>
      </xdr:spPr>
    </xdr:pic>
    <xdr:clientData/>
  </xdr:twoCellAnchor>
  <xdr:twoCellAnchor editAs="oneCell">
    <xdr:from>
      <xdr:col>0</xdr:col>
      <xdr:colOff>0</xdr:colOff>
      <xdr:row>12</xdr:row>
      <xdr:rowOff>104775</xdr:rowOff>
    </xdr:from>
    <xdr:to>
      <xdr:col>5</xdr:col>
      <xdr:colOff>390048</xdr:colOff>
      <xdr:row>19</xdr:row>
      <xdr:rowOff>95101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162175"/>
          <a:ext cx="3819048" cy="1190476"/>
        </a:xfrm>
        <a:prstGeom prst="rect">
          <a:avLst/>
        </a:prstGeom>
      </xdr:spPr>
    </xdr:pic>
    <xdr:clientData/>
  </xdr:twoCellAnchor>
  <xdr:twoCellAnchor editAs="oneCell">
    <xdr:from>
      <xdr:col>0</xdr:col>
      <xdr:colOff>66675</xdr:colOff>
      <xdr:row>20</xdr:row>
      <xdr:rowOff>66675</xdr:rowOff>
    </xdr:from>
    <xdr:to>
      <xdr:col>5</xdr:col>
      <xdr:colOff>66246</xdr:colOff>
      <xdr:row>27</xdr:row>
      <xdr:rowOff>9382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 y="3495675"/>
          <a:ext cx="3428571" cy="1142857"/>
        </a:xfrm>
        <a:prstGeom prst="rect">
          <a:avLst/>
        </a:prstGeom>
      </xdr:spPr>
    </xdr:pic>
    <xdr:clientData/>
  </xdr:twoCellAnchor>
  <xdr:twoCellAnchor editAs="oneCell">
    <xdr:from>
      <xdr:col>0</xdr:col>
      <xdr:colOff>19050</xdr:colOff>
      <xdr:row>27</xdr:row>
      <xdr:rowOff>28575</xdr:rowOff>
    </xdr:from>
    <xdr:to>
      <xdr:col>5</xdr:col>
      <xdr:colOff>132907</xdr:colOff>
      <xdr:row>34</xdr:row>
      <xdr:rowOff>85568</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 y="4657725"/>
          <a:ext cx="354285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估价对象为北京市房地产，为所有。根据《国有土地使用证》[]，估价对象（分摊）出让国有建设用地使用权面积为0平方米，建筑面积为109.4平方米。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估价对象为北京市房地产,属开发建设的办公项目，该项目尚在开发建设中。根据《国有土地使用证》[]，估价对象（分摊）出让国有建设用地使用权面积为0平方米，规划建筑面积为109.4平方米。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2026年1月29日（评估专业人员实地查勘之日）</v>
      </c>
    </row>
    <row r="13" spans="1:2">
      <c r="A13" s="793" t="s">
        <v>523</v>
      </c>
      <c r="B13" s="794"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209.97139999999999</v>
      </c>
    </row>
    <row r="21" spans="1:2">
      <c r="A21" s="793" t="s">
        <v>531</v>
      </c>
      <c r="B21" s="794">
        <f ca="1">'预评函-2'!D7</f>
        <v>19193</v>
      </c>
    </row>
    <row r="22" spans="1:2">
      <c r="A22" s="793" t="s">
        <v>532</v>
      </c>
      <c r="B22" s="794" t="str">
        <f ca="1">'预评函-2'!D6</f>
        <v>贰佰零玖万玖仟柒佰壹拾肆元整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209.97139999999999</v>
      </c>
    </row>
    <row r="31" spans="1:2">
      <c r="A31" s="793" t="s">
        <v>570</v>
      </c>
      <c r="B31" s="794">
        <f ca="1">'预评函-2'!D15</f>
        <v>19193</v>
      </c>
    </row>
    <row r="32" spans="1:2">
      <c r="A32" s="793" t="s">
        <v>537</v>
      </c>
      <c r="B32" s="794" t="str">
        <f ca="1">'预评函-2'!D14</f>
        <v>贰佰零玖万玖仟柒佰壹拾肆元整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109.4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1">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1">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1">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1">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2" t="s">
        <v>379</v>
      </c>
      <c r="C54" s="1090" t="s">
        <v>577</v>
      </c>
    </row>
    <row r="55" spans="1:4">
      <c r="A55" s="4275"/>
      <c r="B55" s="1092" t="s">
        <v>380</v>
      </c>
      <c r="C55" s="1090" t="s">
        <v>578</v>
      </c>
    </row>
    <row r="56" spans="1:4">
      <c r="A56" s="4275"/>
      <c r="B56" s="1092" t="s">
        <v>381</v>
      </c>
      <c r="C56" s="1090" t="s">
        <v>582</v>
      </c>
    </row>
    <row r="57" spans="1:4">
      <c r="A57" s="427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I11" sqref="I11:K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2392</v>
      </c>
      <c r="B1" s="2186"/>
      <c r="C1" s="2186"/>
      <c r="D1" s="2186"/>
      <c r="E1" s="2186"/>
      <c r="F1" s="2187"/>
      <c r="I1" s="2478" t="s">
        <v>2485</v>
      </c>
      <c r="J1" s="3507"/>
      <c r="K1" s="3507"/>
      <c r="L1" s="3507"/>
      <c r="M1" s="3507"/>
      <c r="N1" s="3508"/>
      <c r="O1" s="3508"/>
      <c r="P1" s="3508"/>
      <c r="Q1" s="3508"/>
      <c r="R1" s="3509"/>
    </row>
    <row r="2" spans="1:19">
      <c r="A2" s="2189"/>
      <c r="B2" s="2190"/>
      <c r="C2" s="2190"/>
      <c r="D2" s="2190"/>
      <c r="E2" s="2190"/>
      <c r="F2" s="2191"/>
      <c r="I2" s="4276" t="s">
        <v>2472</v>
      </c>
      <c r="J2" s="4277"/>
      <c r="K2" s="4277"/>
      <c r="L2" s="4277"/>
      <c r="M2" s="4277"/>
      <c r="N2" s="4277"/>
      <c r="O2" s="4277"/>
      <c r="P2" s="4277"/>
      <c r="Q2" s="4277"/>
      <c r="R2" s="4278"/>
    </row>
    <row r="3" spans="1:19">
      <c r="A3" s="2192" t="s">
        <v>2393</v>
      </c>
      <c r="B3" s="2193">
        <f>项目基本情况!D3</f>
        <v>46051</v>
      </c>
      <c r="C3" s="2194"/>
      <c r="D3" s="2194"/>
      <c r="E3" s="2194"/>
      <c r="F3" s="2191"/>
      <c r="I3" s="2198"/>
      <c r="J3" s="2199" t="s">
        <v>2476</v>
      </c>
      <c r="K3" s="2199" t="s">
        <v>2477</v>
      </c>
      <c r="L3" s="2199" t="s">
        <v>2478</v>
      </c>
      <c r="M3" s="2199" t="s">
        <v>2479</v>
      </c>
      <c r="N3" s="2479" t="s">
        <v>2480</v>
      </c>
      <c r="O3" s="2479" t="s">
        <v>2481</v>
      </c>
      <c r="P3" s="2479" t="s">
        <v>2482</v>
      </c>
      <c r="Q3" s="2479" t="s">
        <v>2483</v>
      </c>
      <c r="R3" s="3494" t="s">
        <v>2484</v>
      </c>
    </row>
    <row r="4" spans="1:19">
      <c r="A4" s="2192" t="s">
        <v>2394</v>
      </c>
      <c r="B4" s="2194" t="s">
        <v>2395</v>
      </c>
      <c r="C4" s="2194" t="s">
        <v>2396</v>
      </c>
      <c r="D4" s="2194" t="s">
        <v>2397</v>
      </c>
      <c r="E4" s="2194" t="s">
        <v>2398</v>
      </c>
      <c r="F4" s="2191"/>
      <c r="I4" s="2198" t="s">
        <v>2473</v>
      </c>
      <c r="J4" s="3974">
        <v>80</v>
      </c>
      <c r="K4" s="3974">
        <v>70</v>
      </c>
      <c r="L4" s="3974">
        <v>20</v>
      </c>
      <c r="M4" s="3974">
        <v>30</v>
      </c>
      <c r="N4" s="3511">
        <v>45</v>
      </c>
      <c r="O4" s="3511">
        <v>60</v>
      </c>
      <c r="P4" s="3511">
        <v>50</v>
      </c>
      <c r="Q4" s="3511">
        <v>20</v>
      </c>
      <c r="R4" s="3975">
        <v>375</v>
      </c>
    </row>
    <row r="5" spans="1:19">
      <c r="A5" s="3510">
        <v>40</v>
      </c>
      <c r="B5" s="2193">
        <v>46375</v>
      </c>
      <c r="C5" s="3511">
        <f>ROUNDDOWN(MIN((B5-B3)/365,A5),2)</f>
        <v>0.88</v>
      </c>
      <c r="D5" s="3512">
        <f>IF(ISERROR(ROUND(POWER(1+E5,A5-C5)*(POWER(1+E5,C5)-1)/(POWER(1+E5,A5)-1),3)),0,ROUND(POWER(1+E5,A5-C5)*(POWER(1+E5,C5)-1)/(POWER(1+E5,A5)-1),4))</f>
        <v>4.2900000000000001E-2</v>
      </c>
      <c r="E5" s="3513">
        <v>0.04</v>
      </c>
      <c r="F5" s="2191"/>
      <c r="I5" s="2198" t="s">
        <v>2474</v>
      </c>
      <c r="J5" s="3974">
        <v>70</v>
      </c>
      <c r="K5" s="3974">
        <v>60</v>
      </c>
      <c r="L5" s="3974">
        <v>15</v>
      </c>
      <c r="M5" s="3974">
        <v>25</v>
      </c>
      <c r="N5" s="3511">
        <v>40</v>
      </c>
      <c r="O5" s="3511">
        <v>50</v>
      </c>
      <c r="P5" s="3511">
        <v>40</v>
      </c>
      <c r="Q5" s="3511">
        <v>15</v>
      </c>
      <c r="R5" s="3975">
        <v>315</v>
      </c>
    </row>
    <row r="6" spans="1:19" ht="14.25" thickBot="1">
      <c r="A6" s="3510">
        <v>50</v>
      </c>
      <c r="B6" s="2193">
        <v>50028</v>
      </c>
      <c r="C6" s="3511">
        <f>ROUNDDOWN(MIN((B6-B3)/365,A6),2)</f>
        <v>10.89</v>
      </c>
      <c r="D6" s="3512">
        <f>IF(ISERROR(ROUND(POWER(1+E6,A6-C6)*(POWER(1+E6,C6)-1)/(POWER(1+E6,A6)-1),3)),0,ROUND(POWER(1+E6,A6-C6)*(POWER(1+E6,C6)-1)/(POWER(1+E6,A6)-1),4))</f>
        <v>0.40450000000000003</v>
      </c>
      <c r="E6" s="3513">
        <v>0.04</v>
      </c>
      <c r="F6" s="2191"/>
      <c r="I6" s="3495" t="s">
        <v>2475</v>
      </c>
      <c r="J6" s="3976">
        <v>60</v>
      </c>
      <c r="K6" s="3976">
        <v>50</v>
      </c>
      <c r="L6" s="3976">
        <v>10</v>
      </c>
      <c r="M6" s="3976">
        <v>20</v>
      </c>
      <c r="N6" s="3977">
        <v>35</v>
      </c>
      <c r="O6" s="3977">
        <v>40</v>
      </c>
      <c r="P6" s="3977">
        <v>30</v>
      </c>
      <c r="Q6" s="3977">
        <v>10</v>
      </c>
      <c r="R6" s="3978">
        <v>255</v>
      </c>
    </row>
    <row r="7" spans="1:19">
      <c r="A7" s="3510">
        <v>70</v>
      </c>
      <c r="B7" s="2193">
        <v>57333</v>
      </c>
      <c r="C7" s="3511">
        <f>ROUNDDOWN(MIN((B7-B3)/365,A7),2)</f>
        <v>30.9</v>
      </c>
      <c r="D7" s="3512">
        <f>IF(ISERROR(ROUND(POWER(1+E7,A7-C7)*(POWER(1+E7,C7)-1)/(POWER(1+E7,A7)-1),3)),0,ROUND(POWER(1+E7,A7-C7)*(POWER(1+E7,C7)-1)/(POWER(1+E7,A7)-1),4))</f>
        <v>0.75060000000000004</v>
      </c>
      <c r="E7" s="3513">
        <v>0.04</v>
      </c>
      <c r="F7" s="2191"/>
      <c r="I7" s="3496" t="s">
        <v>3677</v>
      </c>
      <c r="J7" s="3497" t="s">
        <v>3679</v>
      </c>
      <c r="K7" s="3498">
        <v>2.5</v>
      </c>
      <c r="L7" s="3499"/>
      <c r="M7" s="3493"/>
      <c r="N7" s="2186"/>
      <c r="O7" s="2186"/>
      <c r="P7" s="2186"/>
      <c r="Q7" s="2186"/>
      <c r="R7" s="2187"/>
    </row>
    <row r="8" spans="1:19" ht="14.25" thickBot="1">
      <c r="A8" s="2189"/>
      <c r="B8" s="2190"/>
      <c r="C8" s="2190"/>
      <c r="D8" s="2190"/>
      <c r="E8" s="2190"/>
      <c r="F8" s="2191"/>
      <c r="I8" s="4276" t="s">
        <v>3678</v>
      </c>
      <c r="J8" s="4277"/>
      <c r="K8" s="4277"/>
      <c r="L8" s="4277"/>
      <c r="M8" s="4277"/>
      <c r="N8" s="4277"/>
      <c r="O8" s="4277"/>
      <c r="P8" s="4277"/>
      <c r="Q8" s="4277"/>
      <c r="R8" s="4278"/>
    </row>
    <row r="9" spans="1:19">
      <c r="A9" s="2192" t="s">
        <v>2399</v>
      </c>
      <c r="B9" s="2194"/>
      <c r="C9" s="2194"/>
      <c r="D9" s="2194"/>
      <c r="E9" s="2194"/>
      <c r="F9" s="2195"/>
      <c r="I9" s="2198"/>
      <c r="J9" s="2199" t="s">
        <v>2476</v>
      </c>
      <c r="K9" s="2199" t="s">
        <v>2477</v>
      </c>
      <c r="L9" s="2199" t="s">
        <v>2478</v>
      </c>
      <c r="M9" s="2199" t="s">
        <v>2479</v>
      </c>
      <c r="N9" s="2479" t="s">
        <v>2480</v>
      </c>
      <c r="O9" s="2479" t="s">
        <v>2481</v>
      </c>
      <c r="P9" s="2479" t="s">
        <v>2482</v>
      </c>
      <c r="Q9" s="2479" t="s">
        <v>2483</v>
      </c>
      <c r="R9" s="3494" t="s">
        <v>2484</v>
      </c>
      <c r="S9" s="4281" t="s">
        <v>3884</v>
      </c>
    </row>
    <row r="10" spans="1:19">
      <c r="A10" s="2192" t="s">
        <v>2400</v>
      </c>
      <c r="B10" s="2194"/>
      <c r="C10" s="2194"/>
      <c r="D10" s="2194" t="s">
        <v>2398</v>
      </c>
      <c r="E10" s="2194"/>
      <c r="F10" s="2195" t="s">
        <v>2397</v>
      </c>
      <c r="I10" s="2198" t="s">
        <v>2473</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2"/>
    </row>
    <row r="11" spans="1:19">
      <c r="A11" s="3516" t="s">
        <v>2401</v>
      </c>
      <c r="B11" s="3514">
        <v>70</v>
      </c>
      <c r="C11" s="3517" t="s">
        <v>2402</v>
      </c>
      <c r="D11" s="3513">
        <v>4.4999999999999998E-2</v>
      </c>
      <c r="E11" s="3517" t="s">
        <v>2403</v>
      </c>
      <c r="F11" s="3515">
        <f>ROUND(1-(1/(POWER(1+D11,B11))),4)</f>
        <v>0.95409999999999995</v>
      </c>
      <c r="I11" s="2198" t="s">
        <v>2474</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2"/>
    </row>
    <row r="12" spans="1:19" ht="14.25" thickBot="1">
      <c r="A12" s="3516" t="s">
        <v>2404</v>
      </c>
      <c r="B12" s="3514">
        <v>40</v>
      </c>
      <c r="C12" s="3517" t="s">
        <v>2405</v>
      </c>
      <c r="D12" s="3513">
        <v>4.4999999999999998E-2</v>
      </c>
      <c r="E12" s="3517" t="s">
        <v>2406</v>
      </c>
      <c r="F12" s="3515">
        <f>ROUND(1-(1/(POWER(1+D12,B12))),4)</f>
        <v>0.82809999999999995</v>
      </c>
      <c r="I12" s="3500" t="s">
        <v>2475</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2"/>
    </row>
    <row r="13" spans="1:19">
      <c r="A13" s="2192" t="s">
        <v>2407</v>
      </c>
      <c r="B13" s="2194"/>
      <c r="C13" s="2194"/>
      <c r="D13" s="2190"/>
      <c r="E13" s="2190"/>
      <c r="F13" s="2191"/>
      <c r="I13" s="3492" t="s">
        <v>3680</v>
      </c>
      <c r="J13" s="3501">
        <v>2.5</v>
      </c>
      <c r="K13" s="3493" t="s">
        <v>3681</v>
      </c>
      <c r="L13" s="3502">
        <v>0.92630000000000001</v>
      </c>
      <c r="M13" s="3493"/>
      <c r="N13" s="2186"/>
      <c r="O13" s="2186"/>
      <c r="P13" s="2186"/>
      <c r="Q13" s="2186"/>
      <c r="R13" s="2187"/>
      <c r="S13" s="4282"/>
    </row>
    <row r="14" spans="1:19">
      <c r="A14" s="3516" t="s">
        <v>2408</v>
      </c>
      <c r="B14" s="3518">
        <v>5000</v>
      </c>
      <c r="C14" s="3519"/>
      <c r="D14" s="2190"/>
      <c r="E14" s="2190"/>
      <c r="F14" s="2191"/>
      <c r="I14" s="2198"/>
      <c r="J14" s="2199" t="s">
        <v>2476</v>
      </c>
      <c r="K14" s="2199" t="s">
        <v>2477</v>
      </c>
      <c r="L14" s="2199" t="s">
        <v>2478</v>
      </c>
      <c r="M14" s="2199" t="s">
        <v>2479</v>
      </c>
      <c r="N14" s="2479" t="s">
        <v>2480</v>
      </c>
      <c r="O14" s="2479" t="s">
        <v>2481</v>
      </c>
      <c r="P14" s="2479" t="s">
        <v>2482</v>
      </c>
      <c r="Q14" s="2479" t="s">
        <v>2483</v>
      </c>
      <c r="R14" s="3494" t="s">
        <v>2484</v>
      </c>
      <c r="S14" s="4282"/>
    </row>
    <row r="15" spans="1:19">
      <c r="A15" s="3516" t="s">
        <v>2409</v>
      </c>
      <c r="B15" s="3520">
        <f>ROUND(B14*F12/F11,2)</f>
        <v>4339.6899999999996</v>
      </c>
      <c r="C15" s="3512">
        <f>ROUND(F12/F11,4)</f>
        <v>0.8679</v>
      </c>
      <c r="D15" s="2190"/>
      <c r="E15" s="2190"/>
      <c r="F15" s="2191"/>
      <c r="I15" s="2198" t="s">
        <v>2473</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2"/>
    </row>
    <row r="16" spans="1:19">
      <c r="A16" s="2192" t="s">
        <v>2410</v>
      </c>
      <c r="B16" s="2599"/>
      <c r="C16" s="2599"/>
      <c r="D16" s="2190"/>
      <c r="E16" s="2190"/>
      <c r="F16" s="2191"/>
      <c r="I16" s="2198" t="s">
        <v>2474</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2"/>
    </row>
    <row r="17" spans="1:19" ht="14.25" thickBot="1">
      <c r="A17" s="3516" t="s">
        <v>2409</v>
      </c>
      <c r="B17" s="3518">
        <v>4810</v>
      </c>
      <c r="C17" s="3519"/>
      <c r="D17" s="2190"/>
      <c r="E17" s="2190"/>
      <c r="F17" s="2191"/>
      <c r="I17" s="3495" t="s">
        <v>2475</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3"/>
    </row>
    <row r="18" spans="1:19" ht="14.25" thickBot="1">
      <c r="A18" s="3521" t="s">
        <v>2408</v>
      </c>
      <c r="B18" s="3522">
        <f>ROUND(B17*F11/F12,2)</f>
        <v>5541.87</v>
      </c>
      <c r="C18" s="3523">
        <f>ROUND(F11/F12,4)</f>
        <v>1.1521999999999999</v>
      </c>
      <c r="D18" s="2196"/>
      <c r="E18" s="2196"/>
      <c r="F18" s="2197"/>
    </row>
    <row r="19" spans="1:19" s="3504" customFormat="1" ht="14.25" thickBot="1">
      <c r="I19" s="3503"/>
      <c r="J19" s="3503"/>
      <c r="K19" s="3503"/>
      <c r="L19" s="3503"/>
      <c r="M19" s="3503"/>
    </row>
    <row r="20" spans="1:19">
      <c r="A20" s="3505" t="s">
        <v>2411</v>
      </c>
      <c r="B20" s="2352"/>
      <c r="C20" s="2352"/>
      <c r="D20" s="2352"/>
      <c r="E20" s="2352"/>
      <c r="F20" s="2352"/>
      <c r="G20" s="3506"/>
      <c r="I20" s="2219" t="s">
        <v>2456</v>
      </c>
      <c r="J20" s="2219" t="s">
        <v>2461</v>
      </c>
    </row>
    <row r="21" spans="1:19">
      <c r="A21" s="2198"/>
      <c r="B21" s="2199" t="s">
        <v>2412</v>
      </c>
      <c r="C21" s="2199" t="s">
        <v>2413</v>
      </c>
      <c r="D21" s="2199" t="s">
        <v>2414</v>
      </c>
      <c r="E21" s="2199" t="s">
        <v>2415</v>
      </c>
      <c r="F21" s="2199" t="s">
        <v>2416</v>
      </c>
      <c r="G21" s="2200" t="s">
        <v>2417</v>
      </c>
      <c r="I21" s="2601">
        <v>5</v>
      </c>
      <c r="J21" s="2600">
        <v>54.2</v>
      </c>
      <c r="K21" s="2600"/>
    </row>
    <row r="22" spans="1:19">
      <c r="A22" s="2198" t="s">
        <v>2418</v>
      </c>
      <c r="B22" s="3525">
        <v>70</v>
      </c>
      <c r="C22" s="3524">
        <v>30</v>
      </c>
      <c r="D22" s="3526">
        <v>0.04</v>
      </c>
      <c r="E22" s="3527">
        <f>ROUND(POWER(1+D22,B22-C22)*(POWER(1+D22,C22)-1)/(POWER(1+D22,B22)-1),4)</f>
        <v>0.73909999999999998</v>
      </c>
      <c r="F22" s="3526">
        <v>0.7</v>
      </c>
      <c r="G22" s="3528">
        <f>ROUND(100*(1-(1-E22)*F22),1)</f>
        <v>81.7</v>
      </c>
      <c r="I22" s="2601">
        <v>10</v>
      </c>
      <c r="J22" s="2600">
        <v>65.400000000000006</v>
      </c>
      <c r="K22" s="2600">
        <f>J22-J21</f>
        <v>11.200000000000003</v>
      </c>
    </row>
    <row r="23" spans="1:19">
      <c r="A23" s="2198" t="s">
        <v>2419</v>
      </c>
      <c r="B23" s="3525">
        <v>70</v>
      </c>
      <c r="C23" s="3524">
        <v>40</v>
      </c>
      <c r="D23" s="3526">
        <v>0.04</v>
      </c>
      <c r="E23" s="3527">
        <f>ROUND(POWER(1+D23,B23-C23)*(POWER(1+D23,C23)-1)/(POWER(1+D23,B23)-1),4)</f>
        <v>0.84599999999999997</v>
      </c>
      <c r="F23" s="3526">
        <f>F22</f>
        <v>0.7</v>
      </c>
      <c r="G23" s="3528">
        <f t="shared" ref="G23:G25" si="6">ROUND(100*(1-(1-E23)*F23),1)</f>
        <v>89.2</v>
      </c>
      <c r="I23" s="2601">
        <v>15</v>
      </c>
      <c r="J23" s="2600">
        <v>74.099999999999994</v>
      </c>
      <c r="K23" s="2600">
        <f t="shared" ref="K23:K30" si="7">J23-J22</f>
        <v>8.6999999999999886</v>
      </c>
      <c r="L23" s="2219" t="s">
        <v>2459</v>
      </c>
      <c r="N23" s="2486" t="s">
        <v>2460</v>
      </c>
    </row>
    <row r="24" spans="1:19">
      <c r="A24" s="2198" t="s">
        <v>2420</v>
      </c>
      <c r="B24" s="3525">
        <v>70</v>
      </c>
      <c r="C24" s="3524">
        <v>50</v>
      </c>
      <c r="D24" s="3526">
        <v>0.04</v>
      </c>
      <c r="E24" s="3527">
        <f>ROUND(POWER(1+D24,B24-C24)*(POWER(1+D24,C24)-1)/(POWER(1+D24,B24)-1),4)</f>
        <v>0.91830000000000001</v>
      </c>
      <c r="F24" s="3526">
        <f>F23</f>
        <v>0.7</v>
      </c>
      <c r="G24" s="3528">
        <f t="shared" si="6"/>
        <v>94.3</v>
      </c>
      <c r="I24" s="2601">
        <v>20</v>
      </c>
      <c r="J24" s="2600">
        <v>81</v>
      </c>
      <c r="K24" s="2600">
        <f t="shared" si="7"/>
        <v>6.9000000000000057</v>
      </c>
      <c r="L24" s="2219" t="s">
        <v>2458</v>
      </c>
      <c r="N24" s="2602">
        <v>10</v>
      </c>
    </row>
    <row r="25" spans="1:19">
      <c r="A25" s="2198" t="s">
        <v>2421</v>
      </c>
      <c r="B25" s="3525">
        <v>70</v>
      </c>
      <c r="C25" s="3524">
        <v>60</v>
      </c>
      <c r="D25" s="3526">
        <v>0.04</v>
      </c>
      <c r="E25" s="3527">
        <f>ROUND(POWER(1+D25,B25-C25)*(POWER(1+D25,C25)-1)/(POWER(1+D25,B25)-1),4)</f>
        <v>0.96699999999999997</v>
      </c>
      <c r="F25" s="3526">
        <f>F24</f>
        <v>0.7</v>
      </c>
      <c r="G25" s="3528">
        <f t="shared" si="6"/>
        <v>97.7</v>
      </c>
      <c r="I25" s="2601">
        <v>25</v>
      </c>
      <c r="J25" s="2600">
        <v>86.3</v>
      </c>
      <c r="K25" s="2600">
        <f t="shared" si="7"/>
        <v>5.2999999999999972</v>
      </c>
      <c r="L25" s="2219" t="s">
        <v>2462</v>
      </c>
      <c r="N25" s="2602">
        <v>8</v>
      </c>
    </row>
    <row r="26" spans="1:19">
      <c r="A26" s="2201"/>
      <c r="B26" s="2202"/>
      <c r="C26" s="2202"/>
      <c r="D26" s="2202"/>
      <c r="E26" s="2202"/>
      <c r="F26" s="2202"/>
      <c r="G26" s="2203"/>
      <c r="I26" s="2601">
        <v>30</v>
      </c>
      <c r="J26" s="2600">
        <v>90.5</v>
      </c>
      <c r="K26" s="2600">
        <f t="shared" si="7"/>
        <v>4.2000000000000028</v>
      </c>
      <c r="L26" s="2219" t="s">
        <v>2463</v>
      </c>
      <c r="N26" s="2602">
        <v>5</v>
      </c>
    </row>
    <row r="27" spans="1:19">
      <c r="A27" s="2201" t="s">
        <v>2422</v>
      </c>
      <c r="B27" s="2202"/>
      <c r="C27" s="2202"/>
      <c r="D27" s="2202"/>
      <c r="E27" s="2202"/>
      <c r="F27" s="2202"/>
      <c r="G27" s="2203"/>
      <c r="I27" s="2601">
        <v>35</v>
      </c>
      <c r="J27" s="2600">
        <v>93.8</v>
      </c>
      <c r="K27" s="2600">
        <f t="shared" si="7"/>
        <v>3.2999999999999972</v>
      </c>
      <c r="L27" s="2219" t="s">
        <v>2464</v>
      </c>
      <c r="N27" s="2602">
        <v>3</v>
      </c>
    </row>
    <row r="28" spans="1:19">
      <c r="A28" s="2201" t="s">
        <v>2423</v>
      </c>
      <c r="B28" s="2202"/>
      <c r="C28" s="2202"/>
      <c r="D28" s="2202"/>
      <c r="E28" s="2202"/>
      <c r="F28" s="2202"/>
      <c r="G28" s="2203"/>
      <c r="I28" s="2601">
        <v>40</v>
      </c>
      <c r="J28" s="2600">
        <v>96.4</v>
      </c>
      <c r="K28" s="2600">
        <f t="shared" si="7"/>
        <v>2.6000000000000085</v>
      </c>
      <c r="L28" s="2219" t="s">
        <v>2465</v>
      </c>
      <c r="N28" s="2602">
        <v>2</v>
      </c>
    </row>
    <row r="29" spans="1:19">
      <c r="A29" s="2201" t="s">
        <v>2424</v>
      </c>
      <c r="B29" s="2202"/>
      <c r="C29" s="2202"/>
      <c r="D29" s="2202"/>
      <c r="E29" s="2202"/>
      <c r="F29" s="2202"/>
      <c r="G29" s="2203"/>
      <c r="I29" s="2601">
        <v>45</v>
      </c>
      <c r="J29" s="2600">
        <v>98.4</v>
      </c>
      <c r="K29" s="2600">
        <f t="shared" si="7"/>
        <v>2</v>
      </c>
    </row>
    <row r="30" spans="1:19">
      <c r="A30" s="2201" t="s">
        <v>2425</v>
      </c>
      <c r="B30" s="2202"/>
      <c r="C30" s="2202"/>
      <c r="D30" s="2202"/>
      <c r="E30" s="2202"/>
      <c r="F30" s="2202"/>
      <c r="G30" s="2203"/>
      <c r="I30" s="2601">
        <v>50</v>
      </c>
      <c r="J30" s="2600">
        <v>100</v>
      </c>
      <c r="K30" s="2600">
        <f t="shared" si="7"/>
        <v>1.5999999999999943</v>
      </c>
    </row>
    <row r="31" spans="1:19">
      <c r="A31" s="2201" t="s">
        <v>2426</v>
      </c>
      <c r="B31" s="2202"/>
      <c r="C31" s="2202"/>
      <c r="D31" s="2202"/>
      <c r="E31" s="2202"/>
      <c r="F31" s="2202"/>
      <c r="G31" s="2203"/>
      <c r="I31" s="2219" t="s">
        <v>2457</v>
      </c>
    </row>
    <row r="32" spans="1:19">
      <c r="A32" s="2201" t="s">
        <v>2427</v>
      </c>
      <c r="B32" s="2202"/>
      <c r="C32" s="2202"/>
      <c r="D32" s="2202"/>
      <c r="E32" s="2202"/>
      <c r="F32" s="2202"/>
      <c r="G32" s="2203"/>
    </row>
    <row r="33" spans="1:15">
      <c r="A33" s="2201" t="s">
        <v>2428</v>
      </c>
      <c r="B33" s="2202"/>
      <c r="C33" s="2202"/>
      <c r="D33" s="2202"/>
      <c r="E33" s="2202"/>
      <c r="F33" s="2202"/>
      <c r="G33" s="2203"/>
      <c r="I33" s="2219" t="s">
        <v>2456</v>
      </c>
      <c r="J33" s="2219" t="s">
        <v>2466</v>
      </c>
    </row>
    <row r="34" spans="1:15">
      <c r="A34" s="2201" t="s">
        <v>2429</v>
      </c>
      <c r="B34" s="2202"/>
      <c r="C34" s="2202"/>
      <c r="D34" s="2202"/>
      <c r="E34" s="2202"/>
      <c r="F34" s="2202"/>
      <c r="G34" s="2203"/>
      <c r="I34" s="2601">
        <v>5</v>
      </c>
      <c r="J34" s="2600">
        <v>55.1</v>
      </c>
      <c r="K34" s="2600"/>
    </row>
    <row r="35" spans="1:15">
      <c r="A35" s="2201" t="s">
        <v>2430</v>
      </c>
      <c r="B35" s="2202"/>
      <c r="C35" s="2202"/>
      <c r="D35" s="2202"/>
      <c r="E35" s="2202"/>
      <c r="F35" s="2202"/>
      <c r="G35" s="2203"/>
      <c r="I35" s="2601">
        <v>10</v>
      </c>
      <c r="J35" s="2600">
        <v>67</v>
      </c>
      <c r="K35" s="2600">
        <f>J35-J34</f>
        <v>11.899999999999999</v>
      </c>
    </row>
    <row r="36" spans="1:15">
      <c r="A36" s="2201" t="s">
        <v>2431</v>
      </c>
      <c r="B36" s="2202"/>
      <c r="C36" s="2202"/>
      <c r="D36" s="2202"/>
      <c r="E36" s="2202"/>
      <c r="F36" s="2202"/>
      <c r="G36" s="2203"/>
      <c r="I36" s="2601">
        <v>15</v>
      </c>
      <c r="J36" s="2600">
        <v>76.3</v>
      </c>
      <c r="K36" s="2600">
        <f t="shared" ref="K36:K41" si="8">J36-J35</f>
        <v>9.2999999999999972</v>
      </c>
      <c r="L36" s="2219" t="s">
        <v>2459</v>
      </c>
      <c r="N36" s="2486" t="s">
        <v>2460</v>
      </c>
    </row>
    <row r="37" spans="1:15">
      <c r="A37" s="2201" t="s">
        <v>2432</v>
      </c>
      <c r="B37" s="2202"/>
      <c r="C37" s="2202"/>
      <c r="D37" s="2202"/>
      <c r="E37" s="2202"/>
      <c r="F37" s="2202"/>
      <c r="G37" s="2203"/>
      <c r="I37" s="2601">
        <v>20</v>
      </c>
      <c r="J37" s="2600">
        <v>83.6</v>
      </c>
      <c r="K37" s="2600">
        <f t="shared" si="8"/>
        <v>7.2999999999999972</v>
      </c>
      <c r="L37" s="2219" t="s">
        <v>2458</v>
      </c>
      <c r="N37" s="2602">
        <v>10</v>
      </c>
    </row>
    <row r="38" spans="1:15">
      <c r="A38" s="2201" t="s">
        <v>2433</v>
      </c>
      <c r="B38" s="2202"/>
      <c r="C38" s="2202"/>
      <c r="D38" s="2202"/>
      <c r="E38" s="2202"/>
      <c r="F38" s="2202"/>
      <c r="G38" s="2203"/>
      <c r="I38" s="2601">
        <v>25</v>
      </c>
      <c r="J38" s="2600">
        <v>89.3</v>
      </c>
      <c r="K38" s="2600">
        <f t="shared" si="8"/>
        <v>5.7000000000000028</v>
      </c>
      <c r="L38" s="2219" t="s">
        <v>2462</v>
      </c>
      <c r="N38" s="2602">
        <v>8</v>
      </c>
    </row>
    <row r="39" spans="1:15">
      <c r="A39" s="2201"/>
      <c r="B39" s="2202"/>
      <c r="C39" s="2202"/>
      <c r="D39" s="2202"/>
      <c r="E39" s="2202"/>
      <c r="F39" s="2202"/>
      <c r="G39" s="2203"/>
      <c r="I39" s="2601">
        <v>30</v>
      </c>
      <c r="J39" s="2600">
        <v>93.8</v>
      </c>
      <c r="K39" s="2600">
        <f t="shared" si="8"/>
        <v>4.5</v>
      </c>
      <c r="L39" s="2219" t="s">
        <v>2463</v>
      </c>
      <c r="N39" s="2602">
        <v>6</v>
      </c>
    </row>
    <row r="40" spans="1:15">
      <c r="A40" s="2204" t="s">
        <v>2434</v>
      </c>
      <c r="B40" s="2205"/>
      <c r="C40" s="2205"/>
      <c r="D40" s="2205"/>
      <c r="E40" s="2205"/>
      <c r="F40" s="2205"/>
      <c r="G40" s="2206"/>
      <c r="I40" s="2601">
        <v>35</v>
      </c>
      <c r="J40" s="2600">
        <v>97.2</v>
      </c>
      <c r="K40" s="2600">
        <f t="shared" si="8"/>
        <v>3.4000000000000057</v>
      </c>
      <c r="L40" s="2219" t="s">
        <v>2464</v>
      </c>
      <c r="N40" s="2602">
        <v>3</v>
      </c>
    </row>
    <row r="41" spans="1:15">
      <c r="A41" s="2207" t="s">
        <v>2435</v>
      </c>
      <c r="B41" s="2208" t="s">
        <v>2436</v>
      </c>
      <c r="C41" s="2209" t="s">
        <v>2437</v>
      </c>
      <c r="D41" s="2209" t="s">
        <v>2438</v>
      </c>
      <c r="E41" s="2210"/>
      <c r="F41" s="2211"/>
      <c r="G41" s="2212"/>
      <c r="I41" s="2601">
        <v>40</v>
      </c>
      <c r="J41" s="2600">
        <v>100</v>
      </c>
      <c r="K41" s="2600">
        <f t="shared" si="8"/>
        <v>2.7999999999999972</v>
      </c>
    </row>
    <row r="42" spans="1:15">
      <c r="A42" s="2207" t="s">
        <v>2439</v>
      </c>
      <c r="B42" s="2208" t="s">
        <v>2440</v>
      </c>
      <c r="C42" s="2209" t="s">
        <v>2441</v>
      </c>
      <c r="D42" s="2213" t="s">
        <v>2442</v>
      </c>
      <c r="E42" s="2205" t="s">
        <v>2443</v>
      </c>
      <c r="F42" s="2205"/>
      <c r="G42" s="2206"/>
    </row>
    <row r="43" spans="1:15">
      <c r="A43" s="2207" t="s">
        <v>2444</v>
      </c>
      <c r="B43" s="2208" t="s">
        <v>2445</v>
      </c>
      <c r="C43" s="2209" t="s">
        <v>2446</v>
      </c>
      <c r="D43" s="2209" t="s">
        <v>2447</v>
      </c>
      <c r="E43" s="2210" t="s">
        <v>2448</v>
      </c>
      <c r="F43" s="2211"/>
      <c r="G43" s="2212"/>
      <c r="I43" s="2219" t="s">
        <v>2456</v>
      </c>
      <c r="J43" s="2219" t="s">
        <v>2467</v>
      </c>
    </row>
    <row r="44" spans="1:15">
      <c r="A44" s="2207" t="s">
        <v>2449</v>
      </c>
      <c r="B44" s="2208" t="s">
        <v>2450</v>
      </c>
      <c r="C44" s="2209" t="s">
        <v>2451</v>
      </c>
      <c r="D44" s="2213">
        <v>0.5</v>
      </c>
      <c r="E44" s="2210" t="s">
        <v>2452</v>
      </c>
      <c r="F44" s="2211"/>
      <c r="G44" s="2212"/>
      <c r="I44" s="2601">
        <v>30</v>
      </c>
      <c r="J44" s="2600">
        <v>81.7</v>
      </c>
      <c r="K44" s="2600"/>
    </row>
    <row r="45" spans="1:15" ht="14.25" thickBot="1">
      <c r="A45" s="2214" t="s">
        <v>2453</v>
      </c>
      <c r="B45" s="2215" t="s">
        <v>2440</v>
      </c>
      <c r="C45" s="2216" t="s">
        <v>2440</v>
      </c>
      <c r="D45" s="2216" t="s">
        <v>2454</v>
      </c>
      <c r="E45" s="2217" t="s">
        <v>2455</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4"/>
      <c r="O48" s="3504"/>
    </row>
    <row r="49" spans="1:16" s="3973" customFormat="1" ht="16.5" thickTop="1" thickBot="1">
      <c r="A49" s="3971" t="s">
        <v>3354</v>
      </c>
      <c r="B49" s="3972"/>
      <c r="C49" s="3972"/>
      <c r="D49" s="3972"/>
      <c r="E49" s="3972"/>
      <c r="I49" s="4279" t="s">
        <v>3994</v>
      </c>
      <c r="J49" s="4279"/>
      <c r="K49" s="4279"/>
      <c r="L49" s="4279"/>
      <c r="M49" s="4279"/>
      <c r="N49" s="2196"/>
      <c r="O49" s="2196"/>
    </row>
    <row r="50" spans="1:16" ht="14.25">
      <c r="A50" s="2612" t="s">
        <v>3355</v>
      </c>
      <c r="B50" s="2615" t="s">
        <v>3356</v>
      </c>
      <c r="C50" s="2618" t="s">
        <v>3357</v>
      </c>
      <c r="D50" s="2619" t="s">
        <v>3365</v>
      </c>
      <c r="E50" s="2620" t="s">
        <v>3364</v>
      </c>
      <c r="F50" s="2621" t="s">
        <v>3371</v>
      </c>
      <c r="I50" s="4098" t="s">
        <v>3366</v>
      </c>
      <c r="J50" s="4099" t="s">
        <v>3367</v>
      </c>
      <c r="K50" s="4099" t="s">
        <v>3368</v>
      </c>
      <c r="L50" s="4099" t="s">
        <v>3369</v>
      </c>
      <c r="M50" s="4100" t="s">
        <v>3370</v>
      </c>
      <c r="N50" s="4106" t="s">
        <v>3990</v>
      </c>
      <c r="O50" s="4100" t="s">
        <v>3991</v>
      </c>
    </row>
    <row r="51" spans="1:16" ht="15">
      <c r="A51" s="1882" t="s">
        <v>3837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3358</v>
      </c>
      <c r="B52" s="2605">
        <v>5508</v>
      </c>
      <c r="C52" s="2624"/>
      <c r="D52" s="2607">
        <v>3000</v>
      </c>
      <c r="E52" s="2627">
        <f>D52*B52</f>
        <v>16524000</v>
      </c>
      <c r="F52" s="2622"/>
      <c r="G52" s="2604" t="s">
        <v>3838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3992</v>
      </c>
    </row>
    <row r="53" spans="1:16" ht="15" thickBot="1">
      <c r="A53" s="2613" t="s">
        <v>3359</v>
      </c>
      <c r="B53" s="2605">
        <v>4485</v>
      </c>
      <c r="C53" s="2624"/>
      <c r="D53" s="2607">
        <v>4500</v>
      </c>
      <c r="E53" s="2627">
        <f>D53*B53</f>
        <v>20182500</v>
      </c>
      <c r="F53" s="2622"/>
      <c r="G53" s="2604" t="s">
        <v>3839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3993</v>
      </c>
    </row>
    <row r="54" spans="1:16" ht="15">
      <c r="A54" s="1882" t="s">
        <v>3360</v>
      </c>
      <c r="B54" s="2616">
        <f>B51</f>
        <v>9993</v>
      </c>
      <c r="C54" s="2616">
        <f>E54/B54</f>
        <v>1283.8637045932153</v>
      </c>
      <c r="D54" s="3937"/>
      <c r="E54" s="2628">
        <f>E55+E56</f>
        <v>12829650</v>
      </c>
      <c r="F54" s="3936">
        <f>E54/$E$62</f>
        <v>0.15779328102775064</v>
      </c>
      <c r="G54" s="2604"/>
      <c r="H54" s="2604"/>
    </row>
    <row r="55" spans="1:16" ht="15">
      <c r="A55" s="2613" t="s">
        <v>3835</v>
      </c>
      <c r="B55" s="3935">
        <f>B52</f>
        <v>5508</v>
      </c>
      <c r="C55" s="2616"/>
      <c r="D55" s="3938">
        <v>1800</v>
      </c>
      <c r="E55" s="2627">
        <f>D55*B55</f>
        <v>9914400</v>
      </c>
      <c r="F55" s="2622"/>
      <c r="G55" s="2604" t="s">
        <v>3840</v>
      </c>
      <c r="H55" s="2604"/>
    </row>
    <row r="56" spans="1:16" ht="15">
      <c r="A56" s="2613" t="s">
        <v>3836</v>
      </c>
      <c r="B56" s="3935">
        <f>B53</f>
        <v>4485</v>
      </c>
      <c r="C56" s="2616"/>
      <c r="D56" s="3938">
        <v>650</v>
      </c>
      <c r="E56" s="2627">
        <f>D56*B56</f>
        <v>2915250</v>
      </c>
      <c r="F56" s="2622"/>
      <c r="G56" s="2604" t="s">
        <v>3841</v>
      </c>
      <c r="H56" s="2604"/>
    </row>
    <row r="57" spans="1:16" ht="15">
      <c r="A57" s="3934" t="s">
        <v>3834</v>
      </c>
      <c r="B57" s="2616">
        <f>B51</f>
        <v>9993</v>
      </c>
      <c r="C57" s="2616">
        <f>E57/B57</f>
        <v>2704.7433203242272</v>
      </c>
      <c r="D57" s="3937"/>
      <c r="E57" s="2628">
        <f>E58+E59</f>
        <v>27028500</v>
      </c>
      <c r="F57" s="2622">
        <f>E57/$E$62</f>
        <v>0.33242650393881035</v>
      </c>
      <c r="G57" s="2604"/>
      <c r="H57" s="2604"/>
      <c r="I57" s="4280" t="s">
        <v>3372</v>
      </c>
      <c r="J57" s="4280"/>
      <c r="K57" s="4280"/>
      <c r="L57" s="4280"/>
      <c r="M57" s="4280"/>
      <c r="N57" s="2190"/>
    </row>
    <row r="58" spans="1:16" ht="14.25">
      <c r="A58" s="2613" t="s">
        <v>3835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3836</v>
      </c>
      <c r="B59" s="3935">
        <f>B53</f>
        <v>4485</v>
      </c>
      <c r="C59" s="2605">
        <v>500</v>
      </c>
      <c r="D59" s="3953"/>
      <c r="E59" s="2627">
        <f>C59*B59</f>
        <v>2242500</v>
      </c>
      <c r="F59" s="2622"/>
      <c r="G59" s="2604" t="s">
        <v>3850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3362</v>
      </c>
      <c r="B60" s="2606">
        <f>B51*0.07</f>
        <v>699.5100000000001</v>
      </c>
      <c r="C60" s="2616">
        <f>E60/B51</f>
        <v>315.00000000000006</v>
      </c>
      <c r="D60" s="3940">
        <f>D53</f>
        <v>4500</v>
      </c>
      <c r="E60" s="2628">
        <f>D60*B60</f>
        <v>3147795.0000000005</v>
      </c>
      <c r="F60" s="2622">
        <f>E60/$E$62</f>
        <v>3.8715078045990996E-2</v>
      </c>
      <c r="G60" s="3954">
        <f>B60/(B62+B60)</f>
        <v>6.5420560747663559E-2</v>
      </c>
      <c r="H60" s="3941" t="s">
        <v>3851</v>
      </c>
    </row>
    <row r="61" spans="1:16" ht="15">
      <c r="A61" s="1882" t="s">
        <v>3361</v>
      </c>
      <c r="B61" s="3939">
        <f>B51</f>
        <v>9993</v>
      </c>
      <c r="C61" s="2616">
        <f>E61/B61</f>
        <v>159.53656559591715</v>
      </c>
      <c r="D61" s="2608">
        <v>0.02</v>
      </c>
      <c r="E61" s="2628">
        <f>(E51+E54+E57+E60)*D61</f>
        <v>1594248.9000000001</v>
      </c>
      <c r="F61" s="2622">
        <f>E61/$E$62</f>
        <v>1.9607843137254902E-2</v>
      </c>
      <c r="G61" s="2604" t="s">
        <v>3842</v>
      </c>
    </row>
    <row r="62" spans="1:16" ht="15.75" thickBot="1">
      <c r="A62" s="2614" t="s">
        <v>3363</v>
      </c>
      <c r="B62" s="2617">
        <f>B51</f>
        <v>9993</v>
      </c>
      <c r="C62" s="2626">
        <f>C51+C54+C57+C61+C60</f>
        <v>8136.364845391774</v>
      </c>
      <c r="D62" s="3529">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3843</v>
      </c>
      <c r="B66" s="3946"/>
      <c r="C66" s="3946"/>
      <c r="D66" s="3947"/>
    </row>
    <row r="67" spans="1:4">
      <c r="A67" s="3948" t="s">
        <v>3846</v>
      </c>
      <c r="B67" s="3944"/>
      <c r="C67" s="3944"/>
      <c r="D67" s="3951" t="s">
        <v>3848</v>
      </c>
    </row>
    <row r="68" spans="1:4">
      <c r="A68" s="3948" t="s">
        <v>3847</v>
      </c>
      <c r="B68" s="3944"/>
      <c r="C68" s="3944"/>
      <c r="D68" s="3951" t="s">
        <v>3849</v>
      </c>
    </row>
    <row r="69" spans="1:4" ht="14.25" thickBot="1">
      <c r="A69" s="3949" t="s">
        <v>3844</v>
      </c>
      <c r="B69" s="3950"/>
      <c r="C69" s="3950"/>
      <c r="D69" s="395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M14" sqref="M14"/>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84" t="str">
        <f>IF(B10="北京市","北京市",C10)&amp;F10&amp;IF(结果表!G1="在建","出让国有建设用地使用权及在建建筑物",IF(结果表!G1="土地","出让国有建设用地使用权",))&amp;B9&amp;"预评估"</f>
        <v>北京市房地产抵押价值预评估</v>
      </c>
      <c r="C1" s="4285"/>
      <c r="D1" s="4285"/>
      <c r="E1" s="4285"/>
      <c r="F1" s="4285"/>
      <c r="G1" s="4285"/>
      <c r="H1" s="4285"/>
      <c r="I1" s="4286"/>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46051</v>
      </c>
      <c r="C3" s="1731" t="s">
        <v>2078</v>
      </c>
      <c r="D3" s="1730">
        <f>B3</f>
        <v>46051</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4000</v>
      </c>
      <c r="C8" s="1746"/>
      <c r="D8" s="4287" t="s">
        <v>2084</v>
      </c>
      <c r="E8" s="1747" t="s">
        <v>4001</v>
      </c>
      <c r="F8" s="1748"/>
      <c r="G8" s="1931"/>
      <c r="H8" s="1931"/>
      <c r="I8" s="1931"/>
      <c r="J8" s="1785"/>
      <c r="K8" s="1890"/>
      <c r="L8" s="1889"/>
      <c r="M8" s="1889"/>
      <c r="N8" s="1785"/>
      <c r="O8" s="1297"/>
      <c r="P8" s="1785"/>
      <c r="Q8" s="1785"/>
      <c r="R8" s="1785"/>
    </row>
    <row r="9" spans="1:30" ht="13.5" thickBot="1">
      <c r="A9" s="1749" t="s">
        <v>2085</v>
      </c>
      <c r="B9" s="1750" t="s">
        <v>4001</v>
      </c>
      <c r="C9" s="1751"/>
      <c r="D9" s="4288"/>
      <c r="E9" s="1750"/>
      <c r="F9" s="1752"/>
      <c r="G9" s="1932"/>
      <c r="H9" s="1932"/>
      <c r="I9" s="1932"/>
      <c r="J9" s="1785"/>
      <c r="K9" s="1892"/>
      <c r="L9" s="1889"/>
      <c r="M9" s="1889"/>
      <c r="N9" s="1785"/>
      <c r="O9" s="1297"/>
      <c r="P9" s="1785"/>
      <c r="Q9" s="1785"/>
      <c r="R9" s="1785"/>
    </row>
    <row r="10" spans="1:30" ht="13.5" thickTop="1">
      <c r="A10" s="1753" t="s">
        <v>2086</v>
      </c>
      <c r="B10" s="3411" t="s">
        <v>4002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4003</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2468</v>
      </c>
      <c r="J12" s="2222"/>
      <c r="K12" s="1889"/>
      <c r="L12" s="1889"/>
      <c r="M12" s="1785"/>
      <c r="N12" s="1297"/>
      <c r="O12" s="1785"/>
      <c r="P12" s="1785"/>
      <c r="Q12" s="1785"/>
      <c r="AD12" s="1250"/>
    </row>
    <row r="13" spans="1:30">
      <c r="A13" s="2469" t="s">
        <v>3222</v>
      </c>
      <c r="B13" s="1761" t="s">
        <v>2097</v>
      </c>
      <c r="C13" s="546"/>
      <c r="D13" s="546"/>
      <c r="E13" s="546">
        <v>59539</v>
      </c>
      <c r="F13" s="546"/>
      <c r="G13" s="546"/>
      <c r="H13" s="546"/>
      <c r="I13" s="546"/>
      <c r="J13" s="4232" t="s">
        <v>4049</v>
      </c>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36.950000000000003</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294"/>
      <c r="C16" s="4295"/>
      <c r="D16" s="4296"/>
      <c r="E16" s="1764" t="s">
        <v>2101</v>
      </c>
      <c r="F16" s="4297"/>
      <c r="G16" s="4298"/>
      <c r="H16" s="4298"/>
      <c r="I16" s="4299"/>
      <c r="J16" s="1785"/>
      <c r="K16" s="1893"/>
      <c r="L16" s="1297"/>
      <c r="M16" s="1297"/>
      <c r="N16" s="1785"/>
      <c r="O16" s="1297"/>
      <c r="P16" s="1785"/>
      <c r="Q16" s="1785"/>
      <c r="R16" s="1785"/>
    </row>
    <row r="17" spans="1:28">
      <c r="A17" s="197" t="s">
        <v>2102</v>
      </c>
      <c r="B17" s="186" t="s">
        <v>2103</v>
      </c>
      <c r="C17" s="9">
        <f>'数据-汇总表'!E3</f>
        <v>109.4</v>
      </c>
      <c r="D17" s="900" t="s">
        <v>2104</v>
      </c>
      <c r="E17" s="4300" t="s">
        <v>2105</v>
      </c>
      <c r="F17" s="4301"/>
      <c r="G17" s="4301"/>
      <c r="H17" s="4301"/>
      <c r="I17" s="4302"/>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03" t="s">
        <v>2109</v>
      </c>
      <c r="F18" s="4304"/>
      <c r="G18" s="4304"/>
      <c r="H18" s="4304"/>
      <c r="I18" s="4305"/>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0" t="s">
        <v>2113</v>
      </c>
      <c r="C20" s="4291"/>
      <c r="D20" s="4292" t="s">
        <v>2114</v>
      </c>
      <c r="E20" s="4293"/>
      <c r="F20" s="1920" t="s">
        <v>1040</v>
      </c>
      <c r="G20" s="1931"/>
      <c r="H20" s="1931"/>
      <c r="I20" s="1931"/>
      <c r="J20" s="1785"/>
      <c r="K20" s="4289"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v>2014</v>
      </c>
      <c r="H21" s="1931"/>
      <c r="I21" s="1931"/>
      <c r="J21" s="1785"/>
      <c r="K21" s="428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f>2026-G21+2</f>
        <v>14</v>
      </c>
      <c r="H22" s="1931"/>
      <c r="I22" s="1931"/>
      <c r="J22" s="1785"/>
      <c r="K22" s="428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f>50-G22</f>
        <v>36</v>
      </c>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307" t="s">
        <v>2121</v>
      </c>
      <c r="B27" s="203" t="s">
        <v>2122</v>
      </c>
      <c r="C27" s="1766" t="s">
        <v>4004</v>
      </c>
      <c r="D27" s="1767"/>
      <c r="E27" s="1931"/>
      <c r="F27" s="1931"/>
      <c r="G27" s="1931"/>
      <c r="H27" s="1931"/>
      <c r="I27" s="1931"/>
      <c r="J27" s="1785"/>
      <c r="K27" s="1893"/>
      <c r="L27" s="1297"/>
      <c r="M27" s="1297"/>
      <c r="N27" s="1785"/>
      <c r="O27" s="1297"/>
      <c r="P27" s="1785"/>
      <c r="Q27" s="1785"/>
      <c r="R27" s="1785"/>
      <c r="S27" s="1785"/>
      <c r="T27" s="1785"/>
      <c r="U27" s="1785"/>
      <c r="V27" s="1785"/>
    </row>
    <row r="28" spans="1:28">
      <c r="A28" s="4307"/>
      <c r="B28" s="186" t="s">
        <v>2123</v>
      </c>
      <c r="C28" s="1768" t="s">
        <v>4006</v>
      </c>
      <c r="D28" s="1769"/>
      <c r="E28" s="1931"/>
      <c r="F28" s="1931"/>
      <c r="G28" s="1931"/>
      <c r="H28" s="1931"/>
      <c r="I28" s="1931"/>
      <c r="J28" s="1785"/>
      <c r="K28" s="1892"/>
      <c r="L28" s="1889"/>
      <c r="M28" s="1889"/>
      <c r="N28" s="1785"/>
      <c r="O28" s="1297"/>
      <c r="P28" s="1785"/>
      <c r="Q28" s="1785"/>
      <c r="R28" s="1785"/>
      <c r="S28" s="1785"/>
      <c r="T28" s="1785"/>
      <c r="U28" s="1785"/>
      <c r="V28" s="1785"/>
    </row>
    <row r="29" spans="1:28">
      <c r="A29" s="4307"/>
      <c r="B29" s="186" t="s">
        <v>2124</v>
      </c>
      <c r="C29" s="1770" t="s">
        <v>4005</v>
      </c>
      <c r="D29" s="1771"/>
      <c r="E29" s="1931"/>
      <c r="F29" s="1931"/>
      <c r="G29" s="1931"/>
      <c r="H29" s="1931"/>
      <c r="I29" s="1931"/>
      <c r="J29" s="1785"/>
      <c r="K29" s="1892"/>
      <c r="L29" s="1889"/>
      <c r="M29" s="1889"/>
      <c r="N29" s="1785"/>
      <c r="O29" s="1297"/>
      <c r="P29" s="1785"/>
      <c r="Q29" s="1785"/>
      <c r="R29" s="1785"/>
      <c r="S29" s="1785"/>
      <c r="T29" s="1785"/>
      <c r="U29" s="1785"/>
      <c r="V29" s="1785"/>
    </row>
    <row r="30" spans="1:28">
      <c r="A30" s="4308"/>
      <c r="B30" s="186" t="s">
        <v>2125</v>
      </c>
      <c r="C30" s="4309"/>
      <c r="D30" s="4310"/>
      <c r="E30" s="1931"/>
      <c r="F30" s="1931"/>
      <c r="G30" s="1931"/>
      <c r="H30" s="1931"/>
      <c r="I30" s="1931"/>
      <c r="J30" s="1785"/>
      <c r="K30" s="1892"/>
      <c r="L30" s="1889"/>
      <c r="M30" s="1889"/>
      <c r="N30" s="1785"/>
      <c r="O30" s="1297"/>
      <c r="P30" s="1785"/>
      <c r="Q30" s="1785"/>
      <c r="R30" s="1785"/>
      <c r="S30" s="1785"/>
      <c r="T30" s="1785"/>
      <c r="U30" s="1785"/>
      <c r="V30" s="1785"/>
    </row>
    <row r="31" spans="1:28">
      <c r="A31" s="4311" t="s">
        <v>2126</v>
      </c>
      <c r="B31" s="1772" t="s">
        <v>4007</v>
      </c>
      <c r="C31" s="8" t="str">
        <f>IF(B31="现房","成新及维护状况正常否",IF(B31="在建","工程状态是否正常",IF(B31="土地","是否闲置","-")))</f>
        <v>成新及维护状况正常否</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312"/>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312"/>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306" t="s">
        <v>2135</v>
      </c>
      <c r="T34" s="206" t="str">
        <f>NUMBERSTRING(7-K34,1)&amp;"通"</f>
        <v>七通</v>
      </c>
      <c r="U34" s="1785"/>
      <c r="V34" s="1785"/>
    </row>
    <row r="35" spans="1:30">
      <c r="A35" s="1776"/>
      <c r="B35" s="4306" t="s">
        <v>2136</v>
      </c>
      <c r="C35" s="4306"/>
      <c r="D35" s="4306"/>
      <c r="E35" s="430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6"/>
      <c r="T35" s="55" t="str">
        <f>IF(T34="一通",L35,IF(T34="二通",M35,IF(T34="三通",N35,IF(T34="四通",O35,IF(T34="五通",P35,IF(T34="六通",Q35,R35))))))</f>
        <v>、、、、、、</v>
      </c>
      <c r="U35" s="1785"/>
      <c r="V35" s="1785"/>
    </row>
    <row r="36" spans="1:30">
      <c r="A36" s="1728"/>
      <c r="B36" s="6" t="s">
        <v>2092</v>
      </c>
      <c r="C36" s="6" t="s">
        <v>2093</v>
      </c>
      <c r="D36" s="6" t="s">
        <v>2091</v>
      </c>
      <c r="E36" s="6" t="s">
        <v>2096</v>
      </c>
      <c r="F36" s="2220" t="s">
        <v>2471</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109.4</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109.4</v>
      </c>
      <c r="H5" s="6">
        <f t="shared" ref="H5:AT5" si="0">SUM(H13:H656)</f>
        <v>109.4</v>
      </c>
      <c r="I5" s="6">
        <f t="shared" si="0"/>
        <v>109.4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109.4</v>
      </c>
      <c r="BA5" s="455">
        <f t="shared" si="1"/>
        <v>109.4</v>
      </c>
      <c r="BB5" s="455">
        <f t="shared" si="1"/>
        <v>109.4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4009</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v>1924</v>
      </c>
      <c r="D13" s="1154" t="s">
        <v>4008</v>
      </c>
      <c r="E13" s="6">
        <f>IF($C$3="是",ROUND($A$3*G13/$B$3,2),ROUND($A$3*(G13-AT13)/$B$3,2))</f>
        <v>0</v>
      </c>
      <c r="F13" s="579"/>
      <c r="G13" s="18">
        <f>H13+AC13+AT13</f>
        <v>109.4</v>
      </c>
      <c r="H13" s="11">
        <f>SUMIF(I$12:AB$12,"总值",I13:AB13)</f>
        <v>109.4</v>
      </c>
      <c r="I13" s="1106">
        <v>109.4</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1924</v>
      </c>
      <c r="AY13" s="904">
        <f>ROUND($AY$6*AZ13/$AZ$5,2)</f>
        <v>0</v>
      </c>
      <c r="AZ13" s="9">
        <f>BA13+BL13</f>
        <v>109.4</v>
      </c>
      <c r="BA13" s="9">
        <f>SUM(BB13:BK13)</f>
        <v>109.4</v>
      </c>
      <c r="BB13" s="9">
        <f>IF($D13="是",I13-J13,0)</f>
        <v>109.4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2" t="s">
        <v>1114</v>
      </c>
      <c r="B2" s="4322"/>
      <c r="C2" s="4322"/>
      <c r="D2" s="520" t="s">
        <v>1090</v>
      </c>
      <c r="E2" s="1163" t="s">
        <v>1091</v>
      </c>
      <c r="F2" s="1928"/>
      <c r="G2" s="1922"/>
      <c r="H2" s="1923"/>
      <c r="I2" s="1694" t="s">
        <v>1115</v>
      </c>
      <c r="J2" s="1928"/>
      <c r="K2" s="1928"/>
      <c r="L2" s="1928"/>
      <c r="M2" s="1928"/>
      <c r="N2" s="1929"/>
      <c r="O2" s="1928"/>
      <c r="P2" s="1928"/>
    </row>
    <row r="3" spans="1:16" ht="15.75" thickBot="1">
      <c r="A3" s="4323" t="s">
        <v>1088</v>
      </c>
      <c r="B3" s="4323"/>
      <c r="C3" s="4323"/>
      <c r="D3" s="3803">
        <f>'数据-基础表'!AY6</f>
        <v>0</v>
      </c>
      <c r="E3" s="3803">
        <f>'数据-基础表'!AZ5</f>
        <v>109.4</v>
      </c>
      <c r="F3" s="1928"/>
      <c r="G3" s="24"/>
      <c r="H3" s="25" t="s">
        <v>1089</v>
      </c>
      <c r="I3" s="2593" t="e">
        <f>ROUND('数据-基础表'!B3/'数据-基础表'!A3,2)</f>
        <v>#DIV/0!</v>
      </c>
      <c r="J3" s="1928"/>
      <c r="K3" s="1928"/>
      <c r="L3" s="1928"/>
      <c r="M3" s="1928"/>
      <c r="N3" s="1929"/>
      <c r="O3" s="1928"/>
      <c r="P3" s="1928"/>
    </row>
    <row r="4" spans="1:16" ht="15">
      <c r="A4" s="4324"/>
      <c r="B4" s="4325"/>
      <c r="C4" s="4326"/>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7" t="s">
        <v>1093</v>
      </c>
      <c r="C5" s="4327"/>
      <c r="D5" s="3785">
        <f>ROUND($D$3*E5/$E$3,2)</f>
        <v>0</v>
      </c>
      <c r="E5" s="3675">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7" t="s">
        <v>1094</v>
      </c>
      <c r="C6" s="4327"/>
      <c r="D6" s="3785">
        <f>ROUND($D$3*E6/$E$3,2)</f>
        <v>0</v>
      </c>
      <c r="E6" s="3675">
        <f>E3-E5</f>
        <v>109.4</v>
      </c>
      <c r="F6" s="1928"/>
      <c r="G6" s="1170" t="s">
        <v>1095</v>
      </c>
      <c r="H6" s="26" t="s">
        <v>1096</v>
      </c>
      <c r="I6" s="2594" t="e">
        <f>ROUND(F31/D31,2)</f>
        <v>#DIV/0!</v>
      </c>
      <c r="J6" s="1928"/>
      <c r="K6" s="1928"/>
      <c r="L6" s="1928"/>
      <c r="M6" s="1928"/>
      <c r="N6" s="1928"/>
      <c r="O6" s="1928"/>
      <c r="P6" s="1928"/>
    </row>
    <row r="7" spans="1:16" ht="15.75" thickBot="1">
      <c r="A7" s="4319"/>
      <c r="B7" s="4320"/>
      <c r="C7" s="4321"/>
      <c r="D7" s="1165" t="s">
        <v>1090</v>
      </c>
      <c r="E7" s="1169" t="s">
        <v>1097</v>
      </c>
      <c r="F7" s="1928"/>
      <c r="G7" s="1925" t="s">
        <v>1098</v>
      </c>
      <c r="H7" s="1926"/>
      <c r="I7" s="2595"/>
      <c r="J7" s="1928"/>
      <c r="K7" s="1928"/>
      <c r="L7" s="1928"/>
      <c r="M7" s="1928"/>
      <c r="N7" s="1928"/>
      <c r="O7" s="1928"/>
      <c r="P7" s="1928"/>
    </row>
    <row r="8" spans="1:16">
      <c r="A8" s="24" t="s">
        <v>1099</v>
      </c>
      <c r="B8" s="26" t="s">
        <v>1100</v>
      </c>
      <c r="C8" s="25" t="s">
        <v>1101</v>
      </c>
      <c r="D8" s="3785">
        <f t="shared" ref="D8:D15" si="0">ROUND($D$3*E8/$E$3,2)</f>
        <v>0</v>
      </c>
      <c r="E8" s="3675">
        <f>SUMIF('数据-基础表'!BB10:BK10,"地上",'数据-基础表'!BB5:BK5)</f>
        <v>109.4</v>
      </c>
      <c r="F8" s="1928"/>
      <c r="G8" s="1928"/>
      <c r="H8" s="1928"/>
      <c r="I8" s="1928"/>
      <c r="J8" s="1928"/>
      <c r="K8" s="1928"/>
      <c r="L8" s="1928"/>
      <c r="M8" s="1928"/>
      <c r="N8" s="1928"/>
      <c r="O8" s="1928"/>
      <c r="P8" s="1928"/>
    </row>
    <row r="9" spans="1:16">
      <c r="A9" s="1170"/>
      <c r="B9" s="1171"/>
      <c r="C9" s="25" t="s">
        <v>1102</v>
      </c>
      <c r="D9" s="3785">
        <f t="shared" si="0"/>
        <v>0</v>
      </c>
      <c r="E9" s="3804"/>
      <c r="F9" s="1928"/>
      <c r="G9" s="1928"/>
      <c r="H9" s="1928"/>
      <c r="I9" s="1928"/>
      <c r="J9" s="1928"/>
      <c r="K9" s="1928"/>
      <c r="L9" s="1928"/>
      <c r="M9" s="1928"/>
      <c r="N9" s="1928"/>
      <c r="O9" s="1928"/>
      <c r="P9" s="1928"/>
    </row>
    <row r="10" spans="1:16">
      <c r="A10" s="1170"/>
      <c r="B10" s="1171"/>
      <c r="C10" s="25" t="s">
        <v>1111</v>
      </c>
      <c r="D10" s="3785">
        <f t="shared" si="0"/>
        <v>0</v>
      </c>
      <c r="E10" s="3675">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5">
        <f t="shared" si="0"/>
        <v>0</v>
      </c>
      <c r="E11" s="3675">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5">
        <f t="shared" si="0"/>
        <v>0</v>
      </c>
      <c r="E12" s="3675">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5">
        <f t="shared" si="0"/>
        <v>0</v>
      </c>
      <c r="E13" s="3675">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5">
        <f t="shared" si="0"/>
        <v>0</v>
      </c>
      <c r="E14" s="3675">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5">
        <f t="shared" si="0"/>
        <v>0</v>
      </c>
      <c r="E15" s="3675">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9">
        <f>SUM(D8:D15)</f>
        <v>0</v>
      </c>
      <c r="E16" s="3795">
        <f>SUM(E8:E15)</f>
        <v>109.4</v>
      </c>
      <c r="F16" s="1928"/>
      <c r="G16" s="1928"/>
      <c r="H16" s="1172" t="s">
        <v>1118</v>
      </c>
      <c r="I16" s="1173"/>
      <c r="J16" s="763"/>
      <c r="K16" s="4316" t="s">
        <v>1118</v>
      </c>
      <c r="L16" s="4317"/>
      <c r="M16" s="4317"/>
      <c r="N16" s="4317"/>
      <c r="O16" s="4317"/>
      <c r="P16" s="4318"/>
    </row>
    <row r="17" spans="1:19" ht="15">
      <c r="A17" s="1174" t="s">
        <v>1119</v>
      </c>
      <c r="B17" s="1175" t="s">
        <v>1120</v>
      </c>
      <c r="C17" s="1176" t="s">
        <v>1121</v>
      </c>
      <c r="D17" s="1177" t="s">
        <v>1109</v>
      </c>
      <c r="E17" s="1178" t="s">
        <v>1110</v>
      </c>
      <c r="F17" s="1179"/>
      <c r="G17" s="1180"/>
      <c r="H17" s="1181" t="s">
        <v>1122</v>
      </c>
      <c r="I17" s="1182" t="s">
        <v>1107</v>
      </c>
      <c r="J17" s="763"/>
      <c r="K17" s="4313" t="s">
        <v>1123</v>
      </c>
      <c r="L17" s="4314"/>
      <c r="M17" s="4315"/>
      <c r="N17" s="4313" t="s">
        <v>1124</v>
      </c>
      <c r="O17" s="4314"/>
      <c r="P17" s="4315"/>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
        <v>4010</v>
      </c>
      <c r="D19" s="3785">
        <f>ROUND($D$3*E19/$E$3,2)</f>
        <v>0</v>
      </c>
      <c r="E19" s="3785">
        <f t="shared" ref="E19:E26" si="1">SUM(F19:G19)</f>
        <v>109.4</v>
      </c>
      <c r="F19" s="3786">
        <f>'数据-基础表'!I13</f>
        <v>109.4</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109.4</v>
      </c>
    </row>
    <row r="20" spans="1:19">
      <c r="A20" s="1190"/>
      <c r="B20" s="26" t="s">
        <v>1136</v>
      </c>
      <c r="C20" s="2465"/>
      <c r="D20" s="3785">
        <f t="shared" ref="D20:D26" si="6">ROUND($D$3*E20/$E$3,2)</f>
        <v>0</v>
      </c>
      <c r="E20" s="3785">
        <f t="shared" si="1"/>
        <v>0</v>
      </c>
      <c r="F20" s="3786"/>
      <c r="G20" s="3647"/>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0</v>
      </c>
    </row>
    <row r="21" spans="1:19">
      <c r="A21" s="1190"/>
      <c r="B21" s="26" t="s">
        <v>1136</v>
      </c>
      <c r="C21" s="2465"/>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c r="A22" s="1190"/>
      <c r="B22" s="26" t="s">
        <v>1136</v>
      </c>
      <c r="C22" s="2466"/>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c r="A23" s="1190"/>
      <c r="B23" s="26" t="s">
        <v>1136</v>
      </c>
      <c r="C23" s="2466"/>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c r="A24" s="1190"/>
      <c r="B24" s="26" t="s">
        <v>1136</v>
      </c>
      <c r="C24" s="2466"/>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c r="A25" s="1190"/>
      <c r="B25" s="26" t="s">
        <v>1136</v>
      </c>
      <c r="C25" s="2466"/>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75" thickBot="1">
      <c r="A27" s="1190"/>
      <c r="B27" s="25"/>
      <c r="C27" s="1191" t="s">
        <v>1137</v>
      </c>
      <c r="D27" s="172">
        <f>SUM(D19:D26)</f>
        <v>0</v>
      </c>
      <c r="E27" s="172">
        <f>IF(SUM(E19:E26)='数据-基础表'!BA5,SUM(E19:E26),IF(F27="地上面积有误","面积有误","地下面积有误"))</f>
        <v>109.4</v>
      </c>
      <c r="F27" s="172">
        <f>IF(SUM(F19:F26)=E8,SUM(F19:F26),"地上面积有误")</f>
        <v>109.4</v>
      </c>
      <c r="G27" s="3673">
        <f>SUM(G19:G26)</f>
        <v>0</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109.4</v>
      </c>
    </row>
    <row r="28" spans="1:19">
      <c r="A28" s="1190"/>
      <c r="B28" s="26" t="s">
        <v>1138</v>
      </c>
      <c r="C28" s="30" t="s">
        <v>1139</v>
      </c>
      <c r="D28" s="3785">
        <f>ROUND($D$3*E28/$E$3,2)</f>
        <v>0</v>
      </c>
      <c r="E28" s="3785">
        <f>SUM(F28:G28)</f>
        <v>0</v>
      </c>
      <c r="F28" s="3543">
        <f>'数据-基础表'!BQ5+'数据-基础表'!BS5</f>
        <v>0</v>
      </c>
      <c r="G28" s="3793">
        <f>'数据-基础表'!BR5+'数据-基础表'!BT5</f>
        <v>0</v>
      </c>
      <c r="H28" s="1928"/>
      <c r="I28" s="1928"/>
      <c r="J28" s="1928"/>
      <c r="K28" s="1928"/>
      <c r="L28" s="1928"/>
      <c r="M28" s="1928"/>
      <c r="N28" s="1928"/>
      <c r="O28" s="1928"/>
      <c r="P28" s="1928"/>
    </row>
    <row r="29" spans="1:19">
      <c r="A29" s="1190"/>
      <c r="B29" s="26" t="s">
        <v>1138</v>
      </c>
      <c r="C29" s="1192" t="s">
        <v>1140</v>
      </c>
      <c r="D29" s="3785">
        <f>ROUND($D$3*E29/$E$3,2)</f>
        <v>0</v>
      </c>
      <c r="E29" s="3785">
        <f>SUM(F29:G29)</f>
        <v>0</v>
      </c>
      <c r="F29" s="3794">
        <f>'数据-基础表'!BM5+'数据-基础表'!BO5</f>
        <v>0</v>
      </c>
      <c r="G29" s="3795">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3">
        <f>SUM(G28:G29)</f>
        <v>0</v>
      </c>
      <c r="H30" s="1928"/>
      <c r="I30" s="1928"/>
      <c r="J30" s="1928"/>
      <c r="K30" s="1928"/>
      <c r="L30" s="1928"/>
      <c r="M30" s="1928"/>
      <c r="N30" s="1928"/>
      <c r="O30" s="1928"/>
      <c r="P30" s="1928"/>
    </row>
    <row r="31" spans="1:19" ht="15.75" thickBot="1">
      <c r="A31" s="1194"/>
      <c r="B31" s="45"/>
      <c r="C31" s="534" t="s">
        <v>1141</v>
      </c>
      <c r="D31" s="3796">
        <f>D27+D30</f>
        <v>0</v>
      </c>
      <c r="E31" s="3796">
        <f>E27+E30</f>
        <v>109.4</v>
      </c>
      <c r="F31" s="3797">
        <f>F27+F30</f>
        <v>109.4</v>
      </c>
      <c r="G31" s="3798">
        <f>G27+G30</f>
        <v>0</v>
      </c>
      <c r="H31" s="1928"/>
      <c r="I31" s="1928"/>
      <c r="J31" s="1928"/>
      <c r="K31" s="1928"/>
      <c r="L31" s="1928"/>
      <c r="M31" s="1928"/>
      <c r="N31" s="1928"/>
      <c r="O31" s="1928"/>
      <c r="P31" s="1928"/>
    </row>
    <row r="32" spans="1:19">
      <c r="A32" s="1167"/>
      <c r="B32" s="1167" t="s">
        <v>1142</v>
      </c>
      <c r="C32" s="1167"/>
      <c r="D32" s="3628"/>
      <c r="E32" s="3628">
        <f>SUMIF(C19:C26,"*住宅*",E19:E26)</f>
        <v>0</v>
      </c>
      <c r="F32" s="3628"/>
      <c r="G32" s="3628"/>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8"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7"/>
      <c r="AP1" s="3317"/>
      <c r="AQ1" s="3317"/>
      <c r="AR1" s="3317"/>
    </row>
    <row r="2" spans="1:67" s="1096" customFormat="1" ht="15.75" thickBot="1">
      <c r="A2" s="1199" t="s">
        <v>1144</v>
      </c>
      <c r="B2" s="689">
        <f>项目基本情况!D3</f>
        <v>46051</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4011</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4">
        <f>SUMIF(项目基本情况!C$12:I$12,C6,项目基本情况!C$14:I$14)</f>
        <v>50</v>
      </c>
      <c r="E6" s="547">
        <f>IF(B6="","",SUMIF(项目基本情况!C$12:I$12,C6,项目基本情况!C$13:I$13))</f>
        <v>59539</v>
      </c>
      <c r="F6" s="3296">
        <f>SUMIF(项目基本情况!C$12:I$12,C6,项目基本情况!C$15:I$15)</f>
        <v>36.950000000000003</v>
      </c>
      <c r="G6" s="3297">
        <f t="shared" ref="G6:G13" si="0">IF(ISERROR(ROUND(POWER(1+H6,D6-F6)*(POWER(1+H6,F6)-1)/(POWER(1+H6,D6)-1),4)),0,ROUND(POWER(1+H6,D6-F6)*(POWER(1+H6,F6)-1)/(POWER(1+H6,D6)-1),4))</f>
        <v>0.91490000000000005</v>
      </c>
      <c r="H6" s="3298">
        <v>0.05</v>
      </c>
      <c r="I6" s="3298">
        <v>5.5E-2</v>
      </c>
      <c r="J6" s="3299">
        <v>7.4999999999999997E-2</v>
      </c>
      <c r="K6" s="3805">
        <f>SUMIF('数据-汇总表'!C$19:C$33,A6,'数据-汇总表'!E$19:E$33)</f>
        <v>109.4</v>
      </c>
      <c r="L6" s="3806">
        <v>4100</v>
      </c>
      <c r="M6" s="3807">
        <f t="shared" ref="M6:M14" si="1">ROUND(K6*L6/10000,0)</f>
        <v>45</v>
      </c>
      <c r="N6" s="3286">
        <f>N18</f>
        <v>0.8</v>
      </c>
      <c r="O6" s="3807" t="str">
        <f>IF($N$5="成新度","——",ROUND(M6*N6,0))</f>
        <v>——</v>
      </c>
      <c r="P6" s="3637" t="str">
        <f>IF($N$5="成新度","——",M6-O6)</f>
        <v>——</v>
      </c>
      <c r="Q6" s="3287">
        <v>0.15</v>
      </c>
      <c r="R6" s="3820">
        <f ca="1">SUMIF('数据-汇总表'!C$19:C$33,A6,'数据-汇总表'!R$19:R$27)</f>
        <v>0</v>
      </c>
      <c r="S6" s="3785">
        <f>IF('数据-汇总表'!$I$17="按面积比例",SUMIF('数据-汇总表'!C$19:C$33,A6,'数据-汇总表'!K$19:K$33),SUMIF('数据-汇总表'!C$19:C$33,A6,'数据-汇总表'!N$19:N$33))</f>
        <v>0</v>
      </c>
      <c r="T6" s="3821">
        <f>ROUND($L$14*S6/10000,0)</f>
        <v>0</v>
      </c>
      <c r="U6" s="3825">
        <v>2.2000000000000002</v>
      </c>
      <c r="V6" s="36">
        <v>0.02</v>
      </c>
      <c r="W6" s="36">
        <v>0.1</v>
      </c>
      <c r="X6" s="684"/>
      <c r="Y6" s="37">
        <f>N6</f>
        <v>0.8</v>
      </c>
      <c r="Z6" s="3830"/>
      <c r="AA6" s="35"/>
      <c r="AB6" s="35"/>
      <c r="AC6" s="684"/>
      <c r="AD6" s="38"/>
      <c r="AE6" s="685">
        <f ca="1">IF(AN6="",0,SUMIF(INDIRECT("'"&amp;AN6&amp;"'"&amp;"!E:E"),$AE$5,INDIRECT("'"&amp;AN6&amp;"'"&amp;"!F:F")))</f>
        <v>36.950000000000003</v>
      </c>
      <c r="AF6" s="3832"/>
      <c r="AG6" s="52">
        <f>IF(AF6="",0,AE6-AF6)</f>
        <v>0</v>
      </c>
      <c r="AH6" s="3825"/>
      <c r="AI6" s="3833">
        <v>365</v>
      </c>
      <c r="AJ6" s="3832"/>
      <c r="AK6" s="39">
        <v>5.0000000000000001E-3</v>
      </c>
      <c r="AL6" s="40">
        <v>1E-3</v>
      </c>
      <c r="AM6" s="41">
        <v>0.01</v>
      </c>
      <c r="AN6" s="1225" t="s">
        <v>4012</v>
      </c>
      <c r="AO6" s="3785">
        <f ca="1">SUMIF(INDIRECT("'"&amp;AN6&amp;"'"&amp;"!A:A"),"总价",INDIRECT("'"&amp;AN6&amp;"'"&amp;"!B:B"))</f>
        <v>144.7466</v>
      </c>
      <c r="AP6" s="3785">
        <f>IF(C6="住宅",K6*L6,0)</f>
        <v>0</v>
      </c>
      <c r="AQ6" s="3785">
        <f>ROUND($L$14*$N$14*S6/10000,0)</f>
        <v>0</v>
      </c>
      <c r="AR6" s="3785">
        <f>ROUND($L$14*(1-$N$14)*S6/10000,0)</f>
        <v>0</v>
      </c>
      <c r="AS6" s="3785">
        <f>ROUND(1-1/(1+H6)^F6,3)</f>
        <v>0.83499999999999996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4">
        <f>SUMIF(项目基本情况!C$12:I$12,C7,项目基本情况!C$14:I$14)</f>
        <v>0</v>
      </c>
      <c r="E7" s="547" t="str">
        <f>IF(B7="","",SUMIF(项目基本情况!C$12:I$12,C7,项目基本情况!C$13:I$13))</f>
        <v/>
      </c>
      <c r="F7" s="3296">
        <f>SUMIF(项目基本情况!C$12:I$12,C7,项目基本情况!C$15:I$15)</f>
        <v>0</v>
      </c>
      <c r="G7" s="3297">
        <f t="shared" si="0"/>
        <v>0</v>
      </c>
      <c r="H7" s="3298"/>
      <c r="I7" s="3298"/>
      <c r="J7" s="3299"/>
      <c r="K7" s="3805">
        <f>SUMIF('数据-汇总表'!C$19:C$33,A7,'数据-汇总表'!E$19:E$33)</f>
        <v>0</v>
      </c>
      <c r="L7" s="3806"/>
      <c r="M7" s="3807">
        <f t="shared" si="1"/>
        <v>0</v>
      </c>
      <c r="N7" s="3286"/>
      <c r="O7" s="3807" t="str">
        <f t="shared" ref="O7:O14" si="3">IF($N$5="成新度","——",ROUND(M7*N7,0))</f>
        <v>——</v>
      </c>
      <c r="P7" s="3637" t="str">
        <f t="shared" ref="P7:P14" si="4">IF($N$5="成新度","——",M7-O7)</f>
        <v>——</v>
      </c>
      <c r="Q7" s="3287"/>
      <c r="R7" s="3820">
        <f ca="1">SUMIF('数据-汇总表'!C$19:C$33,A7,'数据-汇总表'!R$19:R$27)</f>
        <v>0</v>
      </c>
      <c r="S7" s="3785">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0">
        <f ca="1">SUMIF('数据-汇总表'!C$19:C$33,A8,'数据-汇总表'!R$19:R$27)</f>
        <v>0</v>
      </c>
      <c r="S8" s="3785">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0">
        <f ca="1">SUMIF('数据-汇总表'!C$19:C$33,A9,'数据-汇总表'!R$19:R$27)</f>
        <v>0</v>
      </c>
      <c r="S9" s="3785">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0">
        <f ca="1">SUMIF('数据-汇总表'!C$19:C$33,A10,'数据-汇总表'!R$19:R$27)</f>
        <v>0</v>
      </c>
      <c r="S10" s="3785">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0">
        <f ca="1">SUMIF('数据-汇总表'!C$19:C$33,A11,'数据-汇总表'!R$19:R$27)</f>
        <v>0</v>
      </c>
      <c r="S11" s="3785">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0">
        <f ca="1">SUMIF('数据-汇总表'!C$19:C$33,A12,'数据-汇总表'!R$19:R$27)</f>
        <v>0</v>
      </c>
      <c r="S12" s="3785">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0">
        <f ca="1">SUMIF('数据-汇总表'!C$19:C$33,A13,'数据-汇总表'!R$19:R$27)</f>
        <v>0</v>
      </c>
      <c r="S13" s="3785">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0"/>
      <c r="S14" s="3785"/>
      <c r="T14" s="3821"/>
      <c r="U14" s="3828"/>
      <c r="V14" s="680"/>
      <c r="W14" s="680"/>
      <c r="X14" s="681"/>
      <c r="Y14" s="682"/>
      <c r="Z14" s="30"/>
      <c r="AA14" s="683"/>
      <c r="AB14" s="683"/>
      <c r="AC14" s="684"/>
      <c r="AD14" s="681"/>
      <c r="AE14" s="685"/>
      <c r="AF14" s="28"/>
      <c r="AG14" s="52"/>
      <c r="AH14" s="685"/>
      <c r="AI14" s="3773"/>
      <c r="AJ14" s="28"/>
      <c r="AK14" s="686"/>
      <c r="AL14" s="687"/>
      <c r="AM14" s="688"/>
      <c r="AN14" s="1938"/>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0"/>
      <c r="S15" s="3785"/>
      <c r="T15" s="3821"/>
      <c r="U15" s="3828"/>
      <c r="V15" s="680"/>
      <c r="W15" s="680"/>
      <c r="X15" s="681"/>
      <c r="Y15" s="682"/>
      <c r="Z15" s="30"/>
      <c r="AA15" s="683"/>
      <c r="AB15" s="683"/>
      <c r="AC15" s="684"/>
      <c r="AD15" s="681"/>
      <c r="AE15" s="685"/>
      <c r="AF15" s="28"/>
      <c r="AG15" s="52"/>
      <c r="AH15" s="685"/>
      <c r="AI15" s="3773"/>
      <c r="AJ15" s="28"/>
      <c r="AK15" s="686"/>
      <c r="AL15" s="687"/>
      <c r="AM15" s="688"/>
      <c r="AN15" s="1938"/>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5"/>
      <c r="E16" s="42"/>
      <c r="F16" s="3301"/>
      <c r="G16" s="3302">
        <f>ROUND(SUMPRODUCT(G6:G13,K6:K13)/SUMPRODUCT((G6:G13&gt;0)*(K6:K13)),4)</f>
        <v>0.91490000000000005</v>
      </c>
      <c r="H16" s="3303">
        <f>ROUND(SUMPRODUCT(H6:H13,K6:K13)/SUMPRODUCT((H6:H13&gt;0)*(K6:K13)),3)</f>
        <v>0.05</v>
      </c>
      <c r="I16" s="3304"/>
      <c r="J16" s="3304"/>
      <c r="K16" s="3809">
        <f>SUM(K6:K15)</f>
        <v>109.4</v>
      </c>
      <c r="L16" s="3810">
        <f>ROUND(M16*10000/SUM(K6:K14),0)</f>
        <v>4113</v>
      </c>
      <c r="M16" s="3810">
        <f>SUM(M6:M14)</f>
        <v>45</v>
      </c>
      <c r="N16" s="3292">
        <f>ROUND(SUMPRODUCT(M6:M14,N6:N14)/M16,3)</f>
        <v>0.8</v>
      </c>
      <c r="O16" s="3810">
        <f>SUM(O6:O14)</f>
        <v>0</v>
      </c>
      <c r="P16" s="3810">
        <f>SUM(P6:P14)</f>
        <v>0</v>
      </c>
      <c r="Q16" s="3293">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9"/>
      <c r="AP16" s="3319"/>
      <c r="AQ16" s="3319"/>
      <c r="AR16" s="3319"/>
      <c r="AS16" s="3785">
        <f>ROUND(SUMPRODUCT(AS6:AS13,K6:K13)/SUMPRODUCT((AS6:AS13&gt;0)*(K6:K13)),3)</f>
        <v>0.83499999999999996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v>4500</v>
      </c>
      <c r="M17" s="4231" t="s">
        <v>4050</v>
      </c>
      <c r="N17" s="1938">
        <f>项目基本情况!G21</f>
        <v>2014</v>
      </c>
      <c r="O17" s="1938"/>
      <c r="P17" s="1938"/>
      <c r="Q17" s="1938"/>
      <c r="R17" s="1938"/>
      <c r="S17" s="1938"/>
      <c r="T17" s="1938"/>
      <c r="U17" s="1938">
        <f>2.5/1.09</f>
        <v>2.2935779816513762</v>
      </c>
      <c r="V17" s="1938"/>
      <c r="W17" s="1938"/>
      <c r="X17" s="1938"/>
      <c r="Y17" s="1938"/>
      <c r="Z17" s="1938"/>
      <c r="AA17" s="1938"/>
      <c r="AB17" s="1938"/>
      <c r="AC17" s="1938"/>
      <c r="AD17" s="1938"/>
      <c r="AE17" s="1938"/>
      <c r="AF17" s="1938"/>
      <c r="AG17" s="1938"/>
      <c r="AH17" s="1938"/>
      <c r="AI17" s="1938"/>
      <c r="AJ17" s="1938"/>
      <c r="AK17" s="1938"/>
      <c r="AL17" s="1938"/>
      <c r="AM17" s="1938"/>
      <c r="AN17" s="1938"/>
      <c r="AO17" s="3317"/>
      <c r="AP17" s="3317"/>
      <c r="AQ17" s="3317"/>
      <c r="AR17" s="3317"/>
    </row>
    <row r="18" spans="1:44" ht="15" thickBot="1">
      <c r="A18" s="31" t="s">
        <v>1193</v>
      </c>
      <c r="B18" s="1948"/>
      <c r="C18" s="1928"/>
      <c r="D18" s="1941"/>
      <c r="E18" s="1928"/>
      <c r="F18" s="1928"/>
      <c r="G18" s="1928"/>
      <c r="H18" s="1928"/>
      <c r="I18" s="1928"/>
      <c r="J18" s="1928"/>
      <c r="K18" s="1939"/>
      <c r="L18" s="1939"/>
      <c r="M18" s="1938"/>
      <c r="N18" s="1938">
        <f>ROUND(1-(2026-N17)/60,2)</f>
        <v>0.8</v>
      </c>
      <c r="O18" s="1938">
        <v>0.5</v>
      </c>
      <c r="P18" s="1938"/>
      <c r="Q18" s="1938"/>
      <c r="R18" s="1938"/>
      <c r="S18" s="1938"/>
      <c r="T18" s="4231" t="s">
        <v>4046</v>
      </c>
      <c r="U18" s="1938" t="s">
        <v>4044</v>
      </c>
      <c r="V18" s="4231" t="s">
        <v>4045</v>
      </c>
      <c r="W18" s="1938"/>
      <c r="X18" s="1938"/>
      <c r="Y18" s="1938"/>
      <c r="Z18" s="1938"/>
      <c r="AA18" s="1938"/>
      <c r="AB18" s="1938"/>
      <c r="AC18" s="1938"/>
      <c r="AD18" s="1938"/>
      <c r="AE18" s="1938"/>
      <c r="AF18" s="1938"/>
      <c r="AG18" s="1938"/>
      <c r="AH18" s="1938"/>
      <c r="AI18" s="1938"/>
      <c r="AJ18" s="1938"/>
      <c r="AK18" s="1938"/>
      <c r="AL18" s="1938"/>
      <c r="AM18" s="1938"/>
      <c r="AN18" s="1938"/>
      <c r="AO18" s="3317"/>
      <c r="AP18" s="3317"/>
      <c r="AQ18" s="3317"/>
      <c r="AR18" s="3317"/>
    </row>
    <row r="19" spans="1:44" ht="14.25">
      <c r="A19" s="3844" t="s">
        <v>1194</v>
      </c>
      <c r="B19" s="3811">
        <v>0</v>
      </c>
      <c r="C19" s="3921" t="s">
        <v>2201</v>
      </c>
      <c r="D19" s="3917"/>
      <c r="E19" s="3918"/>
      <c r="F19" s="3918"/>
      <c r="G19" s="3918"/>
      <c r="H19" s="1928"/>
      <c r="I19" s="1928"/>
      <c r="J19" s="1928"/>
      <c r="K19" s="1939"/>
      <c r="L19" s="1939"/>
      <c r="M19" s="1938"/>
      <c r="N19" s="1938">
        <v>0.85</v>
      </c>
      <c r="O19" s="1938">
        <f>1-O18</f>
        <v>0.5</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7"/>
      <c r="AP19" s="3317"/>
      <c r="AQ19" s="3317"/>
      <c r="AR19" s="3317"/>
    </row>
    <row r="20" spans="1:44" ht="14.25">
      <c r="A20" s="1230" t="s">
        <v>1195</v>
      </c>
      <c r="B20" s="3812">
        <v>2</v>
      </c>
      <c r="C20" s="3919" t="s">
        <v>3860</v>
      </c>
      <c r="D20" s="3917"/>
      <c r="E20" s="3918"/>
      <c r="F20" s="3918"/>
      <c r="G20" s="3918"/>
      <c r="H20" s="1928"/>
      <c r="I20" s="1928"/>
      <c r="J20" s="1928"/>
      <c r="K20" s="1939"/>
      <c r="L20" s="1939"/>
      <c r="M20" s="1938"/>
      <c r="N20" s="1938">
        <f>ROUND(N18*O18+N19*O19,2)</f>
        <v>0.83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7"/>
      <c r="AP20" s="3317"/>
      <c r="AQ20" s="3317"/>
      <c r="AR20" s="3317"/>
    </row>
    <row r="21" spans="1:44" ht="14.25">
      <c r="A21" s="1231" t="s">
        <v>1196</v>
      </c>
      <c r="B21" s="3812">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7"/>
      <c r="AP21" s="3317"/>
      <c r="AQ21" s="3317"/>
      <c r="AR21" s="3317"/>
    </row>
    <row r="22" spans="1:44" ht="14.25">
      <c r="A22" s="1230" t="s">
        <v>1197</v>
      </c>
      <c r="B22" s="3813">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7"/>
      <c r="AP22" s="3317"/>
      <c r="AQ22" s="3317"/>
      <c r="AR22" s="3317"/>
    </row>
    <row r="23" spans="1:44" ht="14.25">
      <c r="A23" s="1231" t="s">
        <v>1198</v>
      </c>
      <c r="B23" s="3813">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7"/>
      <c r="AP23" s="3317"/>
      <c r="AQ23" s="3317"/>
      <c r="AR23" s="3317"/>
    </row>
    <row r="24" spans="1:44" ht="15" thickBot="1">
      <c r="A24" s="1232" t="s">
        <v>1199</v>
      </c>
      <c r="B24" s="3814">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7"/>
      <c r="AP24" s="3317"/>
      <c r="AQ24" s="3317"/>
      <c r="AR24" s="3317"/>
    </row>
    <row r="25" spans="1:44" ht="15" thickBot="1">
      <c r="A25" s="1094"/>
      <c r="B25" s="1183"/>
      <c r="C25" s="1928"/>
      <c r="D25" s="1941"/>
      <c r="E25" s="1928"/>
      <c r="F25" s="3622"/>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7"/>
      <c r="AP25" s="3317"/>
      <c r="AQ25" s="3317"/>
      <c r="AR25" s="3317"/>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7"/>
      <c r="AP26" s="3317"/>
      <c r="AQ26" s="3317"/>
      <c r="AR26" s="3317"/>
    </row>
    <row r="27" spans="1:44" ht="14.25">
      <c r="A27" s="1234" t="s">
        <v>1202</v>
      </c>
      <c r="B27" s="3815"/>
      <c r="C27" s="3964" t="s">
        <v>2202</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7"/>
      <c r="AP27" s="3317"/>
      <c r="AQ27" s="3317"/>
      <c r="AR27" s="3317"/>
    </row>
    <row r="28" spans="1:44" ht="14.25">
      <c r="A28" s="1235" t="s">
        <v>1203</v>
      </c>
      <c r="B28" s="3816">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7"/>
      <c r="AP28" s="3317"/>
      <c r="AQ28" s="3317"/>
      <c r="AR28" s="3317"/>
    </row>
    <row r="29" spans="1:44" ht="15" thickBot="1">
      <c r="A29" s="1236" t="s">
        <v>1204</v>
      </c>
      <c r="B29" s="3817"/>
      <c r="C29" s="3965" t="s">
        <v>3859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7"/>
      <c r="AP29" s="3317"/>
      <c r="AQ29" s="3317"/>
      <c r="AR29" s="3317"/>
    </row>
    <row r="30" spans="1:44" ht="14.25">
      <c r="A30" s="1237" t="s">
        <v>1205</v>
      </c>
      <c r="B30" s="4233">
        <v>130</v>
      </c>
      <c r="C30" s="3970" t="s">
        <v>3989</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7"/>
      <c r="AP30" s="3317"/>
      <c r="AQ30" s="3317"/>
      <c r="AR30" s="3317"/>
    </row>
    <row r="31" spans="1:44" ht="14.25">
      <c r="A31" s="1235" t="s">
        <v>1206</v>
      </c>
      <c r="B31" s="3813">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7"/>
      <c r="AP31" s="3317"/>
      <c r="AQ31" s="3317"/>
      <c r="AR31" s="3317"/>
    </row>
    <row r="32" spans="1:44" ht="15" thickBot="1">
      <c r="A32" s="1238" t="s">
        <v>1207</v>
      </c>
      <c r="B32" s="381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7"/>
      <c r="AP32" s="3317"/>
      <c r="AQ32" s="3317"/>
      <c r="AR32" s="3317"/>
    </row>
    <row r="33" spans="1:44" ht="14.25">
      <c r="A33" s="3847" t="s">
        <v>3824</v>
      </c>
      <c r="B33" s="3911">
        <v>0.06</v>
      </c>
      <c r="C33" s="3955" t="s">
        <v>3852</v>
      </c>
      <c r="D33" s="3917"/>
      <c r="E33" s="3918"/>
      <c r="F33" s="3918"/>
      <c r="G33" s="3918"/>
      <c r="H33" s="1928"/>
      <c r="I33" s="1928">
        <f>B33*L16</f>
        <v>246.78</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7"/>
      <c r="AP33" s="3317"/>
      <c r="AQ33" s="3317"/>
      <c r="AR33" s="3317"/>
    </row>
    <row r="34" spans="1:44" ht="14.25">
      <c r="A34" s="1235" t="s">
        <v>1208</v>
      </c>
      <c r="B34" s="3912">
        <v>0</v>
      </c>
      <c r="C34" s="3919" t="s">
        <v>3854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7"/>
      <c r="AP34" s="3317"/>
      <c r="AQ34" s="3317"/>
      <c r="AR34" s="3317"/>
    </row>
    <row r="35" spans="1:44" ht="14.25">
      <c r="A35" s="1235" t="s">
        <v>1209</v>
      </c>
      <c r="B35" s="3913">
        <v>350</v>
      </c>
      <c r="C35" s="3921" t="s">
        <v>3856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7"/>
      <c r="AP35" s="3317"/>
      <c r="AQ35" s="3317"/>
      <c r="AR35" s="3317"/>
    </row>
    <row r="36" spans="1:44" ht="14.25">
      <c r="A36" s="3845" t="s">
        <v>3296</v>
      </c>
      <c r="B36" s="3305">
        <v>0.01</v>
      </c>
      <c r="C36" s="3956" t="s">
        <v>3855</v>
      </c>
      <c r="D36" s="3922"/>
      <c r="E36" s="3923"/>
      <c r="F36" s="3923"/>
      <c r="G36" s="3918"/>
      <c r="H36" s="1928"/>
      <c r="I36" s="1928"/>
      <c r="J36" s="1928"/>
      <c r="K36" s="1939">
        <f>B36*L16</f>
        <v>41.13</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7"/>
      <c r="AP36" s="3317"/>
      <c r="AQ36" s="3317"/>
      <c r="AR36" s="3317"/>
    </row>
    <row r="37" spans="1:44" ht="15" thickBot="1">
      <c r="A37" s="3846" t="s">
        <v>3297</v>
      </c>
      <c r="B37" s="3306"/>
      <c r="C37" s="3921" t="s">
        <v>3853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7"/>
      <c r="AP37" s="3317"/>
      <c r="AQ37" s="3317"/>
      <c r="AR37" s="3317"/>
    </row>
    <row r="38" spans="1:44" ht="14.25">
      <c r="A38" s="1237" t="s">
        <v>1210</v>
      </c>
      <c r="B38" s="3307">
        <v>0.02</v>
      </c>
      <c r="C38" s="3919" t="s">
        <v>3272</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7"/>
      <c r="AP38" s="3317"/>
      <c r="AQ38" s="3317"/>
      <c r="AR38" s="3317"/>
    </row>
    <row r="39" spans="1:44" ht="14.25">
      <c r="A39" s="1235" t="s">
        <v>1211</v>
      </c>
      <c r="B39" s="3305">
        <v>0.02</v>
      </c>
      <c r="C39" s="3919" t="s">
        <v>3857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7"/>
      <c r="AP39" s="3317"/>
      <c r="AQ39" s="3317"/>
      <c r="AR39" s="3317"/>
    </row>
    <row r="40" spans="1:44" ht="14.25">
      <c r="A40" s="1238" t="s">
        <v>1212</v>
      </c>
      <c r="B40" s="3308">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7"/>
      <c r="AP40" s="3317"/>
      <c r="AQ40" s="3317"/>
      <c r="AR40" s="3317"/>
    </row>
    <row r="41" spans="1:44" ht="15" thickBot="1">
      <c r="A41" s="2048" t="s">
        <v>2208</v>
      </c>
      <c r="B41" s="3309">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7"/>
      <c r="AP41" s="3317"/>
      <c r="AQ41" s="3317"/>
      <c r="AR41" s="3317"/>
    </row>
    <row r="42" spans="1:44" ht="14.25">
      <c r="A42" s="3847" t="s">
        <v>3289</v>
      </c>
      <c r="B42" s="3310"/>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7"/>
      <c r="AP42" s="3317"/>
      <c r="AQ42" s="3317"/>
      <c r="AR42" s="3317"/>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7"/>
      <c r="AP43" s="3317"/>
      <c r="AQ43" s="3317"/>
      <c r="AR43" s="3317"/>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7"/>
      <c r="AP44" s="3317"/>
      <c r="AQ44" s="3317"/>
      <c r="AR44" s="3317"/>
    </row>
    <row r="45" spans="1:44" ht="14.25">
      <c r="A45" s="1240" t="s">
        <v>1215</v>
      </c>
      <c r="B45" s="3311">
        <v>7.0000000000000007E-2</v>
      </c>
      <c r="C45" s="3919" t="s">
        <v>3273</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7"/>
      <c r="AP45" s="3317"/>
      <c r="AQ45" s="3317"/>
      <c r="AR45" s="3317"/>
    </row>
    <row r="46" spans="1:44" ht="14.25">
      <c r="A46" s="1240" t="s">
        <v>1216</v>
      </c>
      <c r="B46" s="3312">
        <v>0.03</v>
      </c>
      <c r="C46" s="3965" t="s">
        <v>3861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7"/>
      <c r="AP46" s="3317"/>
      <c r="AQ46" s="3317"/>
      <c r="AR46" s="3317"/>
    </row>
    <row r="47" spans="1:44" ht="14.25">
      <c r="A47" s="1240" t="s">
        <v>1217</v>
      </c>
      <c r="B47" s="3312">
        <v>0.02</v>
      </c>
      <c r="C47" s="3965" t="s">
        <v>3862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7"/>
      <c r="AP47" s="3317"/>
      <c r="AQ47" s="3317"/>
      <c r="AR47" s="3317"/>
    </row>
    <row r="48" spans="1:44" ht="15" thickBot="1">
      <c r="A48" s="1241" t="s">
        <v>1218</v>
      </c>
      <c r="B48" s="3313"/>
      <c r="C48" s="3968" t="s">
        <v>2203</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7"/>
      <c r="AP48" s="3317"/>
      <c r="AQ48" s="3317"/>
      <c r="AR48" s="3317"/>
    </row>
    <row r="49" spans="1:44" ht="14.25">
      <c r="A49" s="1242" t="s">
        <v>1219</v>
      </c>
      <c r="B49" s="3314">
        <v>0.03</v>
      </c>
      <c r="C49" s="3965" t="s">
        <v>3863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7"/>
      <c r="AP49" s="3317"/>
      <c r="AQ49" s="3317"/>
      <c r="AR49" s="3317"/>
    </row>
    <row r="50" spans="1:44" ht="15" thickBot="1">
      <c r="A50" s="1238" t="s">
        <v>1220</v>
      </c>
      <c r="B50" s="3312">
        <v>5.0000000000000001E-4</v>
      </c>
      <c r="C50" s="3965" t="s">
        <v>3864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7"/>
      <c r="AP50" s="3317"/>
      <c r="AQ50" s="3317"/>
      <c r="AR50" s="3317"/>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7"/>
      <c r="AP51" s="3317"/>
      <c r="AQ51" s="3317"/>
      <c r="AR51" s="3317"/>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7"/>
      <c r="AP52" s="3317"/>
      <c r="AQ52" s="3317"/>
      <c r="AR52" s="3317"/>
    </row>
    <row r="53" spans="1:44" ht="14.25">
      <c r="A53" s="1243" t="s">
        <v>1223</v>
      </c>
      <c r="B53" s="3315">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7"/>
      <c r="AP53" s="3317"/>
      <c r="AQ53" s="3317"/>
      <c r="AR53" s="3317"/>
    </row>
    <row r="54" spans="1:44" ht="14.25">
      <c r="A54" s="1235" t="s">
        <v>1224</v>
      </c>
      <c r="B54" s="3316"/>
      <c r="C54" s="1939" t="s">
        <v>3865</v>
      </c>
      <c r="D54" s="3969" t="s">
        <v>3866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7"/>
      <c r="AP54" s="3317"/>
      <c r="AQ54" s="3317"/>
      <c r="AR54" s="3317"/>
    </row>
    <row r="55" spans="1:44" ht="14.25">
      <c r="A55" s="1244" t="s">
        <v>1225</v>
      </c>
      <c r="B55" s="3804"/>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7"/>
      <c r="AP55" s="3317"/>
      <c r="AQ55" s="3317"/>
      <c r="AR55" s="3317"/>
    </row>
    <row r="56" spans="1:44" ht="14.25">
      <c r="A56" s="1244" t="s">
        <v>1226</v>
      </c>
      <c r="B56" s="3804"/>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7"/>
      <c r="AP56" s="3317"/>
      <c r="AQ56" s="3317"/>
      <c r="AR56" s="3317"/>
    </row>
    <row r="57" spans="1:44" ht="14.25">
      <c r="A57" s="1244" t="s">
        <v>1227</v>
      </c>
      <c r="B57" s="3804"/>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7"/>
      <c r="AP57" s="3317"/>
      <c r="AQ57" s="3317"/>
      <c r="AR57" s="3317"/>
    </row>
    <row r="58" spans="1:44" ht="14.25">
      <c r="A58" s="1244" t="s">
        <v>1228</v>
      </c>
      <c r="B58" s="3804"/>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7"/>
      <c r="AP58" s="3317"/>
      <c r="AQ58" s="3317"/>
      <c r="AR58" s="3317"/>
    </row>
    <row r="59" spans="1:44" ht="14.25">
      <c r="A59" s="1244" t="s">
        <v>1229</v>
      </c>
      <c r="B59" s="3804"/>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7"/>
      <c r="AP59" s="3317"/>
      <c r="AQ59" s="3317"/>
      <c r="AR59" s="3317"/>
    </row>
    <row r="60" spans="1:44" ht="14.25">
      <c r="A60" s="1244" t="s">
        <v>1230</v>
      </c>
      <c r="B60" s="3804"/>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7"/>
      <c r="AP60" s="3317"/>
      <c r="AQ60" s="3317"/>
      <c r="AR60" s="3317"/>
    </row>
    <row r="61" spans="1:44" ht="14.25">
      <c r="A61" s="1244" t="s">
        <v>1231</v>
      </c>
      <c r="B61" s="3804"/>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7"/>
      <c r="AP61" s="3317"/>
      <c r="AQ61" s="3317"/>
      <c r="AR61" s="3317"/>
    </row>
    <row r="62" spans="1:44" ht="14.25">
      <c r="A62" s="1244" t="s">
        <v>1232</v>
      </c>
      <c r="B62" s="3804"/>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7"/>
      <c r="AP62" s="3317"/>
      <c r="AQ62" s="3317"/>
      <c r="AR62" s="3317"/>
    </row>
    <row r="63" spans="1:44" ht="14.25">
      <c r="A63" s="1244" t="s">
        <v>1233</v>
      </c>
      <c r="B63" s="3804"/>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7"/>
      <c r="AP63" s="3317"/>
      <c r="AQ63" s="3317"/>
      <c r="AR63" s="3317"/>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7"/>
      <c r="AP64" s="3317"/>
      <c r="AQ64" s="3317"/>
      <c r="AR64" s="3317"/>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7"/>
      <c r="AP65" s="3317"/>
      <c r="AQ65" s="3317"/>
      <c r="AR65" s="3317"/>
      <c r="AS65" s="3323"/>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7"/>
      <c r="AP66" s="3317"/>
      <c r="AQ66" s="3317"/>
      <c r="AR66" s="3317"/>
      <c r="AS66" s="3323"/>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7"/>
      <c r="AP67" s="3317"/>
      <c r="AQ67" s="3317"/>
      <c r="AR67" s="3317"/>
      <c r="AS67" s="3323"/>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7"/>
      <c r="AP68" s="3317"/>
      <c r="AQ68" s="3317"/>
      <c r="AR68" s="3317"/>
      <c r="AS68" s="3323"/>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algorithmName="SHA-512" hashValue="L/xTATRYzu4+0CDcZO0ZH7EJ2O2y0IlYRnx+uvi4N9wNDsQkxWUvhs64QRugl9RsjUY329xjDu3ftfX33m2L0Q==" saltValue="AzXsyRaUOulrzcbTElCDGw==" spinCount="100000" sheet="1" objects="1" scenarios="1" formatCells="0" formatColumns="0"/>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28" t="s">
        <v>2193</v>
      </c>
      <c r="B1" s="4329"/>
      <c r="C1" s="4329"/>
      <c r="D1" s="4329"/>
      <c r="E1" s="4329"/>
      <c r="F1" s="4329"/>
      <c r="G1" s="432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2188</v>
      </c>
      <c r="D2" s="1229"/>
      <c r="E2" s="1800"/>
      <c r="F2" s="1803"/>
      <c r="G2" s="1802" t="s">
        <v>2189</v>
      </c>
      <c r="H2" s="521"/>
      <c r="I2" s="521"/>
      <c r="J2" s="521"/>
      <c r="K2" s="521"/>
      <c r="L2" s="521"/>
      <c r="M2" s="521"/>
      <c r="N2" s="521"/>
      <c r="O2" s="521"/>
      <c r="P2" s="521"/>
      <c r="Q2" s="521"/>
    </row>
    <row r="3" spans="1:29" ht="48">
      <c r="A3" s="1787" t="s">
        <v>2190</v>
      </c>
      <c r="B3" s="1804" t="s">
        <v>2159</v>
      </c>
      <c r="C3" s="1805" t="s">
        <v>2191</v>
      </c>
      <c r="D3" s="1806"/>
      <c r="E3" s="1788" t="s">
        <v>2190</v>
      </c>
      <c r="F3" s="1807" t="s">
        <v>2160</v>
      </c>
      <c r="G3" s="1808" t="s">
        <v>2192</v>
      </c>
      <c r="H3" s="521"/>
      <c r="I3" s="521"/>
      <c r="J3" s="521"/>
      <c r="K3" s="521"/>
      <c r="L3" s="521"/>
      <c r="M3" s="521"/>
      <c r="N3" s="521"/>
      <c r="O3" s="521"/>
      <c r="P3" s="521"/>
      <c r="Q3" s="521"/>
    </row>
    <row r="4" spans="1:29" ht="36.75">
      <c r="A4" s="1788"/>
      <c r="B4" s="206" t="s">
        <v>2161</v>
      </c>
      <c r="C4" s="1809" t="s">
        <v>2162</v>
      </c>
      <c r="D4" s="1806"/>
      <c r="E4" s="1810"/>
      <c r="F4" s="925" t="s">
        <v>2163</v>
      </c>
      <c r="G4" s="1811" t="s">
        <v>2164</v>
      </c>
      <c r="H4" s="521"/>
      <c r="I4" s="521"/>
      <c r="J4" s="521"/>
      <c r="K4" s="521"/>
      <c r="L4" s="521"/>
      <c r="M4" s="521"/>
      <c r="N4" s="521"/>
      <c r="O4" s="521"/>
      <c r="P4" s="521"/>
      <c r="Q4" s="521"/>
    </row>
    <row r="5" spans="1:29" ht="36.75">
      <c r="A5" s="1788"/>
      <c r="B5" s="206" t="s">
        <v>2165</v>
      </c>
      <c r="C5" s="1809" t="s">
        <v>2166</v>
      </c>
      <c r="D5" s="1806"/>
      <c r="E5" s="1810"/>
      <c r="F5" s="206" t="s">
        <v>2167</v>
      </c>
      <c r="G5" s="1811" t="s">
        <v>2168</v>
      </c>
      <c r="H5" s="521"/>
      <c r="I5" s="521"/>
      <c r="J5" s="521"/>
      <c r="K5" s="521"/>
      <c r="L5" s="521"/>
      <c r="M5" s="521"/>
      <c r="N5" s="521"/>
      <c r="O5" s="521"/>
      <c r="P5" s="521"/>
      <c r="Q5" s="521"/>
    </row>
    <row r="6" spans="1:29" ht="36">
      <c r="A6" s="1788"/>
      <c r="B6" s="206" t="s">
        <v>2169</v>
      </c>
      <c r="C6" s="1811" t="s">
        <v>2164</v>
      </c>
      <c r="D6" s="1806"/>
      <c r="E6" s="1810"/>
      <c r="F6" s="206" t="s">
        <v>2170</v>
      </c>
      <c r="G6" s="1811" t="s">
        <v>2171</v>
      </c>
      <c r="H6" s="521"/>
      <c r="I6" s="521"/>
      <c r="J6" s="521"/>
      <c r="K6" s="521"/>
      <c r="L6" s="521"/>
      <c r="M6" s="521"/>
      <c r="N6" s="521"/>
      <c r="O6" s="521"/>
      <c r="P6" s="521"/>
      <c r="Q6" s="521"/>
    </row>
    <row r="7" spans="1:29" ht="24.75" thickBot="1">
      <c r="A7" s="1788"/>
      <c r="B7" s="206" t="s">
        <v>2167</v>
      </c>
      <c r="C7" s="1811" t="s">
        <v>2168</v>
      </c>
      <c r="D7" s="1785"/>
      <c r="E7" s="1812"/>
      <c r="F7" s="1813" t="s">
        <v>2172</v>
      </c>
      <c r="G7" s="1814" t="s">
        <v>2173</v>
      </c>
      <c r="H7" s="521"/>
      <c r="I7" s="521"/>
      <c r="J7" s="521"/>
      <c r="K7" s="521"/>
      <c r="L7" s="521"/>
      <c r="M7" s="521"/>
      <c r="N7" s="521"/>
      <c r="O7" s="521"/>
      <c r="P7" s="521"/>
      <c r="Q7" s="521"/>
    </row>
    <row r="8" spans="1:29">
      <c r="A8" s="1788"/>
      <c r="B8" s="206" t="s">
        <v>2170</v>
      </c>
      <c r="C8" s="1811" t="s">
        <v>2171</v>
      </c>
      <c r="D8" s="1785"/>
      <c r="E8" s="1785"/>
      <c r="F8" s="47"/>
      <c r="G8" s="47"/>
      <c r="H8" s="521"/>
      <c r="I8" s="521"/>
      <c r="J8" s="521"/>
      <c r="K8" s="521"/>
      <c r="L8" s="521"/>
      <c r="M8" s="521"/>
      <c r="N8" s="521"/>
      <c r="O8" s="521"/>
      <c r="P8" s="521"/>
      <c r="Q8" s="521"/>
    </row>
    <row r="9" spans="1:29" ht="24">
      <c r="A9" s="1788"/>
      <c r="B9" s="206" t="s">
        <v>2174</v>
      </c>
      <c r="C9" s="1809" t="s">
        <v>2175</v>
      </c>
      <c r="D9" s="1806"/>
      <c r="E9" s="1785"/>
      <c r="F9" s="47"/>
      <c r="G9" s="47"/>
      <c r="H9" s="521"/>
      <c r="I9" s="521"/>
      <c r="J9" s="521"/>
      <c r="K9" s="521"/>
      <c r="L9" s="521"/>
      <c r="M9" s="521"/>
      <c r="N9" s="521"/>
      <c r="O9" s="521"/>
      <c r="P9" s="521"/>
      <c r="Q9" s="521"/>
    </row>
    <row r="10" spans="1:29" ht="15" thickBot="1">
      <c r="A10" s="1789"/>
      <c r="B10" s="1815" t="s">
        <v>2176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2194</v>
      </c>
      <c r="B13" s="1820"/>
      <c r="C13" s="1820"/>
      <c r="D13" s="1819"/>
      <c r="E13" s="1820"/>
      <c r="F13" s="1820"/>
      <c r="G13" s="1820"/>
    </row>
    <row r="14" spans="1:29" ht="15" thickBot="1">
      <c r="A14" s="1825"/>
      <c r="B14" s="1825"/>
      <c r="C14" s="1826" t="s">
        <v>2177</v>
      </c>
      <c r="D14" s="1806"/>
      <c r="E14" s="1827"/>
      <c r="F14" s="1827"/>
      <c r="G14" s="1802" t="s">
        <v>2178</v>
      </c>
    </row>
    <row r="15" spans="1:29" ht="51">
      <c r="A15" s="1790" t="s">
        <v>2179</v>
      </c>
      <c r="B15" s="1828" t="s">
        <v>2159</v>
      </c>
      <c r="C15" s="1829" t="str">
        <f>C3</f>
        <v>估价对象周边居住用地比例、居住小区规模和社区发展完善程度，综合评价居住社区成熟度一般</v>
      </c>
      <c r="D15" s="1806"/>
      <c r="E15" s="1791" t="s">
        <v>2180</v>
      </c>
      <c r="F15" s="1828" t="s">
        <v>2181</v>
      </c>
      <c r="G15" s="1830" t="str">
        <f>G3</f>
        <v>估价对象位于XX开发区，园区建设成熟度XX，产业集聚程度XX</v>
      </c>
    </row>
    <row r="16" spans="1:29" ht="38.25">
      <c r="A16" s="1792"/>
      <c r="B16" s="1831" t="s">
        <v>2161</v>
      </c>
      <c r="C16" s="1832" t="str">
        <f>C4</f>
        <v>估价对象位于XX商圈，周边商业氛围成熟，人流量大，商业繁华度好</v>
      </c>
      <c r="D16" s="1806"/>
      <c r="E16" s="1793"/>
      <c r="F16" s="1833" t="s">
        <v>2163</v>
      </c>
      <c r="G16" s="1834" t="str">
        <f>G4</f>
        <v>估价对象周边道路状况、公共交通通达情况、停车便捷程度，综合评价交通便捷度较好</v>
      </c>
    </row>
    <row r="17" spans="1:17" ht="38.25">
      <c r="A17" s="1792"/>
      <c r="B17" s="1831" t="s">
        <v>2165</v>
      </c>
      <c r="C17" s="1832" t="str">
        <f>C5</f>
        <v>估价对象位于XX商圈，周边办公楼项目较多，入驻率高，办公集聚程度较好</v>
      </c>
      <c r="D17" s="1785"/>
      <c r="E17" s="1793"/>
      <c r="F17" s="1833" t="s">
        <v>2182</v>
      </c>
      <c r="G17" s="1835"/>
    </row>
    <row r="18" spans="1:17" ht="38.25">
      <c r="A18" s="1792"/>
      <c r="B18" s="1833" t="s">
        <v>2169</v>
      </c>
      <c r="C18" s="1834" t="str">
        <f>C6</f>
        <v>估价对象周边道路状况、公共交通通达情况、停车便捷程度，综合评价交通便捷度较好</v>
      </c>
      <c r="D18" s="1785"/>
      <c r="E18" s="1793"/>
      <c r="F18" s="1833" t="s">
        <v>2172</v>
      </c>
      <c r="G18" s="1834" t="str">
        <f>G7</f>
        <v>该园区内是否有污染型企业，绿化情况，卫生条件，整体环境状况判断</v>
      </c>
    </row>
    <row r="19" spans="1:17" ht="25.5">
      <c r="A19" s="1792"/>
      <c r="B19" s="1833" t="s">
        <v>2183</v>
      </c>
      <c r="C19" s="1835"/>
      <c r="D19" s="1806"/>
      <c r="E19" s="1793"/>
      <c r="F19" s="206" t="s">
        <v>2167</v>
      </c>
      <c r="G19" s="1834" t="str">
        <f>G5</f>
        <v>估价对象所在区域公共配套设施齐备情况</v>
      </c>
    </row>
    <row r="20" spans="1:17" ht="25.5">
      <c r="A20" s="1792"/>
      <c r="B20" s="1833" t="s">
        <v>2184</v>
      </c>
      <c r="C20" s="1832" t="str">
        <f>C9</f>
        <v>区域自然环境：；人文环境；综合评价环境状况一般</v>
      </c>
      <c r="D20" s="1785"/>
      <c r="E20" s="1793"/>
      <c r="F20" s="206" t="s">
        <v>2170</v>
      </c>
      <c r="G20" s="1834" t="str">
        <f>G6</f>
        <v>估价对象所在区域基础设施水平</v>
      </c>
    </row>
    <row r="21" spans="1:17" ht="25.5">
      <c r="A21" s="1792"/>
      <c r="B21" s="206" t="s">
        <v>2167</v>
      </c>
      <c r="C21" s="1834" t="str">
        <f>C7</f>
        <v>估价对象所在区域公共配套设施齐备情况</v>
      </c>
      <c r="D21" s="1806"/>
      <c r="E21" s="1793"/>
      <c r="F21" s="1833" t="s">
        <v>2185</v>
      </c>
      <c r="G21" s="1836"/>
    </row>
    <row r="22" spans="1:17" ht="13.5" customHeight="1">
      <c r="A22" s="1792"/>
      <c r="B22" s="206" t="s">
        <v>2170</v>
      </c>
      <c r="C22" s="1834" t="str">
        <f>C8</f>
        <v>估价对象所在区域基础设施水平</v>
      </c>
      <c r="D22" s="1806"/>
      <c r="E22" s="1793"/>
      <c r="F22" s="1833" t="s">
        <v>2176</v>
      </c>
      <c r="G22" s="1835"/>
    </row>
    <row r="23" spans="1:17" s="521" customFormat="1" ht="15" thickBot="1">
      <c r="A23" s="1792"/>
      <c r="B23" s="1833" t="s">
        <v>2185</v>
      </c>
      <c r="C23" s="1836"/>
      <c r="D23" s="1246"/>
      <c r="E23" s="1794"/>
      <c r="F23" s="1837" t="s">
        <v>2186</v>
      </c>
      <c r="G23" s="1838"/>
      <c r="H23" s="1817"/>
      <c r="I23" s="1817"/>
      <c r="J23" s="1817"/>
      <c r="K23" s="1817"/>
      <c r="L23" s="1817"/>
      <c r="M23" s="1817"/>
      <c r="N23" s="1817"/>
      <c r="O23" s="1817"/>
      <c r="P23" s="1817"/>
      <c r="Q23" s="1817"/>
    </row>
    <row r="24" spans="1:17" s="521" customFormat="1" ht="15" thickBot="1">
      <c r="A24" s="1795"/>
      <c r="B24" s="1837" t="s">
        <v>2187</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109.4</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46051</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209.97139999999999</v>
      </c>
      <c r="C5" s="1840">
        <f ca="1">ROUND(B5*10000/$B$1,0)</f>
        <v>19193</v>
      </c>
      <c r="D5" s="1840" t="e">
        <f ca="1">ROUND(B5*10000/$B$2,0)</f>
        <v>#DIV/0!</v>
      </c>
      <c r="E5" s="1949"/>
      <c r="F5" s="1950"/>
      <c r="G5" s="1950"/>
      <c r="H5" s="1950"/>
      <c r="I5" s="1950"/>
      <c r="J5" s="1950"/>
      <c r="K5" s="1950"/>
    </row>
    <row r="6" spans="1:11" ht="16.5">
      <c r="A6" s="1840" t="s">
        <v>644</v>
      </c>
      <c r="B6" s="1840">
        <f ca="1">SUM(G14:G23)</f>
        <v>209.97139999999999</v>
      </c>
      <c r="C6" s="1840">
        <f ca="1">ROUND(B6*10000/$B$1,0)</f>
        <v>19193</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3245</v>
      </c>
      <c r="D10" s="1840" t="s">
        <v>3246</v>
      </c>
      <c r="E10" s="3626"/>
      <c r="F10" s="2482" t="s">
        <v>3247</v>
      </c>
      <c r="G10" s="3627"/>
      <c r="H10" s="1950"/>
      <c r="I10" s="1950"/>
      <c r="J10" s="1950"/>
      <c r="K10" s="1950"/>
    </row>
    <row r="11" spans="1:11" ht="16.5">
      <c r="A11" s="1840" t="s">
        <v>658</v>
      </c>
      <c r="B11" s="3625"/>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3">
        <f>结果表!B118</f>
        <v>109.4</v>
      </c>
      <c r="C14" s="3623"/>
      <c r="D14" s="3623">
        <f ca="1">结果表!C104</f>
        <v>209.97139999999999</v>
      </c>
      <c r="E14" s="3623">
        <f ca="1">ROUND(D14*10000/B14,0)</f>
        <v>19193</v>
      </c>
      <c r="F14" s="3623" t="e">
        <f ca="1">ROUND(D14*10000/C14,0)</f>
        <v>#DIV/0!</v>
      </c>
      <c r="G14" s="3623">
        <f ca="1">D14</f>
        <v>209.97139999999999</v>
      </c>
      <c r="H14" s="3623"/>
      <c r="I14" s="3623"/>
      <c r="J14" s="1950"/>
      <c r="K14" s="1950"/>
    </row>
    <row r="15" spans="1:11" ht="16.5">
      <c r="A15" s="1845" t="s">
        <v>637</v>
      </c>
      <c r="B15" s="3624"/>
      <c r="C15" s="3624"/>
      <c r="D15" s="3624"/>
      <c r="E15" s="3623" t="e">
        <f t="shared" ref="E15:E23" si="0">ROUND(D15*10000/B15,0)</f>
        <v>#DIV/0!</v>
      </c>
      <c r="F15" s="3623" t="e">
        <f t="shared" ref="F15:F23" si="1">ROUND(D15*10000/C15,0)</f>
        <v>#DIV/0!</v>
      </c>
      <c r="G15" s="3625"/>
      <c r="H15" s="3625"/>
      <c r="I15" s="3624"/>
      <c r="J15" s="1950"/>
      <c r="K15" s="1950"/>
    </row>
    <row r="16" spans="1:11" ht="16.5">
      <c r="A16" s="1845" t="s">
        <v>636</v>
      </c>
      <c r="B16" s="3624"/>
      <c r="C16" s="3624"/>
      <c r="D16" s="3624"/>
      <c r="E16" s="3623" t="e">
        <f t="shared" si="0"/>
        <v>#DIV/0!</v>
      </c>
      <c r="F16" s="3623" t="e">
        <f t="shared" si="1"/>
        <v>#DIV/0!</v>
      </c>
      <c r="G16" s="3625"/>
      <c r="H16" s="3625"/>
      <c r="I16" s="3624"/>
      <c r="J16" s="1950"/>
      <c r="K16" s="1950"/>
    </row>
    <row r="17" spans="1:11" ht="16.5">
      <c r="A17" s="1845" t="s">
        <v>635</v>
      </c>
      <c r="B17" s="3624"/>
      <c r="C17" s="3624"/>
      <c r="D17" s="3624"/>
      <c r="E17" s="3623" t="e">
        <f t="shared" si="0"/>
        <v>#DIV/0!</v>
      </c>
      <c r="F17" s="3623" t="e">
        <f t="shared" si="1"/>
        <v>#DIV/0!</v>
      </c>
      <c r="G17" s="3625"/>
      <c r="H17" s="3625"/>
      <c r="I17" s="3624"/>
      <c r="J17" s="1950"/>
      <c r="K17" s="1950"/>
    </row>
    <row r="18" spans="1:11" ht="16.5">
      <c r="A18" s="1845" t="s">
        <v>634</v>
      </c>
      <c r="B18" s="3624"/>
      <c r="C18" s="3624"/>
      <c r="D18" s="3624"/>
      <c r="E18" s="3623" t="e">
        <f t="shared" si="0"/>
        <v>#DIV/0!</v>
      </c>
      <c r="F18" s="3623" t="e">
        <f t="shared" si="1"/>
        <v>#DIV/0!</v>
      </c>
      <c r="G18" s="3624"/>
      <c r="H18" s="3624"/>
      <c r="I18" s="3624"/>
      <c r="J18" s="1950"/>
      <c r="K18" s="1950"/>
    </row>
    <row r="19" spans="1:11" ht="16.5">
      <c r="A19" s="1845" t="s">
        <v>633</v>
      </c>
      <c r="B19" s="3624"/>
      <c r="C19" s="3624"/>
      <c r="D19" s="3624"/>
      <c r="E19" s="3623" t="e">
        <f t="shared" si="0"/>
        <v>#DIV/0!</v>
      </c>
      <c r="F19" s="3623" t="e">
        <f t="shared" si="1"/>
        <v>#DIV/0!</v>
      </c>
      <c r="G19" s="3624"/>
      <c r="H19" s="3624"/>
      <c r="I19" s="3624"/>
      <c r="J19" s="1950"/>
      <c r="K19" s="1950"/>
    </row>
    <row r="20" spans="1:11" ht="16.5">
      <c r="A20" s="1845" t="s">
        <v>632</v>
      </c>
      <c r="B20" s="3624"/>
      <c r="C20" s="3624"/>
      <c r="D20" s="3624"/>
      <c r="E20" s="3623" t="e">
        <f t="shared" si="0"/>
        <v>#DIV/0!</v>
      </c>
      <c r="F20" s="3623" t="e">
        <f t="shared" si="1"/>
        <v>#DIV/0!</v>
      </c>
      <c r="G20" s="3624"/>
      <c r="H20" s="3624"/>
      <c r="I20" s="3624"/>
      <c r="J20" s="1950"/>
      <c r="K20" s="1950"/>
    </row>
    <row r="21" spans="1:11" ht="16.5">
      <c r="A21" s="1845" t="s">
        <v>631</v>
      </c>
      <c r="B21" s="3624"/>
      <c r="C21" s="3624"/>
      <c r="D21" s="3624"/>
      <c r="E21" s="3623" t="e">
        <f t="shared" si="0"/>
        <v>#DIV/0!</v>
      </c>
      <c r="F21" s="3623" t="e">
        <f t="shared" si="1"/>
        <v>#DIV/0!</v>
      </c>
      <c r="G21" s="3624"/>
      <c r="H21" s="3624"/>
      <c r="I21" s="3624"/>
      <c r="J21" s="1950"/>
      <c r="K21" s="1950"/>
    </row>
    <row r="22" spans="1:11" ht="16.5">
      <c r="A22" s="1845" t="s">
        <v>630</v>
      </c>
      <c r="B22" s="3624"/>
      <c r="C22" s="3624"/>
      <c r="D22" s="3624"/>
      <c r="E22" s="3623" t="e">
        <f t="shared" si="0"/>
        <v>#DIV/0!</v>
      </c>
      <c r="F22" s="3623" t="e">
        <f t="shared" si="1"/>
        <v>#DIV/0!</v>
      </c>
      <c r="G22" s="3624"/>
      <c r="H22" s="3624"/>
      <c r="I22" s="3624"/>
      <c r="J22" s="1950"/>
      <c r="K22" s="1950"/>
    </row>
    <row r="23" spans="1:11" ht="16.5">
      <c r="A23" s="1845" t="s">
        <v>629</v>
      </c>
      <c r="B23" s="3624"/>
      <c r="C23" s="3624"/>
      <c r="D23" s="3624"/>
      <c r="E23" s="3625" t="e">
        <f t="shared" si="0"/>
        <v>#DIV/0!</v>
      </c>
      <c r="F23" s="3625" t="e">
        <f t="shared" si="1"/>
        <v>#DIV/0!</v>
      </c>
      <c r="G23" s="3624"/>
      <c r="H23" s="3624"/>
      <c r="I23" s="3624"/>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row>
    <row r="2" spans="1:12" ht="21.75" customHeight="1" thickBot="1">
      <c r="A2" s="4412" t="str">
        <f>项目基本情况!S2</f>
        <v>北京市房地产</v>
      </c>
      <c r="B2" s="4413"/>
      <c r="C2" s="4413"/>
      <c r="D2" s="4413"/>
      <c r="E2" s="4413"/>
      <c r="F2" s="4413"/>
      <c r="G2" s="4413"/>
      <c r="H2" s="4413"/>
      <c r="I2" s="4414"/>
    </row>
    <row r="3" spans="1:12" ht="12.75">
      <c r="A3" s="4416" t="s">
        <v>1242</v>
      </c>
      <c r="B3" s="4417"/>
      <c r="C3" s="4417"/>
      <c r="D3" s="4417"/>
      <c r="E3" s="4417"/>
      <c r="F3" s="4417"/>
      <c r="G3" s="4417"/>
      <c r="H3" s="4417"/>
      <c r="I3" s="4417"/>
    </row>
    <row r="4" spans="1:12" ht="14.25">
      <c r="A4" s="1256" t="s">
        <v>1243</v>
      </c>
      <c r="B4" s="1257" t="s">
        <v>1244</v>
      </c>
      <c r="C4" s="3544" t="s">
        <v>4040</v>
      </c>
      <c r="D4" s="3544" t="s">
        <v>4012</v>
      </c>
      <c r="E4" s="4418" t="s">
        <v>1245</v>
      </c>
      <c r="F4" s="4419"/>
      <c r="G4" s="4419"/>
      <c r="H4" s="4419"/>
      <c r="I4" s="44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53" t="s">
        <v>1246</v>
      </c>
      <c r="B5" s="4415">
        <v>25</v>
      </c>
      <c r="C5" s="4396"/>
      <c r="D5" s="4391"/>
      <c r="E5" s="49" t="s">
        <v>1247</v>
      </c>
      <c r="F5" s="1258"/>
      <c r="G5" s="1258"/>
      <c r="H5" s="1258"/>
      <c r="I5" s="925"/>
    </row>
    <row r="6" spans="1:12" ht="12.75">
      <c r="A6" s="4353"/>
      <c r="B6" s="4415"/>
      <c r="C6" s="4397"/>
      <c r="D6" s="4391"/>
      <c r="E6" s="49" t="s">
        <v>1248</v>
      </c>
      <c r="F6" s="1258"/>
      <c r="G6" s="1258"/>
      <c r="H6" s="1258"/>
      <c r="I6" s="925"/>
    </row>
    <row r="7" spans="1:12" ht="12.75">
      <c r="A7" s="4353"/>
      <c r="B7" s="4415"/>
      <c r="C7" s="4398"/>
      <c r="D7" s="4391"/>
      <c r="E7" s="49" t="s">
        <v>1249</v>
      </c>
      <c r="F7" s="1258"/>
      <c r="G7" s="1258"/>
      <c r="H7" s="1258"/>
      <c r="I7" s="925"/>
    </row>
    <row r="8" spans="1:12" ht="12.75">
      <c r="A8" s="4353" t="s">
        <v>1250</v>
      </c>
      <c r="B8" s="4415">
        <v>15</v>
      </c>
      <c r="C8" s="4396"/>
      <c r="D8" s="4391"/>
      <c r="E8" s="49" t="s">
        <v>1251</v>
      </c>
      <c r="F8" s="1258"/>
      <c r="G8" s="1258"/>
      <c r="H8" s="1258"/>
      <c r="I8" s="925"/>
    </row>
    <row r="9" spans="1:12" ht="12.75">
      <c r="A9" s="4353"/>
      <c r="B9" s="4415"/>
      <c r="C9" s="4398"/>
      <c r="D9" s="4391"/>
      <c r="E9" s="49" t="s">
        <v>1252</v>
      </c>
      <c r="F9" s="1258"/>
      <c r="G9" s="1258"/>
      <c r="H9" s="1258"/>
      <c r="I9" s="925"/>
    </row>
    <row r="10" spans="1:12" ht="12.75">
      <c r="A10" s="4353" t="s">
        <v>1253</v>
      </c>
      <c r="B10" s="4415">
        <v>15</v>
      </c>
      <c r="C10" s="4396"/>
      <c r="D10" s="4391"/>
      <c r="E10" s="49" t="s">
        <v>1254</v>
      </c>
      <c r="F10" s="1258"/>
      <c r="G10" s="1258"/>
      <c r="H10" s="1258"/>
      <c r="I10" s="925"/>
    </row>
    <row r="11" spans="1:12" ht="12.75">
      <c r="A11" s="4353"/>
      <c r="B11" s="4415"/>
      <c r="C11" s="4398"/>
      <c r="D11" s="4391"/>
      <c r="E11" s="49" t="s">
        <v>1255</v>
      </c>
      <c r="F11" s="1258"/>
      <c r="G11" s="1258"/>
      <c r="H11" s="1258"/>
      <c r="I11" s="925"/>
    </row>
    <row r="12" spans="1:12" ht="12.75">
      <c r="A12" s="4353" t="s">
        <v>1256</v>
      </c>
      <c r="B12" s="4415">
        <v>15</v>
      </c>
      <c r="C12" s="4396"/>
      <c r="D12" s="4391"/>
      <c r="E12" s="49" t="s">
        <v>1257</v>
      </c>
      <c r="F12" s="1258"/>
      <c r="G12" s="1258"/>
      <c r="H12" s="1258"/>
      <c r="I12" s="925"/>
    </row>
    <row r="13" spans="1:12" ht="12.75">
      <c r="A13" s="4353"/>
      <c r="B13" s="4415"/>
      <c r="C13" s="4398"/>
      <c r="D13" s="4391"/>
      <c r="E13" s="49" t="s">
        <v>1258</v>
      </c>
      <c r="F13" s="1258"/>
      <c r="G13" s="1258"/>
      <c r="H13" s="1258"/>
      <c r="I13" s="925"/>
    </row>
    <row r="14" spans="1:12" ht="12.75">
      <c r="A14" s="4353" t="s">
        <v>1259</v>
      </c>
      <c r="B14" s="4415">
        <v>30</v>
      </c>
      <c r="C14" s="4396">
        <v>7</v>
      </c>
      <c r="D14" s="4391">
        <v>3</v>
      </c>
      <c r="E14" s="49" t="s">
        <v>1260</v>
      </c>
      <c r="F14" s="1258"/>
      <c r="G14" s="1258"/>
      <c r="H14" s="1258"/>
      <c r="I14" s="925"/>
    </row>
    <row r="15" spans="1:12" ht="12.75">
      <c r="A15" s="4353"/>
      <c r="B15" s="4415"/>
      <c r="C15" s="4397"/>
      <c r="D15" s="4391"/>
      <c r="E15" s="49" t="s">
        <v>1261</v>
      </c>
      <c r="F15" s="1258"/>
      <c r="G15" s="1258"/>
      <c r="H15" s="1258"/>
      <c r="I15" s="925"/>
    </row>
    <row r="16" spans="1:12" ht="12.75">
      <c r="A16" s="4353"/>
      <c r="B16" s="4415"/>
      <c r="C16" s="4398"/>
      <c r="D16" s="4391"/>
      <c r="E16" s="49" t="s">
        <v>1262</v>
      </c>
      <c r="F16" s="1258"/>
      <c r="G16" s="1258"/>
      <c r="H16" s="1258"/>
      <c r="I16" s="925"/>
    </row>
    <row r="17" spans="1:36" ht="15">
      <c r="A17" s="1259" t="s">
        <v>1263</v>
      </c>
      <c r="B17" s="3543"/>
      <c r="C17" s="3628">
        <f>SUM(C5:C16)</f>
        <v>7</v>
      </c>
      <c r="D17" s="3628">
        <f>SUM(D5:D16)</f>
        <v>3</v>
      </c>
      <c r="E17" s="47"/>
      <c r="F17" s="47"/>
      <c r="G17" s="47"/>
      <c r="H17" s="47"/>
      <c r="I17" s="47"/>
      <c r="K17" s="186"/>
      <c r="L17" s="186" t="s">
        <v>1264</v>
      </c>
      <c r="M17" s="186" t="s">
        <v>1265</v>
      </c>
    </row>
    <row r="18" spans="1:36" ht="31.9" customHeight="1" thickBot="1">
      <c r="A18" s="1260" t="s">
        <v>1266</v>
      </c>
      <c r="B18" s="1183"/>
      <c r="C18" s="3629">
        <f>ROUND(C17/SUM(C17:D17),2)</f>
        <v>0.7</v>
      </c>
      <c r="D18" s="3629">
        <f>1-C18</f>
        <v>0.30000000000000004</v>
      </c>
      <c r="E18" s="4403" t="s">
        <v>2038</v>
      </c>
      <c r="F18" s="4404"/>
      <c r="G18" s="4404"/>
      <c r="H18" s="4404"/>
      <c r="I18" s="4404"/>
      <c r="K18" s="186" t="s">
        <v>1267</v>
      </c>
      <c r="L18" s="2665">
        <f>IF(C1="",'数据-汇总表'!E3,SUMIF(项目类型,C1,'数据-汇总表'!E17:E26)+SUMIF(项目类型,C1,'数据-汇总表'!I17:I26))</f>
        <v>109.4</v>
      </c>
      <c r="M18" s="2665">
        <f>IF(C1="",'数据-汇总表'!E3,SUMIF(项目类型,C1,'数据-汇总表'!E17:E26))</f>
        <v>109.4</v>
      </c>
    </row>
    <row r="19" spans="1:36" ht="15">
      <c r="A19" s="1261" t="s">
        <v>1268</v>
      </c>
      <c r="B19" s="1262" t="s">
        <v>1269</v>
      </c>
      <c r="C19" s="3630">
        <f ca="1">SUMIF(INDIRECT("'"&amp;C4&amp;"'"&amp;"!A:A"),结果表!B19,INDIRECT("'"&amp;C4&amp;"'"&amp;"!B:B"))</f>
        <v>237.92310000000001</v>
      </c>
      <c r="D19" s="3631">
        <f ca="1">SUMIF(INDIRECT("'"&amp;D4&amp;"'"&amp;"!A:A"),结果表!B19,INDIRECT("'"&amp;D4&amp;"'"&amp;"!B:B"))</f>
        <v>144.7466</v>
      </c>
      <c r="E19" s="1261" t="s">
        <v>1270</v>
      </c>
      <c r="F19" s="1262" t="s">
        <v>1269</v>
      </c>
      <c r="G19" s="3636">
        <f ca="1">ROUND(C19*$C$18+D19*$D$18,0)</f>
        <v>210</v>
      </c>
      <c r="H19" s="1263" t="s">
        <v>1271</v>
      </c>
      <c r="I19" s="47">
        <f ca="1">ROUND(C19*$C$18+D19*$D$18,4)</f>
        <v>209.97020000000001</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2">
        <f ca="1">SUMIF(INDIRECT("'"&amp;C4&amp;"'"&amp;"!A:A"),结果表!B20,INDIRECT("'"&amp;C4&amp;"'"&amp;"!B:B"))</f>
        <v>21748</v>
      </c>
      <c r="D20" s="3633">
        <f ca="1">SUMIF(INDIRECT("'"&amp;D4&amp;"'"&amp;"!A:A"),结果表!B20,INDIRECT("'"&amp;D4&amp;"'"&amp;"!B:B"))</f>
        <v>13231</v>
      </c>
      <c r="E20" s="1264"/>
      <c r="F20" s="25" t="s">
        <v>1273</v>
      </c>
      <c r="G20" s="3637">
        <f ca="1">ROUND(C20*$C$18+D20*$D$18,0)</f>
        <v>19193</v>
      </c>
      <c r="H20" s="527" t="s">
        <v>1274</v>
      </c>
      <c r="I20" s="47"/>
    </row>
    <row r="21" spans="1:36" ht="15" customHeight="1" thickBot="1">
      <c r="A21" s="312"/>
      <c r="B21" s="3385" t="s">
        <v>3636</v>
      </c>
      <c r="C21" s="3634">
        <f ca="1">SUMIF(INDIRECT("'"&amp;C4&amp;"'"&amp;"!A:A"),结果表!B21,INDIRECT("'"&amp;C4&amp;"'"&amp;"!B:B"))</f>
        <v>0</v>
      </c>
      <c r="D21" s="3635">
        <f ca="1">SUMIF(INDIRECT("'"&amp;D4&amp;"'"&amp;"!A:A"),结果表!B21,INDIRECT("'"&amp;D4&amp;"'"&amp;"!B:B"))</f>
        <v>0</v>
      </c>
      <c r="E21" s="1264"/>
      <c r="F21" s="26" t="s">
        <v>1275</v>
      </c>
      <c r="G21" s="3637">
        <f ca="1">ROUND(C21*$C$18+D21*$D$18,0)</f>
        <v>0</v>
      </c>
      <c r="H21" s="527" t="s">
        <v>1274</v>
      </c>
      <c r="I21" s="47"/>
    </row>
    <row r="22" spans="1:36" ht="15" thickBot="1">
      <c r="A22" s="1201" t="s">
        <v>1276</v>
      </c>
      <c r="B22" s="1265"/>
      <c r="C22" s="2588"/>
      <c r="D22" s="3884">
        <f ca="1">IF(C19&lt;D19,D19/C19-1,C19/D19-1)</f>
        <v>0.64372151055707016</v>
      </c>
      <c r="E22" s="3376"/>
      <c r="F22" s="3378"/>
      <c r="G22" s="3638" t="e">
        <f ca="1">ROUND(G19/('数据-汇总表'!D3/666.67),0)</f>
        <v>#DIV/0!</v>
      </c>
      <c r="H22" s="3377" t="s">
        <v>3634</v>
      </c>
      <c r="I22" s="47"/>
    </row>
    <row r="23" spans="1:36" ht="13.5" thickBot="1">
      <c r="A23" s="464"/>
      <c r="B23" s="464"/>
      <c r="C23" s="464"/>
      <c r="D23" s="464"/>
      <c r="E23" s="47"/>
      <c r="F23" s="47"/>
      <c r="G23" s="47"/>
      <c r="H23" s="47"/>
      <c r="I23" s="47"/>
    </row>
    <row r="24" spans="1:36" ht="14.25">
      <c r="A24" s="4436" t="s">
        <v>1277</v>
      </c>
      <c r="B24" s="1262" t="s">
        <v>1269</v>
      </c>
      <c r="C24" s="3636">
        <f>IF(B30=0,0,D30)</f>
        <v>0</v>
      </c>
      <c r="D24" s="3639"/>
      <c r="E24" s="47"/>
      <c r="F24" s="47"/>
      <c r="G24" s="47"/>
      <c r="H24" s="47"/>
      <c r="I24" s="47"/>
    </row>
    <row r="25" spans="1:36" ht="14.25">
      <c r="A25" s="4437"/>
      <c r="B25" s="3386" t="s">
        <v>3637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4">
        <f ca="1">IF(D32="总价",G19-C24,G20-C25)</f>
        <v>19193</v>
      </c>
      <c r="D32" s="1268" t="s">
        <v>4047</v>
      </c>
      <c r="E32" s="47"/>
      <c r="F32" s="47"/>
      <c r="G32" s="47"/>
      <c r="H32" s="47"/>
      <c r="I32" s="47"/>
    </row>
    <row r="33" spans="1:19" ht="15">
      <c r="A33" s="516" t="s">
        <v>1284</v>
      </c>
      <c r="B33" s="49"/>
      <c r="C33" s="1269" t="s">
        <v>4048</v>
      </c>
      <c r="D33" s="1270"/>
      <c r="E33" s="1271" t="s">
        <v>1285</v>
      </c>
      <c r="F33" s="1272" t="str">
        <f>IF(D32="楼面单价","取值（单价）","取值（总价）")</f>
        <v>取值（单价）</v>
      </c>
      <c r="G33" s="47"/>
      <c r="H33" s="47"/>
      <c r="I33" s="47"/>
    </row>
    <row r="34" spans="1:19" ht="15">
      <c r="A34" s="1273"/>
      <c r="B34" s="1274" t="s">
        <v>1286</v>
      </c>
      <c r="C34" s="3645">
        <f>IF(C33="自定义",F34,C32-C35)</f>
        <v>0</v>
      </c>
      <c r="D34" s="3885">
        <f ca="1">IF(C33="自定义",ROUND(C34/C32,3),IF(C33="收益比率",SUMIF(INDIRECT("'"&amp;D33&amp;"'"&amp;"!b:b"),"土地收益比率",INDIRECT("'"&amp;D33&amp;"'"&amp;"!c:c")),SUMIF(INDIRECT("'"&amp;D33&amp;"'"&amp;"!b:b"),"土地成本比率",INDIRECT("'"&amp;D33&amp;"'"&amp;"!c:c"))))</f>
        <v>0</v>
      </c>
      <c r="E34" s="1275" t="s">
        <v>1287</v>
      </c>
      <c r="F34" s="3647"/>
      <c r="G34" s="47"/>
      <c r="H34" s="47"/>
      <c r="I34" s="47"/>
    </row>
    <row r="35" spans="1:19" ht="15.75" thickBot="1">
      <c r="A35" s="1276"/>
      <c r="B35" s="1277" t="s">
        <v>1288</v>
      </c>
      <c r="C35" s="3646">
        <f>IF(C33="自定义",F35,ROUND(C32*D35,0))</f>
        <v>0</v>
      </c>
      <c r="D35" s="3886">
        <f ca="1">IF(C33="自定义",ROUND(C35/C32,3),IF(C33="收益比率",SUMIF(INDIRECT("'"&amp;D33&amp;"'"&amp;"!b:b"),"建筑物收益比率",INDIRECT("'"&amp;D33&amp;"'"&amp;"!c:c")),SUMIF(INDIRECT("'"&amp;D33&amp;"'"&amp;"!b:b"),"建筑物成本比率",INDIRECT("'"&amp;D33&amp;"'"&amp;"!c:c"))))</f>
        <v>0</v>
      </c>
      <c r="E35" s="1278" t="s">
        <v>1289</v>
      </c>
      <c r="F35" s="3648"/>
      <c r="G35" s="47"/>
      <c r="H35" s="47"/>
      <c r="I35" s="47"/>
    </row>
    <row r="36" spans="1:19" ht="15.75" thickBot="1">
      <c r="A36" s="4408" t="s">
        <v>1290</v>
      </c>
      <c r="B36" s="1279" t="s">
        <v>1291</v>
      </c>
      <c r="C36" s="3649"/>
      <c r="D36" s="1280"/>
      <c r="E36" s="1204"/>
      <c r="F36" s="1281"/>
      <c r="G36" s="47"/>
      <c r="H36" s="47"/>
      <c r="I36" s="47"/>
    </row>
    <row r="37" spans="1:19" ht="15.75" thickBot="1">
      <c r="A37" s="4409"/>
      <c r="B37" s="1192" t="s">
        <v>1292</v>
      </c>
      <c r="C37" s="3650"/>
      <c r="D37" s="763"/>
      <c r="E37" s="763"/>
      <c r="F37" s="1281"/>
      <c r="G37" s="47"/>
      <c r="H37" s="47"/>
      <c r="I37" s="47"/>
    </row>
    <row r="38" spans="1:19" ht="15.75" thickBot="1">
      <c r="A38" s="4410"/>
      <c r="B38" s="1282" t="s">
        <v>1293</v>
      </c>
      <c r="C38" s="3651"/>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33" t="s">
        <v>1304</v>
      </c>
      <c r="B45" s="4434"/>
      <c r="C45" s="4435"/>
      <c r="D45" s="56">
        <f ca="1">ROUND(H101*F45,0)</f>
        <v>210</v>
      </c>
      <c r="E45" s="57" t="s">
        <v>1305</v>
      </c>
      <c r="F45" s="58">
        <v>1</v>
      </c>
      <c r="G45" s="59" t="s">
        <v>1306</v>
      </c>
      <c r="H45" s="47"/>
      <c r="I45" s="47"/>
      <c r="J45" s="4438" t="s">
        <v>1307</v>
      </c>
      <c r="K45" s="4438"/>
      <c r="L45" s="4438"/>
      <c r="M45" s="4438"/>
      <c r="N45" s="4438"/>
      <c r="O45" s="4438"/>
    </row>
    <row r="46" spans="1:19" ht="14.25" customHeight="1">
      <c r="A46" s="4430" t="s">
        <v>1308</v>
      </c>
      <c r="B46" s="4431"/>
      <c r="C46" s="4431"/>
      <c r="D46" s="4431"/>
      <c r="E46" s="4431"/>
      <c r="F46" s="4431"/>
      <c r="G46" s="4432"/>
      <c r="H46" s="1295"/>
      <c r="I46" s="60"/>
      <c r="J46" s="1848">
        <v>1</v>
      </c>
      <c r="K46" s="4439" t="s">
        <v>1309</v>
      </c>
      <c r="L46" s="4439"/>
      <c r="M46" s="4440"/>
      <c r="N46" s="4440"/>
      <c r="O46" s="4440"/>
    </row>
    <row r="47" spans="1:19" ht="12" customHeight="1">
      <c r="A47" s="61" t="s">
        <v>1310</v>
      </c>
      <c r="B47" s="62"/>
      <c r="C47" s="63"/>
      <c r="D47" s="724" t="s">
        <v>1311</v>
      </c>
      <c r="E47" s="186" t="s">
        <v>1312</v>
      </c>
      <c r="F47" s="64" t="s">
        <v>1313</v>
      </c>
      <c r="G47" s="1863" t="s">
        <v>1314</v>
      </c>
      <c r="H47" s="1864"/>
      <c r="I47" s="60"/>
      <c r="J47" s="1848">
        <v>2</v>
      </c>
      <c r="K47" s="4439" t="s">
        <v>1315</v>
      </c>
      <c r="L47" s="4439"/>
      <c r="M47" s="4441">
        <f>'数据-取费表'!B2</f>
        <v>46051</v>
      </c>
      <c r="N47" s="4441"/>
      <c r="O47" s="4441"/>
    </row>
    <row r="48" spans="1:19" ht="25.5">
      <c r="A48" s="4411" t="s">
        <v>1316</v>
      </c>
      <c r="B48" s="4395"/>
      <c r="C48" s="4395"/>
      <c r="D48" s="3656">
        <f>ROUND(IF(H48="情况1",0,IF(H48="情况2",D52,IF(H48="情况3",D53,IF(H48="情况4",D54))))*(1+'数据-取费表'!B44),0)</f>
        <v>0</v>
      </c>
      <c r="E48" s="900" t="str">
        <f>IF(H48="情况4","(销售额-原购置价)×税（费）率","销售额×税（费）率")</f>
        <v>销售额×税（费）率</v>
      </c>
      <c r="F48" s="3536">
        <f>IF(H48="情况1","免征",'数据-取费表'!B42)</f>
        <v>0</v>
      </c>
      <c r="G48" s="1865" t="s">
        <v>1317</v>
      </c>
      <c r="H48" s="1866"/>
      <c r="I48" s="1295"/>
      <c r="J48" s="1848">
        <v>3</v>
      </c>
      <c r="K48" s="4439" t="s">
        <v>1318</v>
      </c>
      <c r="L48" s="4439"/>
      <c r="M48" s="4442">
        <f ca="1">H101</f>
        <v>209.97139999999999</v>
      </c>
      <c r="N48" s="4442"/>
      <c r="O48" s="4442"/>
      <c r="R48" s="3402" t="s">
        <v>3651</v>
      </c>
      <c r="S48" s="3403"/>
    </row>
    <row r="49" spans="1:35" ht="25.5" customHeight="1">
      <c r="A49" s="3537" t="s">
        <v>1319</v>
      </c>
      <c r="B49" s="4379" t="s">
        <v>1320</v>
      </c>
      <c r="C49" s="4379"/>
      <c r="D49" s="3657">
        <v>0</v>
      </c>
      <c r="E49" s="207" t="s">
        <v>1321</v>
      </c>
      <c r="F49" s="3531" t="s">
        <v>26</v>
      </c>
      <c r="G49" s="4371"/>
      <c r="H49" s="3397" t="s">
        <v>2041</v>
      </c>
      <c r="I49" s="3398"/>
      <c r="J49" s="1848">
        <v>4</v>
      </c>
      <c r="K49" s="4439" t="str">
        <f>IF(项目基本情况!E8="房地产抵押价值","房地产抵押价值","抵押担保权已注销时的房地产抵押价值")</f>
        <v>房地产抵押价值</v>
      </c>
      <c r="L49" s="4439"/>
      <c r="M49" s="4442">
        <f ca="1">IF(项目基本情况!E8="房地产抵押价值",H107,H109)</f>
        <v>209.97139999999999</v>
      </c>
      <c r="N49" s="4442"/>
      <c r="O49" s="4442"/>
      <c r="R49" s="3404" t="s">
        <v>3652</v>
      </c>
      <c r="S49" s="3402" t="s">
        <v>3653</v>
      </c>
    </row>
    <row r="50" spans="1:35" ht="25.5" customHeight="1">
      <c r="A50" s="3538"/>
      <c r="B50" s="4379" t="s">
        <v>1322</v>
      </c>
      <c r="C50" s="4379"/>
      <c r="D50" s="3658"/>
      <c r="E50" s="214"/>
      <c r="F50" s="3531"/>
      <c r="G50" s="4372"/>
      <c r="H50" s="1303" t="s">
        <v>2042</v>
      </c>
      <c r="I50" s="3398"/>
      <c r="J50" s="4438" t="s">
        <v>1323</v>
      </c>
      <c r="K50" s="4438"/>
      <c r="L50" s="4438"/>
      <c r="M50" s="4438"/>
      <c r="N50" s="4438"/>
      <c r="O50" s="4438"/>
      <c r="R50" s="3404" t="s">
        <v>3654</v>
      </c>
      <c r="S50" s="3402" t="s">
        <v>3655</v>
      </c>
    </row>
    <row r="51" spans="1:35" ht="20.45" customHeight="1">
      <c r="A51" s="3539"/>
      <c r="B51" s="4379" t="s">
        <v>1324</v>
      </c>
      <c r="C51" s="4379"/>
      <c r="D51" s="709"/>
      <c r="E51" s="210"/>
      <c r="F51" s="3531"/>
      <c r="G51" s="4373"/>
      <c r="H51" s="1303" t="s">
        <v>2043</v>
      </c>
      <c r="I51" s="3398"/>
      <c r="J51" s="1849" t="s">
        <v>1325</v>
      </c>
      <c r="K51" s="4439" t="s">
        <v>1326</v>
      </c>
      <c r="L51" s="4439"/>
      <c r="M51" s="1849" t="s">
        <v>1327</v>
      </c>
      <c r="N51" s="1849" t="s">
        <v>1328</v>
      </c>
      <c r="O51" s="1849" t="s">
        <v>1329</v>
      </c>
      <c r="R51" s="3404" t="s">
        <v>3656</v>
      </c>
      <c r="S51" s="3403" t="s">
        <v>3657</v>
      </c>
    </row>
    <row r="52" spans="1:35" ht="24" customHeight="1">
      <c r="A52" s="1700" t="s">
        <v>1330</v>
      </c>
      <c r="B52" s="4379" t="s">
        <v>1331</v>
      </c>
      <c r="C52" s="4379"/>
      <c r="D52" s="709">
        <f ca="1">ROUND(D45*F52/(1+F52),0)</f>
        <v>6</v>
      </c>
      <c r="E52" s="900" t="s">
        <v>1332</v>
      </c>
      <c r="F52" s="1867">
        <v>0.03</v>
      </c>
      <c r="G52" s="895" t="s">
        <v>3699</v>
      </c>
      <c r="H52" s="1861"/>
      <c r="I52" s="1296"/>
      <c r="J52" s="1848">
        <v>1</v>
      </c>
      <c r="K52" s="4368" t="s">
        <v>1333</v>
      </c>
      <c r="L52" s="4368"/>
      <c r="M52" s="3660">
        <f>IF(D48&lt;=0,0,D48)</f>
        <v>0</v>
      </c>
      <c r="N52" s="1848" t="str">
        <f>E48</f>
        <v>销售额×税（费）率</v>
      </c>
      <c r="O52" s="3567">
        <f>F48</f>
        <v>0</v>
      </c>
      <c r="R52" s="3402" t="s">
        <v>3658</v>
      </c>
      <c r="S52" s="3402" t="s">
        <v>3662</v>
      </c>
    </row>
    <row r="53" spans="1:35" ht="12" customHeight="1">
      <c r="A53" s="1700" t="s">
        <v>1334</v>
      </c>
      <c r="B53" s="4380" t="s">
        <v>2198</v>
      </c>
      <c r="C53" s="4381"/>
      <c r="D53" s="709">
        <f ca="1">IF(G53="2016年5月1日之前项目",ROUND(D45*F53/(1+F53),0),H63)</f>
        <v>17</v>
      </c>
      <c r="E53" s="900" t="str">
        <f>IF(G53="2016年5月1日之前项目","全额计税","进销项计算")</f>
        <v>进销项计算</v>
      </c>
      <c r="F53" s="1867">
        <f>IF(G53="2016年5月1日之前项目",5%,9%)</f>
        <v>0.09</v>
      </c>
      <c r="G53" s="3621"/>
      <c r="H53" s="1861"/>
      <c r="I53" s="1296"/>
      <c r="J53" s="1848">
        <v>2</v>
      </c>
      <c r="K53" s="4368" t="s">
        <v>1335</v>
      </c>
      <c r="L53" s="4368"/>
      <c r="M53" s="3660">
        <f t="shared" ref="M53:O54" ca="1" si="0">D55</f>
        <v>0</v>
      </c>
      <c r="N53" s="1848" t="str">
        <f t="shared" si="0"/>
        <v>销售额×税（费）率</v>
      </c>
      <c r="O53" s="3567" t="str">
        <f t="shared" si="0"/>
        <v>免征</v>
      </c>
      <c r="R53" s="3402" t="s">
        <v>3659</v>
      </c>
      <c r="S53" s="3403" t="s">
        <v>3666</v>
      </c>
    </row>
    <row r="54" spans="1:35" ht="12" customHeight="1">
      <c r="A54" s="1700" t="s">
        <v>1336</v>
      </c>
      <c r="B54" s="4380" t="s">
        <v>2199</v>
      </c>
      <c r="C54" s="4381"/>
      <c r="D54" s="709">
        <f ca="1">IF(G54="2016年5月1日之前项目",C68,H63)</f>
        <v>17</v>
      </c>
      <c r="E54" s="3551" t="str">
        <f>IF(G54="2016年5月1日之前项目","差额计税","进销项计算")</f>
        <v>进销项计算</v>
      </c>
      <c r="F54" s="1867">
        <f>IF(G54="2016年5月1日之前项目",5%,9%)</f>
        <v>0.09</v>
      </c>
      <c r="G54" s="3621"/>
      <c r="H54" s="1869"/>
      <c r="I54" s="1296"/>
      <c r="J54" s="1848">
        <v>3</v>
      </c>
      <c r="K54" s="4368" t="s">
        <v>1337</v>
      </c>
      <c r="L54" s="4368"/>
      <c r="M54" s="3660" t="e">
        <f t="shared" ca="1" si="0"/>
        <v>#VALUE!</v>
      </c>
      <c r="N54" s="1848" t="str">
        <f t="shared" si="0"/>
        <v>增值额×税（费）率</v>
      </c>
      <c r="O54" s="3568" t="str">
        <f t="shared" si="0"/>
        <v>免征</v>
      </c>
      <c r="P54" s="47"/>
      <c r="R54" s="3404" t="s">
        <v>3660</v>
      </c>
      <c r="S54" s="3403" t="s">
        <v>3663</v>
      </c>
    </row>
    <row r="55" spans="1:35" ht="24" customHeight="1">
      <c r="A55" s="4394" t="s">
        <v>1338</v>
      </c>
      <c r="B55" s="4395"/>
      <c r="C55" s="4395"/>
      <c r="D55" s="3656">
        <f ca="1">IF(H55="个人住宅",0,ROUND(D45*I55,0))</f>
        <v>0</v>
      </c>
      <c r="E55" s="900" t="s">
        <v>1339</v>
      </c>
      <c r="F55" s="1867" t="str">
        <f>IF(H55="正常",I55,"免征")</f>
        <v>免征</v>
      </c>
      <c r="G55" s="1868"/>
      <c r="H55" s="1866"/>
      <c r="I55" s="65">
        <f>'数据-取费表'!B50</f>
        <v>5.0000000000000001E-4</v>
      </c>
      <c r="J55" s="1848">
        <f>IF(H59="非个人房产","",4)</f>
        <v>4</v>
      </c>
      <c r="K55" s="4368" t="str">
        <f>IF(H59="非个人房产","——","个人所得税")</f>
        <v>个人所得税</v>
      </c>
      <c r="L55" s="4368"/>
      <c r="M55" s="3661">
        <f ca="1">D59</f>
        <v>2</v>
      </c>
      <c r="N55" s="1478" t="str">
        <f>E59</f>
        <v>差额计税</v>
      </c>
      <c r="O55" s="3569">
        <f>F59</f>
        <v>0.01</v>
      </c>
      <c r="R55" s="3404" t="s">
        <v>3661</v>
      </c>
      <c r="S55" s="3403" t="s">
        <v>3664</v>
      </c>
    </row>
    <row r="56" spans="1:35" ht="24.75">
      <c r="A56" s="4394" t="s">
        <v>1340</v>
      </c>
      <c r="B56" s="4395"/>
      <c r="C56" s="4395"/>
      <c r="D56" s="3656"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2" t="str">
        <f>IF(项目基本情况!K6="上海银行","其他处置费用","")</f>
        <v/>
      </c>
      <c r="L56" s="4333"/>
      <c r="M56" s="3660" t="str">
        <f>IF(项目基本情况!K6="上海银行",M69,"")</f>
        <v/>
      </c>
      <c r="N56" s="4332" t="str">
        <f>IF(项目基本情况!K6="上海银行","包含处置中涉及的律师、诉讼、拍卖、评估等费用","")</f>
        <v/>
      </c>
      <c r="O56" s="4336"/>
      <c r="R56" s="3403"/>
      <c r="S56" s="3403" t="s">
        <v>3665</v>
      </c>
    </row>
    <row r="57" spans="1:35" ht="12.75">
      <c r="A57" s="1700" t="s">
        <v>1319</v>
      </c>
      <c r="B57" s="4380" t="s">
        <v>1343</v>
      </c>
      <c r="C57" s="4381"/>
      <c r="D57" s="3657">
        <v>0</v>
      </c>
      <c r="E57" s="207" t="s">
        <v>1321</v>
      </c>
      <c r="F57" s="186"/>
      <c r="G57" s="1868"/>
      <c r="H57" s="1872"/>
      <c r="I57" s="1297"/>
      <c r="J57" s="4368">
        <f>IF(AND(J55="",J56=""),4,IF(项目基本情况!K6="上海银行",结果表!J56+1,结果表!J55+1))</f>
        <v>5</v>
      </c>
      <c r="K57" s="4368" t="s">
        <v>1344</v>
      </c>
      <c r="L57" s="1850" t="s">
        <v>1345</v>
      </c>
      <c r="M57" s="1851"/>
      <c r="N57" s="3662">
        <f ca="1">SUMIF(M52:M56,"&lt;9e307")</f>
        <v>2</v>
      </c>
      <c r="O57" s="1852"/>
      <c r="P57" s="1952">
        <f ca="1">N57/M49</f>
        <v>9.5251067526339311E-3</v>
      </c>
      <c r="R57" s="4421" t="s">
        <v>3711</v>
      </c>
      <c r="S57" s="4422"/>
    </row>
    <row r="58" spans="1:35" ht="24.75">
      <c r="A58" s="1700" t="s">
        <v>1330</v>
      </c>
      <c r="B58" s="4380" t="s">
        <v>1346</v>
      </c>
      <c r="C58" s="4379"/>
      <c r="D58" s="3656">
        <f ca="1">IF(H58="转让取得",C81,C97)</f>
        <v>94</v>
      </c>
      <c r="E58" s="900" t="s">
        <v>1341</v>
      </c>
      <c r="F58" s="186" t="s">
        <v>26</v>
      </c>
      <c r="G58" s="1868"/>
      <c r="H58" s="1871"/>
      <c r="I58" s="1297"/>
      <c r="J58" s="4368"/>
      <c r="K58" s="4368"/>
      <c r="L58" s="1850" t="s">
        <v>1347</v>
      </c>
      <c r="M58" s="1853"/>
      <c r="N58" s="1854" t="str">
        <f ca="1">NUMBERSTRING(INT(N57*10000),2)&amp;"元整"</f>
        <v>贰万元整</v>
      </c>
      <c r="O58" s="1855"/>
      <c r="R58" s="4423"/>
      <c r="S58" s="4424"/>
    </row>
    <row r="59" spans="1:35" ht="24.75" thickBot="1">
      <c r="A59" s="4369" t="s">
        <v>1348</v>
      </c>
      <c r="B59" s="4370"/>
      <c r="C59" s="4370"/>
      <c r="D59" s="3659">
        <f ca="1">IF(H59="非个人房产","——",IF(H59="个人住宅（满五唯一有凭证）",0,IF(H59="个人其他（无凭证）",ROUND(D45/(1+'数据-取费表'!C43)*F59,0),ROUND(C67*F59,0))))</f>
        <v>2</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3" t="s">
        <v>1342</v>
      </c>
      <c r="H59" s="3400"/>
      <c r="I59" s="3401" t="s">
        <v>2044</v>
      </c>
      <c r="J59" s="4366">
        <f>J57+1</f>
        <v>6</v>
      </c>
      <c r="K59" s="4368" t="s">
        <v>1349</v>
      </c>
      <c r="L59" s="1848" t="s">
        <v>1345</v>
      </c>
      <c r="M59" s="1856"/>
      <c r="N59" s="2589">
        <f ca="1">M49-N57</f>
        <v>207.97139999999999</v>
      </c>
      <c r="O59" s="1857"/>
      <c r="R59" s="3402" t="s">
        <v>3667</v>
      </c>
      <c r="S59" s="3402" t="s">
        <v>3668</v>
      </c>
    </row>
    <row r="60" spans="1:35" ht="12" customHeight="1" thickBot="1">
      <c r="A60" s="1298"/>
      <c r="B60" s="464"/>
      <c r="C60" s="464"/>
      <c r="D60" s="464"/>
      <c r="E60" s="1111"/>
      <c r="F60" s="1297"/>
      <c r="G60" s="1297"/>
      <c r="H60" s="60"/>
      <c r="I60" s="47"/>
      <c r="J60" s="4367"/>
      <c r="K60" s="4368"/>
      <c r="L60" s="1850" t="s">
        <v>1347</v>
      </c>
      <c r="M60" s="1853"/>
      <c r="N60" s="1854" t="str">
        <f ca="1">NUMBERSTRING(INT(N59*10000),2)&amp;"元整"</f>
        <v>贰佰零柒万玖仟柒佰壹拾肆元整</v>
      </c>
      <c r="O60" s="1855"/>
      <c r="R60" s="3402" t="s">
        <v>3669</v>
      </c>
      <c r="S60" s="3402" t="s">
        <v>3710</v>
      </c>
    </row>
    <row r="61" spans="1:35" ht="14.25" thickBot="1">
      <c r="A61" s="4428" t="s">
        <v>3708</v>
      </c>
      <c r="B61" s="4429"/>
      <c r="C61" s="4429"/>
      <c r="D61" s="4429"/>
      <c r="E61" s="3558"/>
      <c r="F61" s="4405" t="s">
        <v>3709</v>
      </c>
      <c r="G61" s="4406"/>
      <c r="H61" s="4406"/>
      <c r="I61" s="4407"/>
      <c r="J61" s="3540">
        <f>J59+1</f>
        <v>7</v>
      </c>
      <c r="K61" s="4368" t="s">
        <v>1350</v>
      </c>
      <c r="L61" s="4368"/>
      <c r="M61" s="1858"/>
      <c r="N61" s="2590">
        <f ca="1">ROUND(N59*10000/'数据-汇总表'!E3,0)</f>
        <v>19010</v>
      </c>
      <c r="O61" s="1859"/>
    </row>
    <row r="62" spans="1:35" ht="13.5" customHeight="1">
      <c r="A62" s="3565" t="s">
        <v>3722</v>
      </c>
      <c r="B62" s="3566" t="s">
        <v>3723</v>
      </c>
      <c r="C62" s="2409" t="s">
        <v>3721</v>
      </c>
      <c r="D62" s="3552" t="s">
        <v>3712</v>
      </c>
      <c r="E62" s="3559" t="s">
        <v>3714</v>
      </c>
      <c r="F62" s="3571" t="s">
        <v>3724</v>
      </c>
      <c r="G62" s="3572" t="s">
        <v>3703</v>
      </c>
      <c r="H62" s="3573" t="s">
        <v>3725</v>
      </c>
      <c r="I62" s="3574" t="s">
        <v>3705</v>
      </c>
    </row>
    <row r="63" spans="1:35" ht="12.75">
      <c r="A63" s="70" t="s">
        <v>328</v>
      </c>
      <c r="B63" s="3561" t="s">
        <v>3716</v>
      </c>
      <c r="C63" s="3663">
        <f ca="1">ROUND(C64+C65,0)</f>
        <v>210</v>
      </c>
      <c r="D63" s="3553"/>
      <c r="E63" s="4425" t="s">
        <v>3713</v>
      </c>
      <c r="F63" s="1700">
        <v>1</v>
      </c>
      <c r="G63" s="2740" t="s">
        <v>3700</v>
      </c>
      <c r="H63" s="3179">
        <f ca="1">H64-H66</f>
        <v>17</v>
      </c>
      <c r="I63" s="2680"/>
      <c r="J63" s="4334" t="s">
        <v>1354</v>
      </c>
      <c r="K63" s="890" t="s">
        <v>1355</v>
      </c>
      <c r="L63" s="3678">
        <f ca="1">IF(M49&gt;10000,M49*0.5%,IF(AND(M49&gt;1000,M49&lt;=10000),M49*1%,IF(AND(M49&gt;100,M49&lt;=1000),M49*3%,IF(AND(M49&gt;10,M49&lt;=100),M49*5%,M49*8%))))</f>
        <v>6.2991419999999998</v>
      </c>
      <c r="M63" s="2665">
        <f ca="1">ROUND(L63,1)</f>
        <v>6.3</v>
      </c>
      <c r="N63" s="1860"/>
      <c r="Z63" s="1255"/>
      <c r="AI63" s="1198"/>
    </row>
    <row r="64" spans="1:35" ht="14.25" customHeight="1">
      <c r="A64" s="67" t="s">
        <v>323</v>
      </c>
      <c r="B64" s="3562" t="s">
        <v>3717</v>
      </c>
      <c r="C64" s="3542">
        <f ca="1">D45</f>
        <v>210</v>
      </c>
      <c r="D64" s="3554"/>
      <c r="E64" s="4426"/>
      <c r="F64" s="1700">
        <v>2</v>
      </c>
      <c r="G64" s="2740" t="s">
        <v>3701</v>
      </c>
      <c r="H64" s="3179">
        <f ca="1">ROUND(H65*I64/(1+I64),0)</f>
        <v>17</v>
      </c>
      <c r="I64" s="3575">
        <v>0.09</v>
      </c>
      <c r="J64" s="4334"/>
      <c r="K64" s="890" t="s">
        <v>1356</v>
      </c>
      <c r="L64" s="3678">
        <f ca="1">IF(M49&gt;2000,M49*0.5%,IF(AND(M49&gt;1000,M49&lt;=2000),M49*0.6%,IF(AND(M49&gt;500,M49&lt;=1000),M49*0.7%,IF(AND(M49&gt;200,M49&lt;=500),M49*0.8%,IF(AND(M49&gt;100,M49&lt;=200),M49*0.9%,IF(AND(M49&gt;50,M49&lt;=100),M49*1%,IF(AND(M49&gt;20,M49&lt;=50),M49*1.5%,IF(AND(M49&gt;10,M49&lt;=20),M49*2%,IF(AND(M49&gt;1,M49&lt;=10),M49*2.5%)))))))))</f>
        <v>1.6797712</v>
      </c>
      <c r="M64" s="2665">
        <f t="shared" ref="M64:M65" ca="1" si="1">ROUND(L64,1)</f>
        <v>1.7</v>
      </c>
      <c r="N64" s="1861" t="s">
        <v>1357</v>
      </c>
      <c r="Z64" s="1255"/>
      <c r="AI64" s="1198"/>
    </row>
    <row r="65" spans="1:35" ht="14.25" customHeight="1">
      <c r="A65" s="67" t="s">
        <v>324</v>
      </c>
      <c r="B65" s="3562" t="s">
        <v>3718</v>
      </c>
      <c r="C65" s="3664"/>
      <c r="D65" s="3555"/>
      <c r="E65" s="4426"/>
      <c r="F65" s="67" t="s">
        <v>323</v>
      </c>
      <c r="G65" s="3576" t="s">
        <v>3704</v>
      </c>
      <c r="H65" s="3179">
        <f ca="1">D45</f>
        <v>210</v>
      </c>
      <c r="I65" s="2680"/>
      <c r="J65" s="4334"/>
      <c r="K65" s="890" t="s">
        <v>1358</v>
      </c>
      <c r="L65" s="3678">
        <f ca="1">IF(M49&gt;1000,M49*0.1%,IF(AND(M49&gt;500,M49&lt;=1000),M49*0.5%,IF(AND(M49&gt;50,M49&lt;=500),M49*1%,IF(AND(M49&gt;1,M49&lt;=50),M49*1.5%))))</f>
        <v>2.0997140000000001</v>
      </c>
      <c r="M65" s="2665">
        <f t="shared" ca="1" si="1"/>
        <v>2.1</v>
      </c>
      <c r="N65" s="1861" t="s">
        <v>1357</v>
      </c>
      <c r="Z65" s="1255"/>
      <c r="AI65" s="1198"/>
    </row>
    <row r="66" spans="1:35" ht="14.25" customHeight="1">
      <c r="A66" s="70" t="s">
        <v>325</v>
      </c>
      <c r="B66" s="3563" t="s">
        <v>3719</v>
      </c>
      <c r="C66" s="3664"/>
      <c r="D66" s="3556"/>
      <c r="E66" s="4426"/>
      <c r="F66" s="2453">
        <v>3</v>
      </c>
      <c r="G66" s="2740" t="s">
        <v>3702</v>
      </c>
      <c r="H66" s="3214">
        <f>ROUND(H67*I67,0)+ROUND(H68*I68,0)</f>
        <v>0</v>
      </c>
      <c r="I66" s="4097"/>
      <c r="J66" s="4334"/>
      <c r="K66" s="890" t="s">
        <v>1359</v>
      </c>
      <c r="L66" s="3678">
        <f ca="1">M49*0.5%</f>
        <v>1.049857</v>
      </c>
      <c r="M66" s="2665">
        <f ca="1">IF(L66&gt;0.5,0.5,ROUND(L66,0))</f>
        <v>0.5</v>
      </c>
      <c r="N66" s="1861" t="s">
        <v>1360</v>
      </c>
      <c r="Z66" s="1255"/>
      <c r="AI66" s="1198"/>
    </row>
    <row r="67" spans="1:35" ht="14.25" customHeight="1">
      <c r="A67" s="70" t="s">
        <v>326</v>
      </c>
      <c r="B67" s="3560" t="s">
        <v>3715</v>
      </c>
      <c r="C67" s="3542">
        <f ca="1">C63-C66</f>
        <v>210</v>
      </c>
      <c r="D67" s="3555"/>
      <c r="E67" s="4426"/>
      <c r="F67" s="67" t="s">
        <v>323</v>
      </c>
      <c r="G67" s="3576" t="s">
        <v>3706</v>
      </c>
      <c r="H67" s="3653"/>
      <c r="I67" s="3575">
        <v>0.09</v>
      </c>
      <c r="J67" s="4334"/>
      <c r="K67" s="890" t="s">
        <v>1361</v>
      </c>
      <c r="L67" s="3678">
        <f ca="1">IF(M49&gt;=10000,(8.25+(M49-10000)*0.01%),IF(AND(M49&gt;=8000,M49&lt;10000),(7.85+(M49-8000)*0.02%),IF(AND(M49&gt;=5000,M49&lt;8000),(6.65+(M49-5000)*0.04%),IF(AND(M49&gt;=2000,M49&lt;5000),(4.25+(PM49-2000)*0.08%),IF(AND(M49&gt;=1000,M49&lt;2000),(2.75+(M49-1000)*0.15%),IF(AND(M49&gt;=100,M49&lt;1000),(0.5+(M49-100)*0.25%),IF(AND(M49&gt;0,M49&lt;100),M49*0.5%)))))))</f>
        <v>0.77492849999999991</v>
      </c>
      <c r="M67" s="2665">
        <f ca="1">ROUND(L67*0.9,1)</f>
        <v>0.7</v>
      </c>
      <c r="N67" s="1860"/>
      <c r="Z67" s="1255"/>
      <c r="AI67" s="1198"/>
    </row>
    <row r="68" spans="1:35" ht="14.25" customHeight="1" thickBot="1">
      <c r="A68" s="72" t="s">
        <v>327</v>
      </c>
      <c r="B68" s="3564" t="s">
        <v>3720</v>
      </c>
      <c r="C68" s="3548">
        <f ca="1">IF(C67&lt;=0,0,ROUND(C67*D68,0))</f>
        <v>11</v>
      </c>
      <c r="D68" s="3557">
        <v>0.05</v>
      </c>
      <c r="E68" s="4427"/>
      <c r="F68" s="3570" t="s">
        <v>324</v>
      </c>
      <c r="G68" s="3577" t="s">
        <v>3707</v>
      </c>
      <c r="H68" s="3655"/>
      <c r="I68" s="3578">
        <v>0.06</v>
      </c>
      <c r="J68" s="4334"/>
      <c r="K68" s="890" t="s">
        <v>1362</v>
      </c>
      <c r="L68" s="3678">
        <f ca="1">IF(M49&gt;10000,M49*0.5%,IF(AND(M49&gt;5000,M49&lt;=10000),M49*1%,IF(AND(M49&gt;1000,M49&lt;=5000),M49*2%,IF(AND(M49&gt;200,M49&lt;=1000),M49*3%,M49*5%))))</f>
        <v>6.2991419999999998</v>
      </c>
      <c r="M68" s="2665">
        <f ca="1">ROUND(L68,1)</f>
        <v>6.3</v>
      </c>
      <c r="N68" s="1860"/>
      <c r="Z68" s="1255"/>
      <c r="AI68" s="1198"/>
    </row>
    <row r="69" spans="1:35" ht="16.5" customHeight="1">
      <c r="A69" s="1299"/>
      <c r="B69" s="1300"/>
      <c r="C69" s="1301"/>
      <c r="D69" s="1302"/>
      <c r="E69" s="1303"/>
      <c r="F69" s="1111"/>
      <c r="G69" s="1111"/>
      <c r="H69" s="1112"/>
      <c r="I69" s="464"/>
      <c r="J69" s="4335"/>
      <c r="K69" s="890" t="s">
        <v>1363</v>
      </c>
      <c r="L69" s="3678"/>
      <c r="M69" s="2665">
        <f ca="1">ROUND(SUM(M63:M68),0)</f>
        <v>18</v>
      </c>
      <c r="N69" s="1862">
        <f ca="1">M69/M49</f>
        <v>8.5725960773705381E-2</v>
      </c>
      <c r="Z69" s="1255"/>
      <c r="AI69" s="1198"/>
    </row>
    <row r="70" spans="1:35" s="463" customFormat="1" ht="15" thickBot="1">
      <c r="A70" s="4385" t="s">
        <v>1364</v>
      </c>
      <c r="B70" s="4386"/>
      <c r="C70" s="4386"/>
      <c r="D70" s="4386"/>
      <c r="E70" s="4386"/>
      <c r="F70" s="4386"/>
      <c r="G70" s="4386"/>
      <c r="H70" s="4386"/>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82" t="s">
        <v>1351</v>
      </c>
      <c r="B71" s="4383"/>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193</v>
      </c>
      <c r="D72" s="3541">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23</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5"/>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380" t="s">
        <v>1372</v>
      </c>
      <c r="F76" s="4379"/>
      <c r="G76" s="4379"/>
      <c r="H76" s="4384"/>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23</v>
      </c>
      <c r="D78" s="3547">
        <f>'数据-取费表'!B44</f>
        <v>0.12000000000000001</v>
      </c>
      <c r="E78" s="4374" t="s">
        <v>1376</v>
      </c>
      <c r="F78" s="4375"/>
      <c r="G78" s="4375"/>
      <c r="H78" s="437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5">
        <f ca="1">C72-C73</f>
        <v>170</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7.3913043478260869</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94</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85" t="s">
        <v>1380</v>
      </c>
      <c r="B83" s="4386"/>
      <c r="C83" s="4386"/>
      <c r="D83" s="4386"/>
      <c r="E83" s="4386"/>
      <c r="F83" s="4386"/>
      <c r="G83" s="4386"/>
      <c r="H83" s="4386"/>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82" t="s">
        <v>1351</v>
      </c>
      <c r="B84" s="4383"/>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193</v>
      </c>
      <c r="D85" s="3541">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23</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6"/>
      <c r="G88" s="89" t="s">
        <v>1384</v>
      </c>
      <c r="H88" s="1311" t="s">
        <v>3696</v>
      </c>
      <c r="I88" s="1308"/>
      <c r="J88" s="1846"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6"/>
      <c r="G90" s="4337" t="s">
        <v>2036</v>
      </c>
      <c r="H90" s="4338"/>
      <c r="I90" s="1308"/>
      <c r="J90" s="1846"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IF(H91="——",成本法!C9,I91)</f>
        <v>0</v>
      </c>
      <c r="D91" s="3547"/>
      <c r="E91" s="4374" t="s">
        <v>1389</v>
      </c>
      <c r="F91" s="4375"/>
      <c r="G91" s="4375"/>
      <c r="H91" s="3534" t="s">
        <v>3694</v>
      </c>
      <c r="I91" s="3668"/>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374" t="s">
        <v>1392</v>
      </c>
      <c r="F92" s="4375"/>
      <c r="G92" s="4375"/>
      <c r="H92" s="4376"/>
      <c r="I92" s="1308"/>
      <c r="J92" s="1847"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23</v>
      </c>
      <c r="D93" s="3547">
        <f>'数据-取费表'!B44</f>
        <v>0.12000000000000001</v>
      </c>
      <c r="E93" s="4399" t="s">
        <v>3697</v>
      </c>
      <c r="F93" s="4375"/>
      <c r="G93" s="4375"/>
      <c r="H93" s="4376"/>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00" t="s">
        <v>1396</v>
      </c>
      <c r="F94" s="4401"/>
      <c r="G94" s="4401"/>
      <c r="H94" s="440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5">
        <f ca="1">ROUND(C85-C86,0)</f>
        <v>170</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7.3913043478260869</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94</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339"/>
      <c r="E100" s="4325" t="s">
        <v>1399</v>
      </c>
      <c r="F100" s="4325"/>
      <c r="G100" s="4325"/>
      <c r="H100" s="4339"/>
      <c r="I100" s="47"/>
    </row>
    <row r="101" spans="1:35" ht="18.75" customHeight="1">
      <c r="A101" s="4345" t="s">
        <v>1400</v>
      </c>
      <c r="B101" s="4346"/>
      <c r="C101" s="1877" t="str">
        <f>C4</f>
        <v>比较法-办公</v>
      </c>
      <c r="D101" s="1878" t="str">
        <f>D4</f>
        <v>收益法 (元)</v>
      </c>
      <c r="E101" s="4330" t="s">
        <v>1401</v>
      </c>
      <c r="F101" s="4331"/>
      <c r="G101" s="1312" t="s">
        <v>1402</v>
      </c>
      <c r="H101" s="3673">
        <f ca="1">H118</f>
        <v>209.97139999999999</v>
      </c>
      <c r="I101" s="47"/>
    </row>
    <row r="102" spans="1:35" ht="18.75" customHeight="1">
      <c r="A102" s="4347" t="s">
        <v>1403</v>
      </c>
      <c r="B102" s="1876" t="s">
        <v>1402</v>
      </c>
      <c r="C102" s="3669">
        <f ca="1">C19</f>
        <v>237.92310000000001</v>
      </c>
      <c r="D102" s="3670">
        <f ca="1">D19</f>
        <v>144.7466</v>
      </c>
      <c r="E102" s="4330"/>
      <c r="F102" s="4331"/>
      <c r="G102" s="1312" t="s">
        <v>1404</v>
      </c>
      <c r="H102" s="2767">
        <f ca="1">I118</f>
        <v>19193</v>
      </c>
      <c r="I102" s="47"/>
    </row>
    <row r="103" spans="1:35" ht="42.75" customHeight="1">
      <c r="A103" s="4347"/>
      <c r="B103" s="1876" t="s">
        <v>1404</v>
      </c>
      <c r="C103" s="3671">
        <f ca="1">C20</f>
        <v>21748</v>
      </c>
      <c r="D103" s="3672">
        <f ca="1">D20</f>
        <v>13231</v>
      </c>
      <c r="E103" s="4392" t="s">
        <v>1405</v>
      </c>
      <c r="F103" s="4393"/>
      <c r="G103" s="1313" t="s">
        <v>1406</v>
      </c>
      <c r="H103" s="3673">
        <f>IF(D36="正常操作",H104+H105+H106,H105+H106)</f>
        <v>0</v>
      </c>
      <c r="I103" s="47"/>
    </row>
    <row r="104" spans="1:35" ht="18.75" customHeight="1">
      <c r="A104" s="4347" t="s">
        <v>1407</v>
      </c>
      <c r="B104" s="1879" t="s">
        <v>1402</v>
      </c>
      <c r="C104" s="4356">
        <f ca="1">H118</f>
        <v>209.97139999999999</v>
      </c>
      <c r="D104" s="4357"/>
      <c r="E104" s="1192" t="s">
        <v>1408</v>
      </c>
      <c r="F104" s="1189"/>
      <c r="G104" s="1313" t="s">
        <v>1406</v>
      </c>
      <c r="H104" s="3674">
        <f>IF(D36="同一抵押权人同一抵押物续贷",C36&amp;"（续贷，未扣减，详见特别提示）",C36)</f>
        <v>0</v>
      </c>
      <c r="I104" s="47"/>
    </row>
    <row r="105" spans="1:35" ht="18.75" customHeight="1" thickBot="1">
      <c r="A105" s="4377"/>
      <c r="B105" s="1880" t="s">
        <v>1404</v>
      </c>
      <c r="C105" s="4358">
        <f ca="1">I118</f>
        <v>19193</v>
      </c>
      <c r="D105" s="4359"/>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348" t="str">
        <f>IF(项目基本情况!E8="已注销","——","3.房地产抵押价值")</f>
        <v>3.房地产抵押价值</v>
      </c>
      <c r="F107" s="4331"/>
      <c r="G107" s="1312" t="s">
        <v>1402</v>
      </c>
      <c r="H107" s="3673">
        <f ca="1">IF(E107="——","——",H101-H103)</f>
        <v>209.97139999999999</v>
      </c>
      <c r="I107" s="47"/>
    </row>
    <row r="108" spans="1:35" ht="18.75" customHeight="1">
      <c r="A108" s="47"/>
      <c r="B108" s="47"/>
      <c r="C108" s="47"/>
      <c r="D108" s="47"/>
      <c r="E108" s="4348"/>
      <c r="F108" s="4331"/>
      <c r="G108" s="1312" t="s">
        <v>1404</v>
      </c>
      <c r="H108" s="2767">
        <f ca="1">IF(H107=H101,H102,ROUND(H107*10000/'数据-汇总表'!E3,0))</f>
        <v>19193</v>
      </c>
      <c r="I108" s="47"/>
    </row>
    <row r="109" spans="1:35" ht="18.75" customHeight="1">
      <c r="A109" s="47"/>
      <c r="B109" s="47"/>
      <c r="C109" s="47"/>
      <c r="D109" s="47"/>
      <c r="E109" s="4348" t="str">
        <f>IF(项目基本情况!E8="已注销及未注销","4.抵押担保权已注销时的房地产抵押价值",IF(项目基本情况!E8="已注销","3.抵押担保权已注销时的房地产抵押价值","——"))</f>
        <v>——</v>
      </c>
      <c r="F109" s="4331"/>
      <c r="G109" s="1312" t="s">
        <v>1402</v>
      </c>
      <c r="H109" s="2762" t="str">
        <f>IF(E109="——","——",H101-H105-H106)</f>
        <v>——</v>
      </c>
      <c r="I109" s="47"/>
    </row>
    <row r="110" spans="1:35" ht="18.75" customHeight="1">
      <c r="A110" s="47"/>
      <c r="B110" s="47"/>
      <c r="C110" s="47"/>
      <c r="D110" s="47"/>
      <c r="E110" s="4348"/>
      <c r="F110" s="4331"/>
      <c r="G110" s="1312" t="s">
        <v>1404</v>
      </c>
      <c r="H110" s="2767" t="str">
        <f>IF(H109="——","——",ROUND(H109*10000/'数据-汇总表'!E3,0))</f>
        <v>——</v>
      </c>
      <c r="I110" s="47"/>
    </row>
    <row r="111" spans="1:35" ht="18.75" customHeight="1">
      <c r="A111" s="47"/>
      <c r="B111" s="47"/>
      <c r="C111" s="47"/>
      <c r="D111" s="47"/>
      <c r="E111" s="4349" t="str">
        <f>IF(项目基本情况!E9="抵押净值",IF(OR(项目基本情况!E8="已注销",项目基本情况!E8="房地产抵押价值"),"4.抵押净值","5.抵押净值"),"——")</f>
        <v>——</v>
      </c>
      <c r="F111" s="4350"/>
      <c r="G111" s="1312" t="s">
        <v>1402</v>
      </c>
      <c r="H111" s="3673" t="str">
        <f>IF(E111="——","——",N59)</f>
        <v>——</v>
      </c>
      <c r="I111" s="47"/>
    </row>
    <row r="112" spans="1:35" ht="18.75" customHeight="1" thickBot="1">
      <c r="A112" s="47"/>
      <c r="B112" s="47"/>
      <c r="C112" s="47"/>
      <c r="D112" s="47"/>
      <c r="E112" s="4351"/>
      <c r="F112" s="4352"/>
      <c r="G112" s="1315" t="s">
        <v>1404</v>
      </c>
      <c r="H112" s="3635" t="str">
        <f>IF(E111="——","——",N61)</f>
        <v>——</v>
      </c>
      <c r="I112" s="47"/>
    </row>
    <row r="113" spans="1:27" ht="18.75" customHeight="1">
      <c r="A113" s="47"/>
      <c r="B113" s="47"/>
      <c r="C113" s="47"/>
      <c r="D113" s="47"/>
      <c r="E113" s="4378" t="s">
        <v>1410</v>
      </c>
      <c r="F113" s="4378"/>
      <c r="G113" s="4378"/>
      <c r="H113" s="4378"/>
      <c r="I113" s="47"/>
    </row>
    <row r="114" spans="1:27" ht="3.75" customHeight="1">
      <c r="A114" s="464"/>
      <c r="B114" s="464"/>
      <c r="C114" s="464"/>
      <c r="D114" s="464"/>
      <c r="E114" s="1298"/>
      <c r="F114" s="1298"/>
      <c r="G114" s="1298"/>
      <c r="H114" s="1298"/>
      <c r="I114" s="464"/>
    </row>
    <row r="115" spans="1:27" ht="18.75" customHeight="1">
      <c r="A115" s="4388" t="s">
        <v>1412</v>
      </c>
      <c r="B115" s="4389"/>
      <c r="C115" s="4389"/>
      <c r="D115" s="4389"/>
      <c r="E115" s="4389"/>
      <c r="F115" s="4389"/>
      <c r="G115" s="4389"/>
      <c r="H115" s="4389"/>
      <c r="I115" s="4390"/>
    </row>
    <row r="116" spans="1:27" ht="27" customHeight="1">
      <c r="A116" s="4353" t="s">
        <v>1413</v>
      </c>
      <c r="B116" s="4354" t="s">
        <v>1414</v>
      </c>
      <c r="C116" s="4354" t="s">
        <v>1415</v>
      </c>
      <c r="D116" s="4341" t="s">
        <v>1416</v>
      </c>
      <c r="E116" s="4342"/>
      <c r="F116" s="4387"/>
      <c r="G116" s="4387"/>
      <c r="H116" s="4353" t="s">
        <v>1417</v>
      </c>
      <c r="I116" s="4353"/>
      <c r="K116" s="3033"/>
      <c r="L116" s="3034" t="s">
        <v>3487</v>
      </c>
      <c r="M116" s="3034" t="s">
        <v>3488</v>
      </c>
      <c r="N116" s="3034" t="s">
        <v>3489</v>
      </c>
    </row>
    <row r="117" spans="1:27" ht="18.75" customHeight="1">
      <c r="A117" s="4353"/>
      <c r="B117" s="4355"/>
      <c r="C117" s="4355"/>
      <c r="D117" s="1698" t="s">
        <v>1418</v>
      </c>
      <c r="E117" s="1698" t="s">
        <v>1419</v>
      </c>
      <c r="F117" s="1698" t="s">
        <v>1418</v>
      </c>
      <c r="G117" s="1698" t="s">
        <v>1420</v>
      </c>
      <c r="H117" s="1698" t="s">
        <v>1418</v>
      </c>
      <c r="I117" s="1698" t="s">
        <v>1420</v>
      </c>
      <c r="K117" s="3034" t="s">
        <v>3485</v>
      </c>
      <c r="L117" s="3676">
        <f>C34</f>
        <v>0</v>
      </c>
      <c r="M117" s="3677">
        <f>C35</f>
        <v>0</v>
      </c>
      <c r="N117" s="3677">
        <f ca="1">C32</f>
        <v>19193</v>
      </c>
    </row>
    <row r="118" spans="1:27" ht="24.75" customHeight="1">
      <c r="A118" s="1881" t="str">
        <f>项目基本情况!S2</f>
        <v>北京市房地产</v>
      </c>
      <c r="B118" s="2597">
        <f>M18</f>
        <v>109.4</v>
      </c>
      <c r="C118" s="2597">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209.97139999999999</v>
      </c>
      <c r="I118" s="679">
        <f ca="1">ROUND(IF(D32="楼面单价",C32,N117*10000/B118),0)</f>
        <v>19193</v>
      </c>
      <c r="K118" s="3033"/>
      <c r="L118" s="3033"/>
      <c r="M118" s="3033"/>
      <c r="N118" s="3033"/>
    </row>
    <row r="119" spans="1:27" ht="18.75" customHeight="1">
      <c r="A119" s="4353" t="s">
        <v>1421</v>
      </c>
      <c r="B119" s="4353"/>
      <c r="C119" s="4353"/>
      <c r="D119" s="4343" t="str">
        <f>NUMBERSTRING(INT(D118*10000),2)&amp;"元整"</f>
        <v>零元整</v>
      </c>
      <c r="E119" s="4344"/>
      <c r="F119" s="4343" t="str">
        <f>NUMBERSTRING(INT(F118*10000),2)&amp;"元整"</f>
        <v>零元整</v>
      </c>
      <c r="G119" s="4344"/>
      <c r="H119" s="4343" t="str">
        <f ca="1">NUMBERSTRING(INT(H118*10000),2)&amp;"元整"</f>
        <v>贰佰零玖万玖仟柒佰壹拾肆元整</v>
      </c>
      <c r="I119" s="4344"/>
      <c r="K119" s="3034" t="s">
        <v>3486</v>
      </c>
      <c r="L119" s="3677">
        <f>C34</f>
        <v>0</v>
      </c>
      <c r="M119" s="3677">
        <f>C35</f>
        <v>0</v>
      </c>
      <c r="N119" s="3677">
        <f ca="1">C32</f>
        <v>19193</v>
      </c>
    </row>
    <row r="120" spans="1:27" ht="18.75" customHeight="1">
      <c r="A120" s="4362" t="str">
        <f>IF(项目基本情况!B9="房地产市场价值","",MID(E103,3,LEN(E103)-2))</f>
        <v>估价师知悉的法定优先受偿款</v>
      </c>
      <c r="B120" s="4363"/>
      <c r="C120" s="4363"/>
      <c r="D120" s="4363"/>
      <c r="E120" s="4363"/>
      <c r="F120" s="4363"/>
      <c r="G120" s="4364"/>
      <c r="H120" s="4443">
        <f>H103</f>
        <v>0</v>
      </c>
      <c r="I120" s="4444"/>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3" t="s">
        <v>1421</v>
      </c>
      <c r="B121" s="4365"/>
      <c r="C121" s="4365"/>
      <c r="D121" s="4365"/>
      <c r="E121" s="4365"/>
      <c r="F121" s="4365"/>
      <c r="G121" s="4344"/>
      <c r="H121" s="4445" t="str">
        <f>IF(H120=0,"零元整",NUMBERSTRING(INT(H120*10000),2)&amp;"元整")</f>
        <v>零元整</v>
      </c>
      <c r="I121" s="4446"/>
      <c r="AA121" s="493"/>
    </row>
    <row r="122" spans="1:27" ht="18.75" customHeight="1">
      <c r="A122" s="4362" t="str">
        <f>IF(项目基本情况!B9="房地产市场价值","",MID(E107,3,LEN(E107)-2))</f>
        <v>房地产抵押价值</v>
      </c>
      <c r="B122" s="4363"/>
      <c r="C122" s="4363"/>
      <c r="D122" s="4363"/>
      <c r="E122" s="4363"/>
      <c r="F122" s="4363"/>
      <c r="G122" s="4364"/>
      <c r="H122" s="4360">
        <f ca="1">H107</f>
        <v>209.97139999999999</v>
      </c>
      <c r="I122" s="4361"/>
      <c r="AA122" s="493"/>
    </row>
    <row r="123" spans="1:27" ht="18.75" customHeight="1">
      <c r="A123" s="4343" t="s">
        <v>1421</v>
      </c>
      <c r="B123" s="4365"/>
      <c r="C123" s="4365"/>
      <c r="D123" s="4365"/>
      <c r="E123" s="4365"/>
      <c r="F123" s="4365"/>
      <c r="G123" s="4344"/>
      <c r="H123" s="4343" t="str">
        <f ca="1">NUMBERSTRING(INT(H122*10000),2)&amp;"元整"</f>
        <v>贰佰零玖万玖仟柒佰壹拾肆元整</v>
      </c>
      <c r="I123" s="4344"/>
      <c r="AA123" s="493"/>
    </row>
    <row r="124" spans="1:27" ht="18.75" customHeight="1">
      <c r="A124" s="4362" t="str">
        <f>IF(项目基本情况!B9="房地产市场价值","",MID(E109,3,LEN(E109)-2))</f>
        <v/>
      </c>
      <c r="B124" s="4363"/>
      <c r="C124" s="4363"/>
      <c r="D124" s="4363"/>
      <c r="E124" s="4363"/>
      <c r="F124" s="4363"/>
      <c r="G124" s="4364"/>
      <c r="H124" s="4360" t="str">
        <f>H109</f>
        <v>——</v>
      </c>
      <c r="I124" s="4361"/>
      <c r="AA124" s="493"/>
    </row>
    <row r="125" spans="1:27" ht="18.75" customHeight="1">
      <c r="A125" s="4343" t="s">
        <v>1421</v>
      </c>
      <c r="B125" s="4365"/>
      <c r="C125" s="4365"/>
      <c r="D125" s="4365"/>
      <c r="E125" s="4365"/>
      <c r="F125" s="4365"/>
      <c r="G125" s="4344"/>
      <c r="H125" s="4343" t="e">
        <f>NUMBERSTRING(INT(H124*10000),2)&amp;"元整"</f>
        <v>#VALUE!</v>
      </c>
      <c r="I125" s="4344"/>
      <c r="AA125" s="493"/>
    </row>
    <row r="126" spans="1:27" ht="18.75" customHeight="1">
      <c r="A126" s="4362" t="str">
        <f>IF(项目基本情况!B9="房地产市场价值","",MID(E111,3,LEN(E111)-2))</f>
        <v/>
      </c>
      <c r="B126" s="4363"/>
      <c r="C126" s="4363"/>
      <c r="D126" s="4363"/>
      <c r="E126" s="4363"/>
      <c r="F126" s="4363"/>
      <c r="G126" s="4364"/>
      <c r="H126" s="4360" t="str">
        <f>H111</f>
        <v>——</v>
      </c>
      <c r="I126" s="4361"/>
      <c r="AA126" s="493"/>
    </row>
    <row r="127" spans="1:27" ht="18.75" customHeight="1">
      <c r="A127" s="4343" t="s">
        <v>1421</v>
      </c>
      <c r="B127" s="4365"/>
      <c r="C127" s="4365"/>
      <c r="D127" s="4365"/>
      <c r="E127" s="4365"/>
      <c r="F127" s="4365"/>
      <c r="G127" s="4344"/>
      <c r="H127" s="4343" t="e">
        <f>NUMBERSTRING(INT(H126*10000),2)&amp;"元整"</f>
        <v>#VALUE!</v>
      </c>
      <c r="I127" s="4344"/>
      <c r="AA127" s="493"/>
    </row>
    <row r="128" spans="1:27" ht="21.75" customHeight="1">
      <c r="A128" s="4340" t="s">
        <v>1422</v>
      </c>
      <c r="B128" s="4340"/>
      <c r="C128" s="4340"/>
      <c r="D128" s="4340"/>
      <c r="E128" s="4340"/>
      <c r="F128" s="4340"/>
      <c r="G128" s="4340"/>
      <c r="H128" s="4340"/>
      <c r="I128" s="4340"/>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c r="C1" s="3325"/>
      <c r="D1" s="93"/>
      <c r="E1" s="93"/>
      <c r="F1" s="93"/>
      <c r="G1" s="756">
        <f>MATCH(B1,'数据-取费表'!A6:A16,0)+5</f>
        <v>7</v>
      </c>
    </row>
    <row r="2" spans="1:9" s="95" customFormat="1" ht="15.75">
      <c r="A2" s="96" t="s">
        <v>1431</v>
      </c>
      <c r="B2" s="2522">
        <f ca="1">IF(C1="含税",E2+C33,E2+C32)</f>
        <v>53</v>
      </c>
      <c r="C2" s="94" t="s">
        <v>1432</v>
      </c>
      <c r="D2" s="1336" t="s">
        <v>41</v>
      </c>
      <c r="E2" s="3412">
        <f ca="1">IF(D2="——",0,SUMIF(INDIRECT("'"&amp;G2&amp;"'"&amp;"!A:A"),"承租人权益价值",INDIRECT("'"&amp;G2&amp;"'"&amp;"!c:c")))</f>
        <v>0</v>
      </c>
      <c r="F2" s="1337" t="s">
        <v>1432</v>
      </c>
      <c r="G2" s="1338"/>
    </row>
    <row r="3" spans="1:9" s="95" customFormat="1" ht="16.5" thickBot="1">
      <c r="A3" s="98" t="s">
        <v>1433</v>
      </c>
      <c r="B3" s="2523">
        <f ca="1">ROUND(B2*10000/(IF(B1="",'数据-汇总表'!E3,INDIRECT("'数据-取费表'!k"&amp;$G$1))),0)</f>
        <v>4845</v>
      </c>
      <c r="C3" s="94" t="s">
        <v>1434</v>
      </c>
      <c r="D3" s="94"/>
      <c r="E3" s="2510"/>
      <c r="F3" s="94"/>
      <c r="G3" s="94"/>
    </row>
    <row r="4" spans="1:9" s="95" customFormat="1" ht="16.5" thickBot="1">
      <c r="A4" s="2567" t="s">
        <v>3333</v>
      </c>
      <c r="B4" s="2568" t="s">
        <v>3334</v>
      </c>
      <c r="C4" s="2507" t="s">
        <v>3963</v>
      </c>
      <c r="D4" s="2543" t="s">
        <v>3339</v>
      </c>
      <c r="E4" s="2544" t="s">
        <v>3340</v>
      </c>
      <c r="F4" s="2544" t="s">
        <v>3341</v>
      </c>
      <c r="G4" s="2508" t="s">
        <v>3335</v>
      </c>
    </row>
    <row r="5" spans="1:9" s="103" customFormat="1" ht="15.75">
      <c r="A5" s="2545" t="s">
        <v>3332</v>
      </c>
      <c r="B5" s="2546" t="s">
        <v>3336</v>
      </c>
      <c r="C5" s="2520">
        <f ca="1">ROUND((C6+C9+C21+C24+C25+C28)/(1-F22-C26-C29),0)</f>
        <v>66</v>
      </c>
      <c r="D5" s="2547"/>
      <c r="E5" s="2547"/>
      <c r="F5" s="2547"/>
      <c r="G5" s="2699" t="s">
        <v>3478</v>
      </c>
    </row>
    <row r="6" spans="1:9" s="2533" customFormat="1" ht="15">
      <c r="A6" s="2512" t="s">
        <v>3342</v>
      </c>
      <c r="B6" s="2571" t="s">
        <v>3343</v>
      </c>
      <c r="C6" s="2548">
        <f>C7+C8</f>
        <v>0</v>
      </c>
      <c r="D6" s="2511"/>
      <c r="E6" s="2511"/>
      <c r="F6" s="2511"/>
      <c r="G6" s="2549"/>
    </row>
    <row r="7" spans="1:9" s="109" customFormat="1">
      <c r="A7" s="2550" t="s">
        <v>1441</v>
      </c>
      <c r="B7" s="2572" t="s">
        <v>1442</v>
      </c>
      <c r="C7" s="3021"/>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3290</v>
      </c>
      <c r="C9" s="2534">
        <f ca="1">C10+C11+C12+C13+C19+C20</f>
        <v>53</v>
      </c>
      <c r="D9" s="2555"/>
      <c r="E9" s="2556"/>
      <c r="F9" s="2557"/>
      <c r="G9" s="2558"/>
      <c r="I9" s="109"/>
    </row>
    <row r="10" spans="1:9" s="109" customFormat="1">
      <c r="A10" s="2574" t="s">
        <v>344</v>
      </c>
      <c r="B10" s="2575" t="s">
        <v>3326</v>
      </c>
      <c r="C10" s="2521">
        <f ca="1">IF(B1="",IF(F10=100%,'数据-取费表'!M16,'数据-取费表'!O16),IF(F10=100%,INDIRECT("'数据-取费表'!m"&amp;$G$1)+INDIRECT("'数据-取费表'!t"&amp;$G$1),INDIRECT("'数据-取费表'!o"&amp;$G$1)+INDIRECT("'数据-取费表'!aq"&amp;$G$1)))</f>
        <v>45</v>
      </c>
      <c r="D10" s="2551"/>
      <c r="E10" s="144"/>
      <c r="F10" s="2559">
        <f ca="1">IF('数据-取费表'!B24=0,1,IF(B1="",'数据-取费表'!N16,INDIRECT("'数据-取费表'!n"&amp;$G$1)))</f>
        <v>1</v>
      </c>
      <c r="G10" s="156" t="s">
        <v>1469</v>
      </c>
    </row>
    <row r="11" spans="1:9" s="109" customFormat="1">
      <c r="A11" s="2574" t="s">
        <v>349</v>
      </c>
      <c r="B11" s="2575" t="s">
        <v>3327</v>
      </c>
      <c r="C11" s="2521">
        <f ca="1">ROUND(C10*F11,0)</f>
        <v>3</v>
      </c>
      <c r="D11" s="144"/>
      <c r="E11" s="144"/>
      <c r="F11" s="2532">
        <f>'数据-取费表'!B33</f>
        <v>0.06</v>
      </c>
      <c r="G11" s="3410" t="s">
        <v>3683</v>
      </c>
    </row>
    <row r="12" spans="1:9" s="109" customFormat="1">
      <c r="A12" s="2574" t="s">
        <v>350</v>
      </c>
      <c r="B12" s="2575" t="s">
        <v>3328</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3291</v>
      </c>
      <c r="B13" s="2575" t="s">
        <v>3329</v>
      </c>
      <c r="C13" s="2521">
        <f ca="1">C14+C17+C18</f>
        <v>5</v>
      </c>
      <c r="D13" s="144"/>
      <c r="E13" s="2552"/>
      <c r="F13" s="2553"/>
      <c r="G13" s="156"/>
    </row>
    <row r="14" spans="1:9" s="118" customFormat="1">
      <c r="A14" s="2505" t="s">
        <v>3292</v>
      </c>
      <c r="B14" s="2576" t="s">
        <v>3325</v>
      </c>
      <c r="C14" s="2521">
        <f>IF(G14="已包含在土地购买价格中","0",IF(B1="",'数据-取费表'!B29,IF(G15="全部缴纳",C15+C16,H15)))</f>
        <v>0</v>
      </c>
      <c r="D14" s="2560"/>
      <c r="E14" s="144"/>
      <c r="F14" s="2553"/>
      <c r="G14" s="1339"/>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0</v>
      </c>
      <c r="F15" s="2553"/>
      <c r="G15" s="1340"/>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109.4</v>
      </c>
      <c r="E16" s="2561">
        <f>'数据-取费表'!B28</f>
        <v>200</v>
      </c>
      <c r="F16" s="2553"/>
      <c r="G16" s="121"/>
    </row>
    <row r="17" spans="1:7" s="109" customFormat="1">
      <c r="A17" s="2505" t="s">
        <v>3293</v>
      </c>
      <c r="B17" s="2579" t="s">
        <v>3298</v>
      </c>
      <c r="C17" s="2521">
        <f ca="1">IF(G17="已包含在土地取得成本中","0",ROUND(D17*E17/10000,0))</f>
        <v>1</v>
      </c>
      <c r="D17" s="2562">
        <f ca="1">D15+D16</f>
        <v>109.4</v>
      </c>
      <c r="E17" s="2562">
        <f>'数据-取费表'!B31</f>
        <v>130</v>
      </c>
      <c r="F17" s="2529"/>
      <c r="G17" s="1339"/>
    </row>
    <row r="18" spans="1:7" s="109" customFormat="1">
      <c r="A18" s="2580" t="s">
        <v>3294</v>
      </c>
      <c r="B18" s="2579" t="s">
        <v>1474</v>
      </c>
      <c r="C18" s="2521">
        <f ca="1">ROUND(E18*D18*F10/10000,0)</f>
        <v>4</v>
      </c>
      <c r="D18" s="2521">
        <f ca="1">D17</f>
        <v>109.4</v>
      </c>
      <c r="E18" s="2521">
        <f>'数据-取费表'!B35</f>
        <v>350</v>
      </c>
      <c r="F18" s="2532"/>
      <c r="G18" s="156" t="s">
        <v>1475</v>
      </c>
    </row>
    <row r="19" spans="1:7" s="109" customFormat="1">
      <c r="A19" s="2574" t="s">
        <v>352</v>
      </c>
      <c r="B19" s="2575" t="s">
        <v>3330</v>
      </c>
      <c r="C19" s="2521">
        <f ca="1">ROUND(C10*F19,0)</f>
        <v>0</v>
      </c>
      <c r="D19" s="144"/>
      <c r="E19" s="144"/>
      <c r="F19" s="2532">
        <f>'数据-取费表'!B36</f>
        <v>0.01</v>
      </c>
      <c r="G19" s="156" t="s">
        <v>1471</v>
      </c>
    </row>
    <row r="20" spans="1:7" s="109" customFormat="1">
      <c r="A20" s="2574" t="s">
        <v>3295</v>
      </c>
      <c r="B20" s="2575" t="s">
        <v>3331</v>
      </c>
      <c r="C20" s="2521">
        <f ca="1">ROUND(C10*F20,0)</f>
        <v>0</v>
      </c>
      <c r="D20" s="2563"/>
      <c r="E20" s="140"/>
      <c r="F20" s="2532">
        <f>'数据-取费表'!B37</f>
        <v>0</v>
      </c>
      <c r="G20" s="156" t="s">
        <v>1471</v>
      </c>
    </row>
    <row r="21" spans="1:7" s="2533" customFormat="1" ht="15">
      <c r="A21" s="2512" t="s">
        <v>3344</v>
      </c>
      <c r="B21" s="2571" t="s">
        <v>3345</v>
      </c>
      <c r="C21" s="2534">
        <f ca="1">ROUND((C6+C9)*F21,0)</f>
        <v>1</v>
      </c>
      <c r="D21" s="2535"/>
      <c r="E21" s="2535"/>
      <c r="F21" s="2539">
        <f>'数据-取费表'!B38</f>
        <v>0.02</v>
      </c>
      <c r="G21" s="2536" t="s">
        <v>3346</v>
      </c>
    </row>
    <row r="22" spans="1:7" s="2533" customFormat="1" ht="15">
      <c r="A22" s="2512" t="s">
        <v>3347</v>
      </c>
      <c r="B22" s="2571" t="s">
        <v>3348</v>
      </c>
      <c r="C22" s="2537" t="str">
        <f>F22&amp;"V"</f>
        <v>0.02V</v>
      </c>
      <c r="D22" s="296"/>
      <c r="E22" s="2535"/>
      <c r="F22" s="2539">
        <f>'数据-取费表'!B39</f>
        <v>0.02</v>
      </c>
      <c r="G22" s="3532" t="s">
        <v>3685</v>
      </c>
    </row>
    <row r="23" spans="1:7" s="2533" customFormat="1" ht="15">
      <c r="A23" s="2512" t="s">
        <v>3349</v>
      </c>
      <c r="B23" s="2573" t="s">
        <v>3299</v>
      </c>
      <c r="C23" s="2513" t="str">
        <f ca="1">SUM(C24:C25)&amp;"+"&amp;C26&amp;"V"</f>
        <v>2+0.0006V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135" t="s">
        <v>1453</v>
      </c>
    </row>
    <row r="25" spans="1:7" s="109" customFormat="1">
      <c r="A25" s="2581" t="s">
        <v>1454</v>
      </c>
      <c r="B25" s="2579" t="s">
        <v>3300</v>
      </c>
      <c r="C25" s="2527">
        <f ca="1">ROUND(IF('数据-取费表'!B22&lt;=1,(C9+C21)*F23*'数据-取费表'!B23/2,(C9+C21)*(POWER((1+F23),'数据-取费表'!B23/2)-1)),0)</f>
        <v>2</v>
      </c>
      <c r="D25" s="133"/>
      <c r="E25" s="133"/>
      <c r="F25" s="2528"/>
      <c r="G25" s="135" t="s">
        <v>1455</v>
      </c>
    </row>
    <row r="26" spans="1:7" s="109" customFormat="1">
      <c r="A26" s="2581" t="s">
        <v>348</v>
      </c>
      <c r="B26" s="2579" t="s">
        <v>1456</v>
      </c>
      <c r="C26" s="2524">
        <f ca="1">ROUND(IF('数据-取费表'!B22&lt;=1,F22*F23*'数据-取费表'!B23/2,F22*(POWER((1+F23),'数据-取费表'!B23/2)-1)),4)</f>
        <v>5.9999999999999995E-4</v>
      </c>
      <c r="D26" s="133"/>
      <c r="E26" s="136"/>
      <c r="F26" s="2528"/>
      <c r="G26" s="138"/>
    </row>
    <row r="27" spans="1:7" s="2533" customFormat="1" ht="15">
      <c r="A27" s="2512" t="s">
        <v>3350</v>
      </c>
      <c r="B27" s="2573" t="s">
        <v>3301</v>
      </c>
      <c r="C27" s="2540" t="str">
        <f ca="1">C28&amp;"+"&amp;C29&amp;"V"</f>
        <v>8+0.003V</v>
      </c>
      <c r="D27" s="2538"/>
      <c r="E27" s="296"/>
      <c r="F27" s="2541">
        <f ca="1">IF(B1="",'数据-取费表'!Q16,INDIRECT("'数据-取费表'!q"&amp;$G$1))</f>
        <v>0.15</v>
      </c>
      <c r="G27" s="2536" t="s">
        <v>3351</v>
      </c>
    </row>
    <row r="28" spans="1:7" s="109" customFormat="1">
      <c r="A28" s="2574" t="s">
        <v>344</v>
      </c>
      <c r="B28" s="2579" t="s">
        <v>1461</v>
      </c>
      <c r="C28" s="2506">
        <f ca="1">ROUND(C6*F27*'数据-取费表'!B23/'数据-取费表'!B22+(C9+C21)*F27,0)</f>
        <v>8</v>
      </c>
      <c r="D28" s="130"/>
      <c r="E28" s="131"/>
      <c r="F28" s="2529"/>
      <c r="G28" s="3032" t="s">
        <v>3484</v>
      </c>
    </row>
    <row r="29" spans="1:7" s="109" customFormat="1">
      <c r="A29" s="2574" t="s">
        <v>345</v>
      </c>
      <c r="B29" s="2579" t="s">
        <v>1462</v>
      </c>
      <c r="C29" s="2524">
        <f ca="1">ROUND(F22*F27,4)</f>
        <v>3.0000000000000001E-3</v>
      </c>
      <c r="D29" s="130"/>
      <c r="E29" s="131"/>
      <c r="F29" s="2529"/>
      <c r="G29" s="142"/>
    </row>
    <row r="30" spans="1:7" s="2533" customFormat="1" ht="15">
      <c r="A30" s="2512" t="s">
        <v>3352</v>
      </c>
      <c r="B30" s="2571" t="s">
        <v>3353</v>
      </c>
      <c r="C30" s="2534">
        <v>0</v>
      </c>
      <c r="D30" s="296"/>
      <c r="E30" s="2514"/>
      <c r="F30" s="2539"/>
      <c r="G30" s="2542" t="s">
        <v>3302</v>
      </c>
    </row>
    <row r="31" spans="1:7" s="109" customFormat="1" ht="15.75">
      <c r="A31" s="2582">
        <v>2</v>
      </c>
      <c r="B31" s="2583" t="s">
        <v>3303</v>
      </c>
      <c r="C31" s="2525">
        <f ca="1">C57</f>
        <v>13</v>
      </c>
      <c r="D31" s="2516"/>
      <c r="E31" s="2516"/>
      <c r="F31" s="2530">
        <f>IF('数据-取费表'!B24=0,'数据-取费表'!N16,1)</f>
        <v>0.8</v>
      </c>
      <c r="G31" s="2517" t="s">
        <v>3821</v>
      </c>
    </row>
    <row r="32" spans="1:7" s="109" customFormat="1" ht="15.75">
      <c r="A32" s="2504" t="s">
        <v>3304</v>
      </c>
      <c r="B32" s="2503" t="s">
        <v>3305</v>
      </c>
      <c r="C32" s="2525">
        <f ca="1">C5-C31</f>
        <v>53</v>
      </c>
      <c r="D32" s="2516"/>
      <c r="E32" s="2516"/>
      <c r="F32" s="2515"/>
      <c r="G32" s="2518" t="s">
        <v>3337</v>
      </c>
    </row>
    <row r="33" spans="1:7" s="109" customFormat="1" ht="16.5" thickBot="1">
      <c r="A33" s="2584">
        <v>4</v>
      </c>
      <c r="B33" s="2585" t="s">
        <v>3338</v>
      </c>
      <c r="C33" s="2526">
        <f ca="1">ROUND(C32*(1+F33),0)</f>
        <v>58</v>
      </c>
      <c r="D33" s="2519"/>
      <c r="E33" s="2519"/>
      <c r="F33" s="2531">
        <f>IF(G33="其他类型公式—成本价值×（1+9%）",9%,3%)</f>
        <v>0.09</v>
      </c>
      <c r="G33" s="3533" t="s">
        <v>3693</v>
      </c>
    </row>
    <row r="34" spans="1:7" s="118" customFormat="1"/>
    <row r="35" spans="1:7" s="109" customFormat="1"/>
    <row r="36" spans="1:7" s="109" customFormat="1"/>
    <row r="37" spans="1:7" s="109" customFormat="1"/>
    <row r="38" spans="1:7" ht="15.75" thickBot="1">
      <c r="A38" s="2771" t="s">
        <v>3306</v>
      </c>
      <c r="B38" s="2772"/>
      <c r="C38" s="2772"/>
      <c r="D38" s="2772"/>
      <c r="E38" s="2772"/>
      <c r="F38" s="2772"/>
      <c r="G38" s="2773"/>
    </row>
    <row r="39" spans="1:7" ht="15.75" thickBot="1">
      <c r="A39" s="2774" t="s">
        <v>3333</v>
      </c>
      <c r="B39" s="2775" t="s">
        <v>3334</v>
      </c>
      <c r="C39" s="2776" t="s">
        <v>3963</v>
      </c>
      <c r="D39" s="2777" t="s">
        <v>3458</v>
      </c>
      <c r="E39" s="2778" t="s">
        <v>3459</v>
      </c>
      <c r="F39" s="2778" t="s">
        <v>3460</v>
      </c>
      <c r="G39" s="2779" t="s">
        <v>3335</v>
      </c>
    </row>
    <row r="40" spans="1:7" ht="15">
      <c r="A40" s="2631" t="s">
        <v>3461</v>
      </c>
      <c r="B40" s="2781" t="s">
        <v>3307</v>
      </c>
      <c r="C40" s="2782">
        <f ca="1">SUM(C41:C46)</f>
        <v>52</v>
      </c>
      <c r="D40" s="2780"/>
      <c r="E40" s="2780"/>
      <c r="F40" s="2780"/>
      <c r="G40" s="3986"/>
    </row>
    <row r="41" spans="1:7" ht="15.75">
      <c r="A41" s="2566" t="s">
        <v>3308</v>
      </c>
      <c r="B41" s="2630" t="str">
        <f t="shared" ref="B41:C43" si="0">B10</f>
        <v xml:space="preserve">  建安费用</v>
      </c>
      <c r="C41" s="2501">
        <f t="shared" ca="1" si="0"/>
        <v>45</v>
      </c>
      <c r="D41" s="2496"/>
      <c r="E41" s="2496"/>
      <c r="F41" s="2497"/>
      <c r="G41" s="3987"/>
    </row>
    <row r="42" spans="1:7" ht="15.75">
      <c r="A42" s="2566" t="s">
        <v>3309</v>
      </c>
      <c r="B42" s="2630" t="str">
        <f t="shared" si="0"/>
        <v xml:space="preserve">  前期费用</v>
      </c>
      <c r="C42" s="2501">
        <f t="shared" ca="1" si="0"/>
        <v>3</v>
      </c>
      <c r="D42" s="2496"/>
      <c r="E42" s="2496"/>
      <c r="F42" s="2497"/>
      <c r="G42" s="3987"/>
    </row>
    <row r="43" spans="1:7" ht="15.75">
      <c r="A43" s="2566" t="s">
        <v>3375</v>
      </c>
      <c r="B43" s="2570" t="str">
        <f t="shared" si="0"/>
        <v xml:space="preserve">  公共配套设施费用</v>
      </c>
      <c r="C43" s="2501">
        <f t="shared" ca="1" si="0"/>
        <v>0</v>
      </c>
      <c r="D43" s="2496"/>
      <c r="E43" s="2496"/>
      <c r="F43" s="2497"/>
      <c r="G43" s="3987"/>
    </row>
    <row r="44" spans="1:7" ht="15.75">
      <c r="A44" s="2566" t="s">
        <v>3291</v>
      </c>
      <c r="B44" s="2570" t="str">
        <f>B18</f>
        <v>红线内市政费用</v>
      </c>
      <c r="C44" s="2501">
        <f ca="1">C18</f>
        <v>4</v>
      </c>
      <c r="D44" s="2496"/>
      <c r="E44" s="2496"/>
      <c r="F44" s="2497"/>
      <c r="G44" s="3987"/>
    </row>
    <row r="45" spans="1:7" ht="15.75">
      <c r="A45" s="2581" t="s">
        <v>3310</v>
      </c>
      <c r="B45" s="2576" t="str">
        <f>B19</f>
        <v xml:space="preserve">  其他工程费</v>
      </c>
      <c r="C45" s="2506">
        <f ca="1">C19</f>
        <v>0</v>
      </c>
      <c r="D45" s="2629"/>
      <c r="E45" s="2629"/>
      <c r="F45" s="2509"/>
      <c r="G45" s="3988"/>
    </row>
    <row r="46" spans="1:7" ht="15.75">
      <c r="A46" s="2581" t="s">
        <v>3374</v>
      </c>
      <c r="B46" s="2576" t="s">
        <v>3311</v>
      </c>
      <c r="C46" s="2506">
        <f ca="1">C20</f>
        <v>0</v>
      </c>
      <c r="D46" s="2629"/>
      <c r="E46" s="2629"/>
      <c r="F46" s="2509"/>
      <c r="G46" s="3988"/>
    </row>
    <row r="47" spans="1:7" ht="15">
      <c r="A47" s="2631" t="s">
        <v>3462</v>
      </c>
      <c r="B47" s="2632" t="s">
        <v>3463</v>
      </c>
      <c r="C47" s="2633">
        <f ca="1">ROUND(C40*F47,0)</f>
        <v>1</v>
      </c>
      <c r="D47" s="2634"/>
      <c r="E47" s="2634"/>
      <c r="F47" s="2635">
        <f>F21</f>
        <v>0.02</v>
      </c>
      <c r="G47" s="2636" t="s">
        <v>3464</v>
      </c>
    </row>
    <row r="48" spans="1:7" ht="15">
      <c r="A48" s="2631" t="s">
        <v>3465</v>
      </c>
      <c r="B48" s="2632" t="s">
        <v>3466</v>
      </c>
      <c r="C48" s="2637" t="str">
        <f>F48&amp;"V建1"</f>
        <v>0.02V建1</v>
      </c>
      <c r="D48" s="2634"/>
      <c r="E48" s="2634"/>
      <c r="F48" s="2635">
        <f>F22</f>
        <v>0.02</v>
      </c>
      <c r="G48" s="2636" t="s">
        <v>3467</v>
      </c>
    </row>
    <row r="49" spans="1:7" ht="15">
      <c r="A49" s="2631" t="s">
        <v>3468</v>
      </c>
      <c r="B49" s="2638" t="s">
        <v>3373</v>
      </c>
      <c r="C49" s="2534" t="str">
        <f ca="1">C50&amp;"+"&amp;C51&amp;"V建1"</f>
        <v>2+0.0006V建1</v>
      </c>
      <c r="D49" s="296"/>
      <c r="E49" s="296"/>
      <c r="F49" s="2647">
        <f ca="1">F23</f>
        <v>3.1300000000000001E-2</v>
      </c>
      <c r="G49" s="3989" t="str">
        <f>IF('数据-取费表'!B22&lt;=1,"单利计息","复利计息")</f>
        <v>复利计息</v>
      </c>
    </row>
    <row r="50" spans="1:7">
      <c r="A50" s="2566" t="s">
        <v>3308</v>
      </c>
      <c r="B50" s="2569" t="s">
        <v>3377</v>
      </c>
      <c r="C50" s="2650">
        <f ca="1">ROUND(IF('数据-取费表'!B22&lt;=1,(C40+C47)*F49*'数据-取费表'!B22/2,(C40+C47)*(POWER((1+F49),'数据-取费表'!B22/2)-1)),0)</f>
        <v>2</v>
      </c>
      <c r="D50" s="1012"/>
      <c r="E50" s="1012"/>
      <c r="F50" s="995"/>
      <c r="G50" s="4447" t="s">
        <v>3324</v>
      </c>
    </row>
    <row r="51" spans="1:7">
      <c r="A51" s="2566" t="s">
        <v>3309</v>
      </c>
      <c r="B51" s="2570" t="s">
        <v>3314</v>
      </c>
      <c r="C51" s="2651">
        <f ca="1">ROUND(IF('数据-取费表'!B22&lt;=1,F48*F23*'数据-取费表'!B22/2,F48*(POWER((1+F23),'数据-取费表'!B22/2)-1)),4)</f>
        <v>5.9999999999999995E-4</v>
      </c>
      <c r="D51" s="1012"/>
      <c r="E51" s="1012"/>
      <c r="F51" s="995"/>
      <c r="G51" s="4448"/>
    </row>
    <row r="52" spans="1:7" ht="15">
      <c r="A52" s="2631" t="s">
        <v>3469</v>
      </c>
      <c r="B52" s="2640" t="s">
        <v>3315</v>
      </c>
      <c r="C52" s="2641" t="str">
        <f ca="1">C53&amp;"+"&amp;C54&amp;"V建1"</f>
        <v>8+0.003V建1</v>
      </c>
      <c r="D52" s="2642"/>
      <c r="E52" s="2634"/>
      <c r="F52" s="2643">
        <f ca="1">F27</f>
        <v>0.15</v>
      </c>
      <c r="G52" s="2644" t="s">
        <v>3470</v>
      </c>
    </row>
    <row r="53" spans="1:7">
      <c r="A53" s="2566" t="s">
        <v>3312</v>
      </c>
      <c r="B53" s="2569" t="s">
        <v>3316</v>
      </c>
      <c r="C53" s="2501">
        <f ca="1">ROUND((C40+C47)*F27,0)</f>
        <v>8</v>
      </c>
      <c r="D53" s="2502"/>
      <c r="E53" s="2498"/>
      <c r="F53" s="2499"/>
      <c r="G53" s="2500"/>
    </row>
    <row r="54" spans="1:7">
      <c r="A54" s="2566" t="s">
        <v>3313</v>
      </c>
      <c r="B54" s="2569" t="s">
        <v>3317</v>
      </c>
      <c r="C54" s="2565">
        <f ca="1">ROUND(F48*F27,4)</f>
        <v>3.0000000000000001E-3</v>
      </c>
      <c r="D54" s="2502"/>
      <c r="E54" s="2498"/>
      <c r="F54" s="2499"/>
      <c r="G54" s="2500"/>
    </row>
    <row r="55" spans="1:7" ht="15">
      <c r="A55" s="2512" t="s">
        <v>3471</v>
      </c>
      <c r="B55" s="2649" t="s">
        <v>3472</v>
      </c>
      <c r="C55" s="3990">
        <v>0</v>
      </c>
      <c r="D55" s="2538"/>
      <c r="E55" s="296"/>
      <c r="F55" s="2639"/>
      <c r="G55" s="2646" t="s">
        <v>3320</v>
      </c>
    </row>
    <row r="56" spans="1:7" ht="16.5">
      <c r="A56" s="2512" t="s">
        <v>3477</v>
      </c>
      <c r="B56" s="2645" t="s">
        <v>3473</v>
      </c>
      <c r="C56" s="2534">
        <f ca="1">ROUND((C40+C47+C50+C53)/(1-F48-C51-C54),0)</f>
        <v>65</v>
      </c>
      <c r="D56" s="296"/>
      <c r="E56" s="296"/>
      <c r="F56" s="2647"/>
      <c r="G56" s="2646" t="s">
        <v>3321</v>
      </c>
    </row>
    <row r="57" spans="1:7" ht="15">
      <c r="A57" s="2512" t="s">
        <v>3439</v>
      </c>
      <c r="B57" s="2648" t="s">
        <v>3318</v>
      </c>
      <c r="C57" s="2534">
        <f ca="1">ROUND(C56*(1-F57),0)</f>
        <v>13</v>
      </c>
      <c r="D57" s="296"/>
      <c r="E57" s="296"/>
      <c r="F57" s="2647">
        <f>F31</f>
        <v>0.8</v>
      </c>
      <c r="G57" s="2646" t="s">
        <v>3322</v>
      </c>
    </row>
    <row r="58" spans="1:7" ht="16.5">
      <c r="A58" s="2512" t="s">
        <v>3474</v>
      </c>
      <c r="B58" s="2645" t="s">
        <v>3475</v>
      </c>
      <c r="C58" s="2534">
        <f ca="1">C56-C57</f>
        <v>52</v>
      </c>
      <c r="D58" s="296"/>
      <c r="E58" s="296"/>
      <c r="F58" s="2647"/>
      <c r="G58" s="2646" t="s">
        <v>3323</v>
      </c>
    </row>
    <row r="59" spans="1:7" ht="15.75" thickBot="1">
      <c r="A59" s="3991" t="s">
        <v>3376</v>
      </c>
      <c r="B59" s="3992" t="s">
        <v>3319</v>
      </c>
      <c r="C59" s="3993">
        <f ca="1">ROUND(C58*(1+F59),0)</f>
        <v>57</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1.9000000000000017E-2</v>
      </c>
    </row>
    <row r="64" spans="1:7" ht="21" customHeight="1">
      <c r="B64" s="55" t="s">
        <v>788</v>
      </c>
      <c r="C64" s="4063">
        <f ca="1">ROUND(C58/C32,3)</f>
        <v>0.98099999999999998</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北京市房地产抵押价值预评估</v>
      </c>
      <c r="C37" s="4235"/>
      <c r="D37" s="4235"/>
      <c r="E37" s="4235"/>
      <c r="F37" s="4235"/>
      <c r="G37" s="4235"/>
      <c r="H37" s="4235"/>
      <c r="I37" s="423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9"/>
      <c r="C1" s="3325"/>
      <c r="D1" s="1342" t="s">
        <v>1502</v>
      </c>
      <c r="E1" s="93"/>
      <c r="F1" s="93"/>
      <c r="G1" s="756">
        <f>MATCH(B1,'数据-取费表'!A6:A16,0)+5</f>
        <v>7</v>
      </c>
      <c r="H1" s="3020" t="str">
        <f>IF(ISERROR(FIND("住宅",B1)),"非住宅","住宅")</f>
        <v>非住宅</v>
      </c>
    </row>
    <row r="2" spans="1:10" s="95" customFormat="1" ht="15.75">
      <c r="A2" s="96" t="s">
        <v>1431</v>
      </c>
      <c r="B2" s="3679">
        <f ca="1">ROUND(D3/10000,4)</f>
        <v>52.916499999999999</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4837</v>
      </c>
      <c r="C3" s="94" t="s">
        <v>1434</v>
      </c>
      <c r="D3" s="94">
        <f ca="1">IF(C1="含税",E2+C33,E2+C32)</f>
        <v>529165</v>
      </c>
      <c r="E3" s="2510"/>
      <c r="F3" s="94"/>
      <c r="G3" s="94"/>
    </row>
    <row r="4" spans="1:10" s="95" customFormat="1" ht="16.5" thickBot="1">
      <c r="A4" s="2567" t="s">
        <v>3333</v>
      </c>
      <c r="B4" s="2568" t="s">
        <v>3334</v>
      </c>
      <c r="C4" s="2507" t="s">
        <v>3963</v>
      </c>
      <c r="D4" s="2543" t="s">
        <v>3339</v>
      </c>
      <c r="E4" s="2544" t="s">
        <v>3340</v>
      </c>
      <c r="F4" s="2544" t="s">
        <v>3341</v>
      </c>
      <c r="G4" s="2508" t="s">
        <v>3335</v>
      </c>
    </row>
    <row r="5" spans="1:10" s="103" customFormat="1" ht="15.75">
      <c r="A5" s="2545" t="s">
        <v>3332</v>
      </c>
      <c r="B5" s="2546" t="s">
        <v>3336</v>
      </c>
      <c r="C5" s="2520">
        <f ca="1">ROUND((C6+C9+C21+C24+C25+C28)/(1-F22-C26-C29),0)</f>
        <v>657069</v>
      </c>
      <c r="D5" s="2547"/>
      <c r="E5" s="2547"/>
      <c r="F5" s="2547"/>
      <c r="G5" s="2699" t="s">
        <v>3478</v>
      </c>
      <c r="J5" s="95"/>
    </row>
    <row r="6" spans="1:10" s="2533" customFormat="1" ht="15">
      <c r="A6" s="2512" t="s">
        <v>3342</v>
      </c>
      <c r="B6" s="2571" t="s">
        <v>3343</v>
      </c>
      <c r="C6" s="2548">
        <f>C7+C8</f>
        <v>0</v>
      </c>
      <c r="D6" s="2511"/>
      <c r="E6" s="2511"/>
      <c r="F6" s="2511"/>
      <c r="G6" s="2549"/>
      <c r="J6" s="95"/>
    </row>
    <row r="7" spans="1:10" s="109" customFormat="1" ht="15">
      <c r="A7" s="2550" t="s">
        <v>344</v>
      </c>
      <c r="B7" s="2572" t="s">
        <v>1442</v>
      </c>
      <c r="C7" s="3021"/>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3290</v>
      </c>
      <c r="C9" s="2534">
        <f ca="1">C10+C11+C12+C13+C19+C20</f>
        <v>532449</v>
      </c>
      <c r="D9" s="2555"/>
      <c r="E9" s="2556"/>
      <c r="F9" s="2557"/>
      <c r="G9" s="2558"/>
      <c r="J9" s="95"/>
    </row>
    <row r="10" spans="1:10" s="109" customFormat="1" ht="15">
      <c r="A10" s="2574" t="s">
        <v>344</v>
      </c>
      <c r="B10" s="2575" t="s">
        <v>3326</v>
      </c>
      <c r="C10" s="2521">
        <f ca="1">ROUND(IF(B1="",SUMPRODUCT('数据-取费表'!K6:K14,'数据-取费表'!L6:L14),INDIRECT("'数据-取费表'!l"&amp;$G$1)*INDIRECT("'数据-取费表'!k"&amp;$G$1)+'数据-取费表'!L14*INDIRECT("'数据-取费表'!S"&amp;$G$1)),0)</f>
        <v>448540</v>
      </c>
      <c r="D10" s="2551"/>
      <c r="E10" s="144"/>
      <c r="F10" s="2559">
        <f ca="1">IF('数据-取费表'!B24=0,1,IF(B1="",'数据-取费表'!N16,INDIRECT("'数据-取费表'!n"&amp;$G$1)))</f>
        <v>1</v>
      </c>
      <c r="G10" s="156" t="s">
        <v>1469</v>
      </c>
      <c r="J10" s="95"/>
    </row>
    <row r="11" spans="1:10" s="109" customFormat="1" ht="15">
      <c r="A11" s="2574" t="s">
        <v>349</v>
      </c>
      <c r="B11" s="2575" t="s">
        <v>3327</v>
      </c>
      <c r="C11" s="2521">
        <f ca="1">ROUND(C10*F11,0)</f>
        <v>26912</v>
      </c>
      <c r="D11" s="144"/>
      <c r="E11" s="144"/>
      <c r="F11" s="2532">
        <f>'数据-取费表'!B33</f>
        <v>0.06</v>
      </c>
      <c r="G11" s="156" t="s">
        <v>1471</v>
      </c>
      <c r="J11" s="95"/>
    </row>
    <row r="12" spans="1:10" s="109" customFormat="1" ht="15">
      <c r="A12" s="2574" t="s">
        <v>350</v>
      </c>
      <c r="B12" s="2575" t="s">
        <v>3328</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3291</v>
      </c>
      <c r="B13" s="2575" t="s">
        <v>3329</v>
      </c>
      <c r="C13" s="2521">
        <f ca="1">C14+C17+C18</f>
        <v>52512</v>
      </c>
      <c r="D13" s="144"/>
      <c r="E13" s="2552"/>
      <c r="F13" s="2553"/>
      <c r="G13" s="156"/>
      <c r="J13" s="95"/>
    </row>
    <row r="14" spans="1:10" s="118" customFormat="1" ht="15">
      <c r="A14" s="2505" t="s">
        <v>3292</v>
      </c>
      <c r="B14" s="2576" t="s">
        <v>3325</v>
      </c>
      <c r="C14" s="2521">
        <f>IF(G14="已包含在土地购买价格中","0",IF(B1="",'数据-取费表'!B29,IF(G15="全部缴纳",C15+C16,H15)))</f>
        <v>0</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0</v>
      </c>
      <c r="F15" s="2553"/>
      <c r="G15" s="1340"/>
      <c r="H15" s="762"/>
      <c r="I15" s="1341" t="s">
        <v>1448</v>
      </c>
      <c r="J15" s="95"/>
    </row>
    <row r="16" spans="1:10" s="109" customFormat="1" ht="15">
      <c r="A16" s="2577" t="s">
        <v>354</v>
      </c>
      <c r="B16" s="2578" t="s">
        <v>1449</v>
      </c>
      <c r="C16" s="2561">
        <f ca="1">ROUND(D16*E16,0)</f>
        <v>21880</v>
      </c>
      <c r="D16" s="2561">
        <f ca="1">IF(B1="",'数据-汇总表'!E6,IF(INDIRECT("'数据-取费表'!c"&amp;$G$1)="住宅",INDIRECT("'数据-取费表'!s"&amp;$G$1),INDIRECT("'数据-取费表'!k"&amp;$G$1)+INDIRECT("'数据-取费表'!s"&amp;$G$1)))</f>
        <v>109.4</v>
      </c>
      <c r="E16" s="2561">
        <f>'数据-取费表'!B28</f>
        <v>200</v>
      </c>
      <c r="F16" s="2553"/>
      <c r="G16" s="121"/>
      <c r="J16" s="95"/>
    </row>
    <row r="17" spans="1:10" s="109" customFormat="1" ht="15">
      <c r="A17" s="2505" t="s">
        <v>3293</v>
      </c>
      <c r="B17" s="2579" t="s">
        <v>3298</v>
      </c>
      <c r="C17" s="2521">
        <f ca="1">IF(G17="已包含在土地取得成本中","0",ROUND(D17*E17,0))</f>
        <v>14222</v>
      </c>
      <c r="D17" s="2562">
        <f ca="1">D15+D16</f>
        <v>109.4</v>
      </c>
      <c r="E17" s="2562">
        <f>'数据-取费表'!B31</f>
        <v>130</v>
      </c>
      <c r="F17" s="2529"/>
      <c r="G17" s="1339"/>
      <c r="J17" s="95"/>
    </row>
    <row r="18" spans="1:10" s="109" customFormat="1" ht="15">
      <c r="A18" s="2580" t="s">
        <v>3294</v>
      </c>
      <c r="B18" s="2579" t="s">
        <v>1474</v>
      </c>
      <c r="C18" s="2521">
        <f ca="1">ROUND(E18*D18*F10,0)</f>
        <v>38290</v>
      </c>
      <c r="D18" s="2521">
        <f ca="1">D17</f>
        <v>109.4</v>
      </c>
      <c r="E18" s="2521">
        <f>'数据-取费表'!B35</f>
        <v>350</v>
      </c>
      <c r="F18" s="2532"/>
      <c r="G18" s="156" t="s">
        <v>1475</v>
      </c>
      <c r="J18" s="95"/>
    </row>
    <row r="19" spans="1:10" s="109" customFormat="1" ht="15">
      <c r="A19" s="2574" t="s">
        <v>352</v>
      </c>
      <c r="B19" s="2575" t="s">
        <v>3330</v>
      </c>
      <c r="C19" s="2521">
        <f ca="1">ROUND(C10*F19,0)</f>
        <v>4485</v>
      </c>
      <c r="D19" s="144"/>
      <c r="E19" s="144"/>
      <c r="F19" s="2532">
        <f>'数据-取费表'!B36</f>
        <v>0.01</v>
      </c>
      <c r="G19" s="156" t="s">
        <v>1471</v>
      </c>
      <c r="J19" s="95"/>
    </row>
    <row r="20" spans="1:10" s="109" customFormat="1" ht="15">
      <c r="A20" s="2574" t="s">
        <v>3295</v>
      </c>
      <c r="B20" s="2575" t="s">
        <v>3331</v>
      </c>
      <c r="C20" s="2521">
        <f ca="1">ROUND(C10*F20,0)</f>
        <v>0</v>
      </c>
      <c r="D20" s="2563"/>
      <c r="E20" s="140"/>
      <c r="F20" s="2532">
        <f>'数据-取费表'!B37</f>
        <v>0</v>
      </c>
      <c r="G20" s="156" t="s">
        <v>1471</v>
      </c>
      <c r="J20" s="95"/>
    </row>
    <row r="21" spans="1:10" s="2533" customFormat="1" ht="15">
      <c r="A21" s="2512" t="s">
        <v>3344</v>
      </c>
      <c r="B21" s="2571" t="s">
        <v>3345</v>
      </c>
      <c r="C21" s="2534">
        <f ca="1">ROUND((C6+C9)*F21,0)</f>
        <v>10649</v>
      </c>
      <c r="D21" s="2535"/>
      <c r="E21" s="2535"/>
      <c r="F21" s="2539">
        <f>'数据-取费表'!B38</f>
        <v>0.02</v>
      </c>
      <c r="G21" s="2536" t="s">
        <v>3346</v>
      </c>
      <c r="J21" s="95"/>
    </row>
    <row r="22" spans="1:10" s="2533" customFormat="1" ht="15">
      <c r="A22" s="2512" t="s">
        <v>3347</v>
      </c>
      <c r="B22" s="2571" t="s">
        <v>3348</v>
      </c>
      <c r="C22" s="2537" t="str">
        <f>F22&amp;"V"</f>
        <v>0.02V</v>
      </c>
      <c r="D22" s="296"/>
      <c r="E22" s="2535"/>
      <c r="F22" s="2539">
        <f>'数据-取费表'!B39</f>
        <v>0.02</v>
      </c>
      <c r="G22" s="3532" t="s">
        <v>3685</v>
      </c>
      <c r="J22" s="95"/>
    </row>
    <row r="23" spans="1:10" s="2533" customFormat="1" ht="15">
      <c r="A23" s="2512" t="s">
        <v>3349</v>
      </c>
      <c r="B23" s="2573" t="s">
        <v>3299</v>
      </c>
      <c r="C23" s="2513" t="str">
        <f ca="1">SUM(C24:C25)&amp;"+"&amp;C26&amp;"V"</f>
        <v>16999+0.0006V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3300</v>
      </c>
      <c r="C25" s="2527">
        <f ca="1">ROUND(IF('数据-取费表'!B22&lt;=1,(C9+C21)*F23*'数据-取费表'!B23/2,(C9+C21)*(POWER((1+F23),'数据-取费表'!B23/2)-1)),0)</f>
        <v>16999</v>
      </c>
      <c r="D25" s="133"/>
      <c r="E25" s="133"/>
      <c r="F25" s="2528"/>
      <c r="G25" s="3914" t="s">
        <v>3820</v>
      </c>
      <c r="J25" s="95"/>
    </row>
    <row r="26" spans="1:10" s="109" customFormat="1" ht="15">
      <c r="A26" s="2581" t="s">
        <v>348</v>
      </c>
      <c r="B26" s="2579" t="s">
        <v>1456</v>
      </c>
      <c r="C26" s="2524">
        <f ca="1">ROUND(IF('数据-取费表'!B22&lt;=1,F22*F23*'数据-取费表'!B23/2,F22*(POWER((1+F23),'数据-取费表'!B23/2)-1)),4)</f>
        <v>5.9999999999999995E-4</v>
      </c>
      <c r="D26" s="133"/>
      <c r="E26" s="136"/>
      <c r="F26" s="2528"/>
      <c r="G26" s="138"/>
      <c r="J26" s="95"/>
    </row>
    <row r="27" spans="1:10" s="2533" customFormat="1" ht="15">
      <c r="A27" s="2512" t="s">
        <v>3350</v>
      </c>
      <c r="B27" s="2573" t="s">
        <v>3301</v>
      </c>
      <c r="C27" s="2540" t="str">
        <f ca="1">C28&amp;"+"&amp;C29&amp;"V"</f>
        <v>81465+0.003V</v>
      </c>
      <c r="D27" s="2538"/>
      <c r="E27" s="296"/>
      <c r="F27" s="2541">
        <f ca="1">IF(B1="",'数据-取费表'!Q16,INDIRECT("'数据-取费表'!q"&amp;$G$1))</f>
        <v>0.15</v>
      </c>
      <c r="G27" s="2536" t="s">
        <v>3351</v>
      </c>
      <c r="J27" s="95"/>
    </row>
    <row r="28" spans="1:10" s="109" customFormat="1" ht="15">
      <c r="A28" s="2574" t="s">
        <v>344</v>
      </c>
      <c r="B28" s="2579" t="s">
        <v>1461</v>
      </c>
      <c r="C28" s="2506">
        <f ca="1">ROUND(C6*F27*'数据-取费表'!B23/'数据-取费表'!B22+(C9+C21)*F27,0)</f>
        <v>81465</v>
      </c>
      <c r="D28" s="130"/>
      <c r="E28" s="131"/>
      <c r="F28" s="2529"/>
      <c r="G28" s="142"/>
      <c r="J28" s="95"/>
    </row>
    <row r="29" spans="1:10" s="109" customFormat="1" ht="15">
      <c r="A29" s="2574" t="s">
        <v>345</v>
      </c>
      <c r="B29" s="2579" t="s">
        <v>1462</v>
      </c>
      <c r="C29" s="2524">
        <f ca="1">ROUND(F22*F27,4)</f>
        <v>3.0000000000000001E-3</v>
      </c>
      <c r="D29" s="130"/>
      <c r="E29" s="131"/>
      <c r="F29" s="2529"/>
      <c r="G29" s="142"/>
      <c r="J29" s="95"/>
    </row>
    <row r="30" spans="1:10" s="2533" customFormat="1" ht="15">
      <c r="A30" s="2512" t="s">
        <v>3352</v>
      </c>
      <c r="B30" s="2571" t="s">
        <v>3353</v>
      </c>
      <c r="C30" s="2534">
        <v>0</v>
      </c>
      <c r="D30" s="296"/>
      <c r="E30" s="2514"/>
      <c r="F30" s="2539"/>
      <c r="G30" s="2542" t="s">
        <v>3302</v>
      </c>
      <c r="J30" s="95"/>
    </row>
    <row r="31" spans="1:10" s="109" customFormat="1" ht="15.75">
      <c r="A31" s="2582">
        <v>2</v>
      </c>
      <c r="B31" s="2583" t="s">
        <v>3303</v>
      </c>
      <c r="C31" s="2525">
        <f ca="1">C57</f>
        <v>127904</v>
      </c>
      <c r="D31" s="2516"/>
      <c r="E31" s="2516"/>
      <c r="F31" s="2530">
        <f>IF('数据-取费表'!B24=0,'数据-取费表'!N16,1)</f>
        <v>0.8</v>
      </c>
      <c r="G31" s="2517" t="s">
        <v>3819</v>
      </c>
      <c r="J31" s="95"/>
    </row>
    <row r="32" spans="1:10" s="109" customFormat="1" ht="15.75">
      <c r="A32" s="2504" t="s">
        <v>3304</v>
      </c>
      <c r="B32" s="2503" t="s">
        <v>3305</v>
      </c>
      <c r="C32" s="2525">
        <f ca="1">C5-C31</f>
        <v>529165</v>
      </c>
      <c r="D32" s="2516"/>
      <c r="E32" s="2516"/>
      <c r="F32" s="2515"/>
      <c r="G32" s="2518" t="s">
        <v>3337</v>
      </c>
      <c r="J32" s="95"/>
    </row>
    <row r="33" spans="1:10" s="109" customFormat="1" ht="16.5" thickBot="1">
      <c r="A33" s="2584">
        <v>4</v>
      </c>
      <c r="B33" s="2585" t="s">
        <v>3338</v>
      </c>
      <c r="C33" s="2526">
        <f ca="1">ROUND(C32*(1+F33),0)</f>
        <v>576790</v>
      </c>
      <c r="D33" s="2519"/>
      <c r="E33" s="2519"/>
      <c r="F33" s="2531">
        <f>IF(G33="其他类型公式—成本价值×（1+9%）",9%,3%)</f>
        <v>0.09</v>
      </c>
      <c r="G33" s="3533" t="s">
        <v>3693</v>
      </c>
      <c r="J33" s="95"/>
    </row>
    <row r="34" spans="1:10" s="118" customFormat="1" ht="15">
      <c r="J34" s="95"/>
    </row>
    <row r="35" spans="1:10" s="109" customFormat="1"/>
    <row r="36" spans="1:10" s="109" customFormat="1"/>
    <row r="37" spans="1:10" s="109" customFormat="1"/>
    <row r="38" spans="1:10" ht="15.75" thickBot="1">
      <c r="A38" s="2771" t="s">
        <v>3306</v>
      </c>
      <c r="B38" s="2772"/>
      <c r="C38" s="2772"/>
      <c r="D38" s="2772"/>
      <c r="E38" s="2772"/>
      <c r="F38" s="2772"/>
      <c r="G38" s="2773"/>
    </row>
    <row r="39" spans="1:10" ht="15.75" thickBot="1">
      <c r="A39" s="4113" t="s">
        <v>3333</v>
      </c>
      <c r="B39" s="2774" t="s">
        <v>3334</v>
      </c>
      <c r="C39" s="2776" t="s">
        <v>3963</v>
      </c>
      <c r="D39" s="2777" t="s">
        <v>3458</v>
      </c>
      <c r="E39" s="2778" t="s">
        <v>3459</v>
      </c>
      <c r="F39" s="2778" t="s">
        <v>3460</v>
      </c>
      <c r="G39" s="2779" t="s">
        <v>3335</v>
      </c>
    </row>
    <row r="40" spans="1:10" ht="15">
      <c r="A40" s="2632" t="s">
        <v>3461</v>
      </c>
      <c r="B40" s="4118" t="s">
        <v>3307</v>
      </c>
      <c r="C40" s="2782">
        <f ca="1">SUM(C41:C46)</f>
        <v>518227</v>
      </c>
      <c r="D40" s="2780"/>
      <c r="E40" s="2780"/>
      <c r="F40" s="2780"/>
      <c r="G40" s="3986"/>
    </row>
    <row r="41" spans="1:10" ht="15.75">
      <c r="A41" s="4114" t="s">
        <v>3308</v>
      </c>
      <c r="B41" s="4119" t="str">
        <f t="shared" ref="B41:C43" si="0">B10</f>
        <v xml:space="preserve">  建安费用</v>
      </c>
      <c r="C41" s="2501">
        <f t="shared" ca="1" si="0"/>
        <v>448540</v>
      </c>
      <c r="D41" s="2496"/>
      <c r="E41" s="2496"/>
      <c r="F41" s="2497"/>
      <c r="G41" s="3987"/>
    </row>
    <row r="42" spans="1:10" ht="15.75">
      <c r="A42" s="4114" t="s">
        <v>3309</v>
      </c>
      <c r="B42" s="4119" t="str">
        <f t="shared" si="0"/>
        <v xml:space="preserve">  前期费用</v>
      </c>
      <c r="C42" s="2501">
        <f t="shared" ca="1" si="0"/>
        <v>26912</v>
      </c>
      <c r="D42" s="2496"/>
      <c r="E42" s="2496"/>
      <c r="F42" s="2497"/>
      <c r="G42" s="3987"/>
    </row>
    <row r="43" spans="1:10" ht="15.75">
      <c r="A43" s="4114" t="s">
        <v>3375</v>
      </c>
      <c r="B43" s="4120" t="str">
        <f t="shared" si="0"/>
        <v xml:space="preserve">  公共配套设施费用</v>
      </c>
      <c r="C43" s="2501">
        <f t="shared" ca="1" si="0"/>
        <v>0</v>
      </c>
      <c r="D43" s="2496"/>
      <c r="E43" s="2496"/>
      <c r="F43" s="2497"/>
      <c r="G43" s="3987"/>
    </row>
    <row r="44" spans="1:10" ht="15.75">
      <c r="A44" s="4114" t="s">
        <v>3291</v>
      </c>
      <c r="B44" s="4120" t="str">
        <f>B18</f>
        <v>红线内市政费用</v>
      </c>
      <c r="C44" s="2501">
        <f ca="1">C18</f>
        <v>38290</v>
      </c>
      <c r="D44" s="2496"/>
      <c r="E44" s="2496"/>
      <c r="F44" s="2497"/>
      <c r="G44" s="3987"/>
    </row>
    <row r="45" spans="1:10" ht="15.75">
      <c r="A45" s="4115" t="s">
        <v>3310</v>
      </c>
      <c r="B45" s="4121" t="str">
        <f>B19</f>
        <v xml:space="preserve">  其他工程费</v>
      </c>
      <c r="C45" s="2506">
        <f ca="1">C19</f>
        <v>4485</v>
      </c>
      <c r="D45" s="2629"/>
      <c r="E45" s="2629"/>
      <c r="F45" s="2509"/>
      <c r="G45" s="3988"/>
    </row>
    <row r="46" spans="1:10" ht="15.75">
      <c r="A46" s="4115" t="s">
        <v>3374</v>
      </c>
      <c r="B46" s="4121" t="s">
        <v>3311</v>
      </c>
      <c r="C46" s="2506">
        <f ca="1">C20</f>
        <v>0</v>
      </c>
      <c r="D46" s="2629"/>
      <c r="E46" s="2629"/>
      <c r="F46" s="2509"/>
      <c r="G46" s="3988"/>
    </row>
    <row r="47" spans="1:10" ht="15">
      <c r="A47" s="4116" t="s">
        <v>3462</v>
      </c>
      <c r="B47" s="4116" t="s">
        <v>3463</v>
      </c>
      <c r="C47" s="2633">
        <f ca="1">ROUND(C40*F47,0)</f>
        <v>10365</v>
      </c>
      <c r="D47" s="2634"/>
      <c r="E47" s="2634"/>
      <c r="F47" s="2635">
        <f>F21</f>
        <v>0.02</v>
      </c>
      <c r="G47" s="2636" t="s">
        <v>3464</v>
      </c>
    </row>
    <row r="48" spans="1:10" ht="15">
      <c r="A48" s="4116" t="s">
        <v>3465</v>
      </c>
      <c r="B48" s="4116" t="s">
        <v>3466</v>
      </c>
      <c r="C48" s="2637" t="str">
        <f>F48&amp;"V建1"</f>
        <v>0.02V建1</v>
      </c>
      <c r="D48" s="2634"/>
      <c r="E48" s="2634"/>
      <c r="F48" s="2635">
        <f>F22</f>
        <v>0.02</v>
      </c>
      <c r="G48" s="2636" t="s">
        <v>3467</v>
      </c>
    </row>
    <row r="49" spans="1:7" ht="15">
      <c r="A49" s="4116" t="s">
        <v>3468</v>
      </c>
      <c r="B49" s="4122" t="s">
        <v>3373</v>
      </c>
      <c r="C49" s="2534" t="str">
        <f ca="1">C50&amp;"+"&amp;C51&amp;"V建1"</f>
        <v>16545+0.0006V建1</v>
      </c>
      <c r="D49" s="296"/>
      <c r="E49" s="296"/>
      <c r="F49" s="2639">
        <f ca="1">F23</f>
        <v>3.1300000000000001E-2</v>
      </c>
      <c r="G49" s="3989" t="str">
        <f>IF('数据-取费表'!B22&lt;=1,"单利计息","复利计息")</f>
        <v>复利计息</v>
      </c>
    </row>
    <row r="50" spans="1:7">
      <c r="A50" s="4114" t="s">
        <v>3308</v>
      </c>
      <c r="B50" s="4123" t="s">
        <v>3377</v>
      </c>
      <c r="C50" s="2650">
        <f ca="1">ROUND(IF('数据-取费表'!B22&lt;=1,(C40+C47)*F49*'数据-取费表'!B22/2,(C40+C47)*(POWER((1+F49),'数据-取费表'!B22/2)-1)),0)</f>
        <v>16545</v>
      </c>
      <c r="D50" s="1012"/>
      <c r="E50" s="1012"/>
      <c r="F50" s="995"/>
      <c r="G50" s="4447" t="s">
        <v>3324</v>
      </c>
    </row>
    <row r="51" spans="1:7">
      <c r="A51" s="4114" t="s">
        <v>3309</v>
      </c>
      <c r="B51" s="4120" t="s">
        <v>3314</v>
      </c>
      <c r="C51" s="2651">
        <f ca="1">ROUND(IF('数据-取费表'!B22&lt;=1,F48*F23*'数据-取费表'!B22/2,F48*(POWER((1+F23),'数据-取费表'!B22/2)-1)),4)</f>
        <v>5.9999999999999995E-4</v>
      </c>
      <c r="D51" s="1012"/>
      <c r="E51" s="1012"/>
      <c r="F51" s="995"/>
      <c r="G51" s="4448"/>
    </row>
    <row r="52" spans="1:7" ht="15">
      <c r="A52" s="4116" t="s">
        <v>3469</v>
      </c>
      <c r="B52" s="2771" t="s">
        <v>3315</v>
      </c>
      <c r="C52" s="2641" t="str">
        <f ca="1">C53&amp;"+"&amp;C54&amp;"V建1"</f>
        <v>79289+0.003V建1</v>
      </c>
      <c r="D52" s="2642"/>
      <c r="E52" s="2634"/>
      <c r="F52" s="2643">
        <f ca="1">F27</f>
        <v>0.15</v>
      </c>
      <c r="G52" s="2644" t="s">
        <v>3470</v>
      </c>
    </row>
    <row r="53" spans="1:7">
      <c r="A53" s="4114" t="s">
        <v>3308</v>
      </c>
      <c r="B53" s="4123" t="s">
        <v>3316</v>
      </c>
      <c r="C53" s="2501">
        <f ca="1">ROUND((C40+C47)*F27,0)</f>
        <v>79289</v>
      </c>
      <c r="D53" s="2502"/>
      <c r="E53" s="2498"/>
      <c r="F53" s="2499"/>
      <c r="G53" s="2500"/>
    </row>
    <row r="54" spans="1:7">
      <c r="A54" s="4114" t="s">
        <v>3309</v>
      </c>
      <c r="B54" s="4123" t="s">
        <v>3317</v>
      </c>
      <c r="C54" s="2565">
        <f ca="1">ROUND(F48*F27,4)</f>
        <v>3.0000000000000001E-3</v>
      </c>
      <c r="D54" s="2502"/>
      <c r="E54" s="2498"/>
      <c r="F54" s="2499"/>
      <c r="G54" s="2500"/>
    </row>
    <row r="55" spans="1:7" ht="15">
      <c r="A55" s="4117" t="s">
        <v>3471</v>
      </c>
      <c r="B55" s="2512" t="s">
        <v>3472</v>
      </c>
      <c r="C55" s="3990">
        <v>0</v>
      </c>
      <c r="D55" s="2538"/>
      <c r="E55" s="296"/>
      <c r="F55" s="2639"/>
      <c r="G55" s="2646" t="s">
        <v>3320</v>
      </c>
    </row>
    <row r="56" spans="1:7" ht="16.5">
      <c r="A56" s="4117" t="s">
        <v>3477</v>
      </c>
      <c r="B56" s="4117" t="s">
        <v>3473</v>
      </c>
      <c r="C56" s="2534">
        <f ca="1">ROUND((C40+C47+C50+C53)/(1-F48-C51-C54),0)</f>
        <v>639519</v>
      </c>
      <c r="D56" s="296"/>
      <c r="E56" s="296"/>
      <c r="F56" s="2647"/>
      <c r="G56" s="2646" t="s">
        <v>3321</v>
      </c>
    </row>
    <row r="57" spans="1:7" ht="15">
      <c r="A57" s="4117" t="s">
        <v>3439</v>
      </c>
      <c r="B57" s="4124" t="s">
        <v>3303</v>
      </c>
      <c r="C57" s="2534">
        <f ca="1">ROUND(C56*(1-F57),0)</f>
        <v>127904</v>
      </c>
      <c r="D57" s="296"/>
      <c r="E57" s="296"/>
      <c r="F57" s="2647">
        <f>F31</f>
        <v>0.8</v>
      </c>
      <c r="G57" s="2646" t="s">
        <v>3322</v>
      </c>
    </row>
    <row r="58" spans="1:7" ht="16.5">
      <c r="A58" s="4117" t="s">
        <v>3474</v>
      </c>
      <c r="B58" s="4117" t="s">
        <v>3475</v>
      </c>
      <c r="C58" s="2534">
        <f ca="1">C56-C57</f>
        <v>511615</v>
      </c>
      <c r="D58" s="296"/>
      <c r="E58" s="296"/>
      <c r="F58" s="2647"/>
      <c r="G58" s="2646" t="s">
        <v>3323</v>
      </c>
    </row>
    <row r="59" spans="1:7" ht="15.75" thickBot="1">
      <c r="A59" s="2645" t="s">
        <v>3376</v>
      </c>
      <c r="B59" s="4125" t="s">
        <v>3319</v>
      </c>
      <c r="C59" s="3993">
        <f ca="1">ROUND(C58*(1+F59),0)</f>
        <v>557660</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2671.5018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244196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20652490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21880</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21880</v>
      </c>
      <c r="D10" s="538">
        <f ca="1">IF(B1="",'数据-汇总表'!E6,IF(INDIRECT("'数据-取费表'!c"&amp;$G$1)="住宅",INDIRECT("'数据-取费表'!s"&amp;$G$1),INDIRECT("'数据-取费表'!k"&amp;$G$1)+INDIRECT("'数据-取费表'!s"&amp;$G$1)))</f>
        <v>109.4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14222</v>
      </c>
      <c r="D19" s="107">
        <f ca="1">D9+D10</f>
        <v>109.4</v>
      </c>
      <c r="E19" s="106">
        <f>'数据-取费表'!B31</f>
        <v>130</v>
      </c>
      <c r="F19" s="126"/>
      <c r="G19" s="1339"/>
    </row>
    <row r="20" spans="1:7" s="109" customFormat="1" ht="13.5" customHeight="1">
      <c r="A20" s="150" t="s">
        <v>1513</v>
      </c>
      <c r="B20" s="105" t="s">
        <v>1514</v>
      </c>
      <c r="C20" s="127">
        <f ca="1">ROUND((C5+C19)*F20,0)</f>
        <v>413334</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1326920</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1313079</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904</v>
      </c>
      <c r="D24" s="133"/>
      <c r="E24" s="133"/>
      <c r="F24" s="134"/>
      <c r="G24" s="135" t="s">
        <v>1525</v>
      </c>
    </row>
    <row r="25" spans="1:7" s="109" customFormat="1" ht="24">
      <c r="A25" s="513" t="s">
        <v>1445</v>
      </c>
      <c r="B25" s="110" t="s">
        <v>1526</v>
      </c>
      <c r="C25" s="133">
        <f ca="1">ROUND(IF('数据-取费表'!B22&lt;=1,C20*F22*'数据-取费表'!B22/2,C20*(POWER((1+F22),'数据-取费表'!B22/2)-1)),0)</f>
        <v>12937</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3162007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3162007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26203088</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518227</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448540</v>
      </c>
      <c r="D34" s="112"/>
      <c r="E34" s="115"/>
      <c r="F34" s="152"/>
      <c r="G34" s="114"/>
    </row>
    <row r="35" spans="1:7" ht="13.5" customHeight="1">
      <c r="A35" s="513" t="s">
        <v>349</v>
      </c>
      <c r="B35" s="110" t="s">
        <v>1470</v>
      </c>
      <c r="C35" s="115">
        <f ca="1">ROUND(C34*F35,0)</f>
        <v>26912</v>
      </c>
      <c r="D35" s="115"/>
      <c r="E35" s="115"/>
      <c r="F35" s="154">
        <f>'数据-取费表'!B33</f>
        <v>0.06</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38290</v>
      </c>
      <c r="D37" s="112">
        <f ca="1">D19</f>
        <v>109.4</v>
      </c>
      <c r="E37" s="144">
        <f>'数据-取费表'!B35</f>
        <v>350</v>
      </c>
      <c r="F37" s="154"/>
      <c r="G37" s="156"/>
    </row>
    <row r="38" spans="1:7" ht="13.5" customHeight="1">
      <c r="A38" s="513" t="s">
        <v>352</v>
      </c>
      <c r="B38" s="110" t="s">
        <v>1476</v>
      </c>
      <c r="C38" s="115">
        <f ca="1">ROUND(C34*F38,0)</f>
        <v>4485</v>
      </c>
      <c r="D38" s="115"/>
      <c r="E38" s="115"/>
      <c r="F38" s="154">
        <f>'数据-取费表'!B36</f>
        <v>0.01</v>
      </c>
      <c r="G38" s="114" t="s">
        <v>1471</v>
      </c>
    </row>
    <row r="39" spans="1:7" s="109" customFormat="1" ht="13.5" customHeight="1">
      <c r="A39" s="150" t="s">
        <v>1477</v>
      </c>
      <c r="B39" s="105" t="s">
        <v>1478</v>
      </c>
      <c r="C39" s="127">
        <f ca="1">ROUND(C33*F20,0)</f>
        <v>10365</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16545</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16221</v>
      </c>
      <c r="D42" s="133"/>
      <c r="E42" s="133"/>
      <c r="F42" s="134"/>
      <c r="G42" s="4447" t="s">
        <v>1530</v>
      </c>
    </row>
    <row r="43" spans="1:7" ht="13.5" customHeight="1">
      <c r="A43" s="513" t="s">
        <v>345</v>
      </c>
      <c r="B43" s="110" t="s">
        <v>1487</v>
      </c>
      <c r="C43" s="133">
        <f ca="1">ROUND(IF('数据-取费表'!B22&lt;=1,C39*F22*'数据-取费表'!B20/2,C39*(POWER((1+F22),'数据-取费表'!B20/2)-1)),0)</f>
        <v>324</v>
      </c>
      <c r="D43" s="133"/>
      <c r="E43" s="133"/>
      <c r="F43" s="134"/>
      <c r="G43" s="4449"/>
    </row>
    <row r="44" spans="1:7" ht="13.5" customHeight="1">
      <c r="A44" s="513" t="s">
        <v>346</v>
      </c>
      <c r="B44" s="110" t="s">
        <v>1488</v>
      </c>
      <c r="C44" s="133">
        <f ca="1">ROUND(IF('数据-取费表'!B22&lt;=1,C40*F22*'数据-取费表'!B20/2,C40*(POWER((1+F22),'数据-取费表'!B20/2)-1)),4)</f>
        <v>5.9999999999999995E-4</v>
      </c>
      <c r="D44" s="133"/>
      <c r="E44" s="133"/>
      <c r="F44" s="134"/>
      <c r="G44" s="4448"/>
    </row>
    <row r="45" spans="1:7" s="109" customFormat="1" ht="13.5" customHeight="1">
      <c r="A45" s="150" t="s">
        <v>1489</v>
      </c>
      <c r="B45" s="139" t="s">
        <v>1458</v>
      </c>
      <c r="C45" s="140">
        <f ca="1">C46</f>
        <v>79289</v>
      </c>
      <c r="D45" s="130">
        <f ca="1">C47</f>
        <v>3.0000000000000001E-3</v>
      </c>
      <c r="E45" s="131" t="s">
        <v>1482</v>
      </c>
      <c r="F45" s="141">
        <f ca="1">F27</f>
        <v>0.15</v>
      </c>
      <c r="G45" s="142" t="s">
        <v>1490</v>
      </c>
    </row>
    <row r="46" spans="1:7" s="109" customFormat="1" ht="13.5" customHeight="1">
      <c r="A46" s="513" t="s">
        <v>344</v>
      </c>
      <c r="B46" s="143" t="s">
        <v>1491</v>
      </c>
      <c r="C46" s="144">
        <f ca="1">ROUND((C33+C39)*F27,0)</f>
        <v>79289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639912</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511930</v>
      </c>
      <c r="D51" s="127"/>
      <c r="E51" s="127"/>
      <c r="F51" s="159"/>
      <c r="G51" s="129" t="s">
        <v>1499</v>
      </c>
    </row>
    <row r="52" spans="1:7" s="103" customFormat="1" ht="16.5" thickBot="1">
      <c r="A52" s="160" t="s">
        <v>1500</v>
      </c>
      <c r="B52" s="161"/>
      <c r="C52" s="162">
        <f ca="1">C31+C51</f>
        <v>26715018</v>
      </c>
      <c r="D52" s="161"/>
      <c r="E52" s="161"/>
      <c r="F52" s="161"/>
      <c r="G52" s="163"/>
    </row>
    <row r="55" spans="1:7" ht="15">
      <c r="B55" s="165" t="s">
        <v>1501</v>
      </c>
      <c r="C55" s="166"/>
    </row>
    <row r="56" spans="1:7">
      <c r="B56" s="168" t="s">
        <v>787</v>
      </c>
      <c r="C56" s="170">
        <f ca="1">1-C57</f>
        <v>0.98099999999999998</v>
      </c>
    </row>
    <row r="57" spans="1:7">
      <c r="B57" s="168" t="s">
        <v>788</v>
      </c>
      <c r="C57" s="169">
        <f ca="1">ROUND(C51/C52,3)</f>
        <v>1.9E-2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zoomScaleNormal="100" zoomScaleSheetLayoutView="100" workbookViewId="0">
      <selection activeCell="G65" sqref="G6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t="s">
        <v>41</v>
      </c>
      <c r="E1" s="916" t="s">
        <v>665</v>
      </c>
      <c r="F1" s="3413">
        <f ca="1">J62</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#DIV/0!</v>
      </c>
      <c r="C2" s="933" t="s">
        <v>790</v>
      </c>
      <c r="D2" s="3324"/>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3889</v>
      </c>
      <c r="B4" s="2724" t="s">
        <v>3890</v>
      </c>
      <c r="C4" s="3573" t="s">
        <v>3828</v>
      </c>
      <c r="D4" s="2724" t="s">
        <v>3891</v>
      </c>
      <c r="E4" s="4002" t="s">
        <v>3892</v>
      </c>
      <c r="F4" s="4003"/>
      <c r="G4" s="4004"/>
      <c r="H4" s="2723" t="s">
        <v>3889</v>
      </c>
      <c r="I4" s="2724" t="s">
        <v>3890</v>
      </c>
      <c r="J4" s="3573" t="s">
        <v>3828</v>
      </c>
      <c r="K4" s="2724" t="s">
        <v>3891</v>
      </c>
      <c r="L4" s="4002" t="s">
        <v>3892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3408</v>
      </c>
      <c r="C5" s="4096">
        <f ca="1">ROUND(C6+C10+C12,0)</f>
        <v>0</v>
      </c>
      <c r="D5" s="4005" t="s">
        <v>3895</v>
      </c>
      <c r="E5" s="4006"/>
      <c r="F5" s="4007"/>
      <c r="G5" s="4004"/>
      <c r="H5" s="183">
        <v>1</v>
      </c>
      <c r="I5" s="3916" t="s">
        <v>3408</v>
      </c>
      <c r="J5" s="4096">
        <f ca="1">ROUND(J6+J10+J12,0)</f>
        <v>0</v>
      </c>
      <c r="K5" s="4005" t="s">
        <v>3895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3858">
        <f ca="1">C7-C9</f>
        <v>0</v>
      </c>
      <c r="D6" s="2715" t="s">
        <v>3809</v>
      </c>
      <c r="E6" s="2713" t="s">
        <v>3406</v>
      </c>
      <c r="F6" s="3029">
        <f ca="1">INDIRECT("'数据-取费表'!u"&amp;$G$1)</f>
        <v>0</v>
      </c>
      <c r="G6" s="936"/>
      <c r="H6" s="707" t="s">
        <v>392</v>
      </c>
      <c r="I6" s="2714" t="s">
        <v>3805</v>
      </c>
      <c r="J6" s="4090">
        <f ca="1">J7-J9</f>
        <v>0</v>
      </c>
      <c r="K6" s="2715" t="s">
        <v>3809</v>
      </c>
      <c r="L6" s="2713" t="s">
        <v>3406</v>
      </c>
      <c r="M6" s="3029">
        <f ca="1">INDIRECT("'数据-取费表'!z"&amp;$G$1)</f>
        <v>0</v>
      </c>
    </row>
    <row r="7" spans="1:37" ht="18" customHeight="1">
      <c r="A7" s="4459" t="s">
        <v>391</v>
      </c>
      <c r="B7" s="4452" t="s">
        <v>3803</v>
      </c>
      <c r="C7" s="4454">
        <f ca="1">ROUND(F6*F7*F8/10000,2)</f>
        <v>0</v>
      </c>
      <c r="D7" s="4455" t="s">
        <v>3479</v>
      </c>
      <c r="E7" s="714" t="s">
        <v>682</v>
      </c>
      <c r="F7" s="2762">
        <f ca="1">IF(INDIRECT("'数据-取费表'!ah"&amp;$G$1)="",INDIRECT("'数据-取费表'!k"&amp;$G$1),INDIRECT("'数据-取费表'!ah"&amp;$G$1))</f>
        <v>0</v>
      </c>
      <c r="G7" s="936"/>
      <c r="H7" s="4459" t="s">
        <v>391</v>
      </c>
      <c r="I7" s="4452" t="s">
        <v>3803</v>
      </c>
      <c r="J7" s="4461">
        <f ca="1">ROUND(M6*M8*M7/10000,2)</f>
        <v>0</v>
      </c>
      <c r="K7" s="4455" t="s">
        <v>3479</v>
      </c>
      <c r="L7" s="186" t="s">
        <v>682</v>
      </c>
      <c r="M7" s="2762">
        <f ca="1">F7</f>
        <v>0</v>
      </c>
    </row>
    <row r="8" spans="1:37" ht="18" customHeight="1">
      <c r="A8" s="4460"/>
      <c r="B8" s="4453"/>
      <c r="C8" s="4454"/>
      <c r="D8" s="4455"/>
      <c r="E8" s="186" t="str">
        <f ca="1">IF(F8=1,"年",IF(F8=12,"月","天"))</f>
        <v>天</v>
      </c>
      <c r="F8" s="3414">
        <f ca="1">INDIRECT("'数据-取费表'!ai"&amp;$G$1)</f>
        <v>0</v>
      </c>
      <c r="G8" s="936"/>
      <c r="H8" s="4460"/>
      <c r="I8" s="4453"/>
      <c r="J8" s="4461"/>
      <c r="K8" s="4455"/>
      <c r="L8" s="186" t="str">
        <f ca="1">IF(M8=1,"年",IF(M8=12,"月","天"))</f>
        <v>天</v>
      </c>
      <c r="M8" s="3414">
        <f ca="1">INDIRECT("'数据-取费表'!ai"&amp;$G$1)</f>
        <v>0</v>
      </c>
    </row>
    <row r="9" spans="1:37" ht="18" customHeight="1">
      <c r="A9" s="2700" t="s">
        <v>3407</v>
      </c>
      <c r="B9" s="4089" t="s">
        <v>3804</v>
      </c>
      <c r="C9" s="4088">
        <f ca="1">ROUND(C7*F9,2)</f>
        <v>0</v>
      </c>
      <c r="D9" s="2715" t="s">
        <v>3808</v>
      </c>
      <c r="E9" s="186" t="s">
        <v>684</v>
      </c>
      <c r="F9" s="2768">
        <f ca="1">INDIRECT("'数据-取费表'!w"&amp;$G$1)</f>
        <v>0</v>
      </c>
      <c r="G9" s="936"/>
      <c r="H9" s="2700" t="s">
        <v>3407</v>
      </c>
      <c r="I9" s="4089" t="s">
        <v>3804</v>
      </c>
      <c r="J9" s="4090">
        <f ca="1">ROUND(J7*M9,2)</f>
        <v>0</v>
      </c>
      <c r="K9" s="2715" t="s">
        <v>3808</v>
      </c>
      <c r="L9" s="197" t="s">
        <v>684</v>
      </c>
      <c r="M9" s="2830">
        <f ca="1">INDIRECT("'数据-取费表'!ab"&amp;$G$1)</f>
        <v>0</v>
      </c>
    </row>
    <row r="10" spans="1:37" ht="18" customHeight="1">
      <c r="A10" s="707" t="s">
        <v>396</v>
      </c>
      <c r="B10" s="918" t="s">
        <v>685</v>
      </c>
      <c r="C10" s="4090">
        <f ca="1">ROUND(IF(F10="押一",C6/12*F11,IF(F10="押二",C6/12*2*F11,IF(F10="押三",C6/12*3*F11,C11*F11))),2)</f>
        <v>0</v>
      </c>
      <c r="D10" s="59" t="s">
        <v>2024</v>
      </c>
      <c r="E10" s="197" t="s">
        <v>686</v>
      </c>
      <c r="F10" s="2764"/>
      <c r="G10" s="936"/>
      <c r="H10" s="707" t="s">
        <v>396</v>
      </c>
      <c r="I10" s="918" t="s">
        <v>685</v>
      </c>
      <c r="J10" s="4091">
        <f ca="1">ROUND(IF(M10="押一",J6/12*M11,IF(M10="押二",J6/12*2*M11,IF(M10="押三",J6/12*3*M11,J11*M11))),2)</f>
        <v>0</v>
      </c>
      <c r="K10" s="59" t="s">
        <v>2023</v>
      </c>
      <c r="L10" s="197" t="s">
        <v>686</v>
      </c>
      <c r="M10" s="2764"/>
    </row>
    <row r="11" spans="1:37" ht="18" customHeight="1">
      <c r="A11" s="192"/>
      <c r="B11" s="3024" t="str">
        <f>IF(OR(F10="自定义",F10=" "),"（自定义押金）","")</f>
        <v/>
      </c>
      <c r="C11" s="2718"/>
      <c r="D11" s="920"/>
      <c r="E11" s="197" t="s">
        <v>687</v>
      </c>
      <c r="F11" s="2830">
        <f ca="1">'数据-取费表'!B40</f>
        <v>1.4999999999999999E-2</v>
      </c>
      <c r="G11" s="936"/>
      <c r="H11" s="715"/>
      <c r="I11" s="3024" t="str">
        <f>IF(OR(M10="自定义",M10=" "),"（自定义押金）","")</f>
        <v/>
      </c>
      <c r="J11" s="2718"/>
      <c r="K11" s="464"/>
      <c r="L11" s="197" t="s">
        <v>687</v>
      </c>
      <c r="M11" s="3435">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1"/>
    </row>
    <row r="13" spans="1:37" s="118" customFormat="1" ht="18" customHeight="1" thickTop="1">
      <c r="A13" s="716" t="s">
        <v>3686</v>
      </c>
      <c r="B13" s="717" t="s">
        <v>3896</v>
      </c>
      <c r="C13" s="3856">
        <f ca="1">ROUND(C14+C22+C24+C26,0)</f>
        <v>0</v>
      </c>
      <c r="D13" s="4008" t="s">
        <v>3897</v>
      </c>
      <c r="E13" s="4009"/>
      <c r="F13" s="4007"/>
      <c r="G13" s="4004"/>
      <c r="H13" s="716" t="s">
        <v>3686</v>
      </c>
      <c r="I13" s="717" t="s">
        <v>3896</v>
      </c>
      <c r="J13" s="3856">
        <f ca="1">ROUND(J14+J22+J24+J26,0)</f>
        <v>0</v>
      </c>
      <c r="K13" s="4010" t="s">
        <v>3898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3982</v>
      </c>
      <c r="C14" s="4090">
        <f ca="1">ROUND(IF(AND(项目基本情况!B11="自然人",项目基本情况!B10="北京市",M56="住宅"),C6*F14,C15+C19+C20),2)</f>
        <v>0</v>
      </c>
      <c r="D14" s="901" t="s">
        <v>3451</v>
      </c>
      <c r="E14" s="901" t="str">
        <f>IF(M56="非住宅","","综合税率")</f>
        <v/>
      </c>
      <c r="F14" s="3840" t="str">
        <f>IF(M56="非住宅","",IF(F6*F7*F8/12/(1+'数据-取费表'!F30)&gt;100000,4%,2.5%))</f>
        <v/>
      </c>
      <c r="G14" s="936"/>
      <c r="H14" s="658" t="s">
        <v>392</v>
      </c>
      <c r="I14" s="2713" t="s">
        <v>3982</v>
      </c>
      <c r="J14" s="4090">
        <f ca="1">ROUND(IF(AND(项目基本情况!B11="自然人",项目基本情况!B10="北京市",M56="住宅"),J6*M14/(1+'数据-取费表'!C43),J15+J19+J20),2)</f>
        <v>0</v>
      </c>
      <c r="K14" s="2740" t="s">
        <v>3450</v>
      </c>
      <c r="L14" s="901" t="str">
        <f>E14</f>
        <v/>
      </c>
      <c r="M14" s="3840" t="str">
        <f>IF(M56="非住宅","",IF(M6*M7*M8/12/(1+'数据-取费表'!F30)&gt;100000,4%,2.5%))</f>
        <v/>
      </c>
    </row>
    <row r="15" spans="1:37" s="947" customFormat="1" ht="18" customHeight="1">
      <c r="A15" s="2700" t="s">
        <v>3409</v>
      </c>
      <c r="B15" s="2713" t="s">
        <v>3978</v>
      </c>
      <c r="C15" s="4090">
        <f ca="1">C18</f>
        <v>0</v>
      </c>
      <c r="D15" s="2430" t="s">
        <v>3987</v>
      </c>
      <c r="E15" s="4093"/>
      <c r="F15" s="4126"/>
      <c r="G15" s="946"/>
      <c r="H15" s="2700" t="s">
        <v>391</v>
      </c>
      <c r="I15" s="2713" t="s">
        <v>3978</v>
      </c>
      <c r="J15" s="4090">
        <f ca="1">J18</f>
        <v>0</v>
      </c>
      <c r="K15" s="2430" t="s">
        <v>3977</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720">
        <f ca="1">ROUND(C6*F16,2)</f>
        <v>0</v>
      </c>
      <c r="D16" s="995" t="s">
        <v>3867</v>
      </c>
      <c r="E16" s="2721" t="s">
        <v>3412</v>
      </c>
      <c r="F16" s="2766">
        <v>0.09</v>
      </c>
      <c r="G16" s="936"/>
      <c r="H16" s="2505" t="s">
        <v>3292</v>
      </c>
      <c r="I16" s="2717" t="s">
        <v>3410</v>
      </c>
      <c r="J16" s="2720">
        <f ca="1">ROUND(J6*M16,2)</f>
        <v>0</v>
      </c>
      <c r="K16" s="3982" t="s">
        <v>3873</v>
      </c>
      <c r="L16" s="2721" t="s">
        <v>3412</v>
      </c>
      <c r="M16" s="2766">
        <v>0.09</v>
      </c>
    </row>
    <row r="17" spans="1:37" s="947" customFormat="1" ht="18" customHeight="1">
      <c r="A17" s="2505" t="s">
        <v>3293</v>
      </c>
      <c r="B17" s="2717" t="s">
        <v>3411</v>
      </c>
      <c r="C17" s="2741">
        <f ca="1">ROUND(C22*F16+((C24+C26)*F17),2)</f>
        <v>0</v>
      </c>
      <c r="D17" s="3981" t="s">
        <v>3868</v>
      </c>
      <c r="E17" s="2722"/>
      <c r="F17" s="2766">
        <v>0.06</v>
      </c>
      <c r="G17" s="946"/>
      <c r="H17" s="2505" t="s">
        <v>3293</v>
      </c>
      <c r="I17" s="2717" t="s">
        <v>3411</v>
      </c>
      <c r="J17" s="2741">
        <f ca="1">ROUND(J22*M16+((J24+J26)*M17),2)</f>
        <v>0</v>
      </c>
      <c r="K17" s="3981" t="s">
        <v>3868</v>
      </c>
      <c r="L17" s="2722"/>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3996</v>
      </c>
      <c r="C18" s="2741">
        <f ca="1">ROUND((C16-C17)*F18,2)</f>
        <v>0</v>
      </c>
      <c r="D18" s="2740" t="s">
        <v>3997</v>
      </c>
      <c r="E18" s="186" t="s">
        <v>3998</v>
      </c>
      <c r="F18" s="2766">
        <f>'数据-取费表'!B44</f>
        <v>0.12000000000000001</v>
      </c>
      <c r="G18" s="946"/>
      <c r="H18" s="2505" t="s">
        <v>3975</v>
      </c>
      <c r="I18" s="2717" t="s">
        <v>3974</v>
      </c>
      <c r="J18" s="2741">
        <f ca="1">ROUND((J16-J17)*M18,2)</f>
        <v>0</v>
      </c>
      <c r="K18" s="2740" t="s">
        <v>3997</v>
      </c>
      <c r="L18" s="186" t="s">
        <v>3998</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3983</v>
      </c>
      <c r="C19" s="4090">
        <f ca="1">IF(AND(项目基本情况!B11="自然人",M56="住宅"),"——",IF(D19="按不含税租金收入（有效毛租金收入）计税",ROUND(C6*F19,2),IF(D19="按房产原值计税",ROUND(C51*F19*0.7,2),INDIRECT("'数据-取费表'!Aj"&amp;$G$1))))</f>
        <v>0</v>
      </c>
      <c r="D19" s="2716"/>
      <c r="E19" s="186" t="s">
        <v>697</v>
      </c>
      <c r="F19" s="2766">
        <f>IF(D19="按票据","——",IF(D19="按不含税租金收入（有效毛租金收入）计税",'数据-取费表'!B52,'数据-取费表'!B51))</f>
        <v>1.2E-2</v>
      </c>
      <c r="G19" s="946"/>
      <c r="H19" s="2700" t="s">
        <v>393</v>
      </c>
      <c r="I19" s="2713" t="s">
        <v>3984</v>
      </c>
      <c r="J19" s="4090">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3980</v>
      </c>
      <c r="C20" s="4091">
        <f ca="1">IF(AND(项目基本情况!B11="自然人",M56="住宅"),"——",ROUND(F20*F21/10000,2))</f>
        <v>0</v>
      </c>
      <c r="D20" s="207" t="s">
        <v>716</v>
      </c>
      <c r="E20" s="186" t="s">
        <v>717</v>
      </c>
      <c r="F20" s="2767">
        <f>'数据-取费表'!B53</f>
        <v>0</v>
      </c>
      <c r="G20" s="936"/>
      <c r="H20" s="4094" t="s">
        <v>666</v>
      </c>
      <c r="I20" s="928" t="s">
        <v>3980</v>
      </c>
      <c r="J20" s="4091">
        <f ca="1">ROUND(M20*M21/10000,2)</f>
        <v>0</v>
      </c>
      <c r="K20" s="207" t="s">
        <v>716</v>
      </c>
      <c r="L20" s="186" t="s">
        <v>717</v>
      </c>
      <c r="M20" s="2767">
        <f>'数据-取费表'!B53</f>
        <v>0</v>
      </c>
    </row>
    <row r="21" spans="1:37" s="947" customFormat="1" ht="18" customHeight="1">
      <c r="A21" s="209"/>
      <c r="B21" s="738"/>
      <c r="C21" s="4092"/>
      <c r="D21" s="210"/>
      <c r="E21" s="186" t="s">
        <v>721</v>
      </c>
      <c r="F21" s="2762">
        <f ca="1">INDIRECT("'数据-取费表'!r"&amp;$G$1)</f>
        <v>0</v>
      </c>
      <c r="G21" s="946"/>
      <c r="H21" s="209"/>
      <c r="I21" s="195"/>
      <c r="J21" s="4092"/>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f ca="1">ROUND(C51*F22,2)</f>
        <v>0</v>
      </c>
      <c r="D22" s="1776" t="s">
        <v>3829</v>
      </c>
      <c r="E22" s="186" t="s">
        <v>697</v>
      </c>
      <c r="F22" s="2768">
        <f ca="1">INDIRECT("'数据-取费表'!Ak"&amp;$G$1)</f>
        <v>0</v>
      </c>
      <c r="G22" s="946"/>
      <c r="H22" s="3862" t="s">
        <v>396</v>
      </c>
      <c r="I22" s="56" t="s">
        <v>723</v>
      </c>
      <c r="J22" s="3863">
        <f ca="1">ROUND(J35*M22,2)</f>
        <v>0</v>
      </c>
      <c r="K22" s="1776"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3830</v>
      </c>
      <c r="F23" s="3414">
        <f ca="1">C51</f>
        <v>0</v>
      </c>
      <c r="G23" s="946"/>
      <c r="H23" s="209"/>
      <c r="I23" s="195"/>
      <c r="J23" s="3864"/>
      <c r="K23" s="3929"/>
      <c r="L23" s="2713" t="s">
        <v>3830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f ca="1">ROUND(C53*F24,2)</f>
        <v>0</v>
      </c>
      <c r="D24" s="1776" t="s">
        <v>3448</v>
      </c>
      <c r="E24" s="186" t="s">
        <v>729</v>
      </c>
      <c r="F24" s="2768">
        <f ca="1">INDIRECT("'数据-取费表'!Al"&amp;$G$1)</f>
        <v>0</v>
      </c>
      <c r="G24" s="936"/>
      <c r="H24" s="3862" t="s">
        <v>431</v>
      </c>
      <c r="I24" s="56" t="s">
        <v>727</v>
      </c>
      <c r="J24" s="3863">
        <f ca="1">ROUND(J37*M24,2)</f>
        <v>0</v>
      </c>
      <c r="K24" s="1776" t="s">
        <v>3833</v>
      </c>
      <c r="L24" s="186" t="s">
        <v>729</v>
      </c>
      <c r="M24" s="2768">
        <f ca="1">INDIRECT("'数据-取费表'!Al"&amp;$G$1)</f>
        <v>0</v>
      </c>
    </row>
    <row r="25" spans="1:37" ht="18" customHeight="1">
      <c r="A25" s="209"/>
      <c r="B25" s="195"/>
      <c r="C25" s="3864"/>
      <c r="D25" s="3929"/>
      <c r="E25" s="3928" t="s">
        <v>3831</v>
      </c>
      <c r="F25" s="3414">
        <f ca="1">C53</f>
        <v>0</v>
      </c>
      <c r="G25" s="936"/>
      <c r="H25" s="209"/>
      <c r="I25" s="195"/>
      <c r="J25" s="3864"/>
      <c r="K25" s="3929"/>
      <c r="L25" s="3928" t="s">
        <v>3831</v>
      </c>
      <c r="M25" s="3414">
        <f ca="1">J37</f>
        <v>0</v>
      </c>
    </row>
    <row r="26" spans="1:37" s="947" customFormat="1" ht="18" customHeight="1" thickBot="1">
      <c r="A26" s="726" t="s">
        <v>670</v>
      </c>
      <c r="B26" s="727" t="s">
        <v>713</v>
      </c>
      <c r="C26" s="2719">
        <f ca="1">ROUND(C5*F26,2)</f>
        <v>0</v>
      </c>
      <c r="D26" s="729" t="s">
        <v>3874</v>
      </c>
      <c r="E26" s="727" t="s">
        <v>729</v>
      </c>
      <c r="F26" s="2831">
        <f ca="1">INDIRECT("'数据-取费表'!Am"&amp;$G$1)</f>
        <v>0</v>
      </c>
      <c r="G26" s="946"/>
      <c r="H26" s="726" t="s">
        <v>670</v>
      </c>
      <c r="I26" s="727" t="s">
        <v>713</v>
      </c>
      <c r="J26" s="2719">
        <f ca="1">ROUND(J5*M26,2)</f>
        <v>0</v>
      </c>
      <c r="K26" s="729" t="s">
        <v>3876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6">
        <f ca="1">C5-C13</f>
        <v>0</v>
      </c>
      <c r="D27" s="4012" t="s">
        <v>3900</v>
      </c>
      <c r="E27" s="4013"/>
      <c r="F27" s="4014"/>
      <c r="G27" s="498"/>
      <c r="H27" s="716" t="s">
        <v>3304</v>
      </c>
      <c r="I27" s="731" t="s">
        <v>3899</v>
      </c>
      <c r="J27" s="3856">
        <f ca="1">J5-J13</f>
        <v>0</v>
      </c>
      <c r="K27" s="4012" t="s">
        <v>3900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1">
        <f ca="1">IF(C5&lt;&gt;0,ROUND(C27*(1-((1+F30)/(1+F28))^F29)/(F28-F30),0),0)</f>
        <v>0</v>
      </c>
      <c r="D28" s="4016" t="s">
        <v>3902</v>
      </c>
      <c r="E28" s="2725" t="s">
        <v>3903</v>
      </c>
      <c r="F28" s="2768">
        <f ca="1">INDIRECT("'数据-取费表'!I"&amp;$G$1)</f>
        <v>0</v>
      </c>
      <c r="G28" s="4004"/>
      <c r="H28" s="183" t="s">
        <v>3688</v>
      </c>
      <c r="I28" s="184" t="s">
        <v>3904</v>
      </c>
      <c r="J28" s="3931">
        <f ca="1">IF(J5&lt;&gt;0,ROUND(J27*(1-((1+M30)/(1+M28))^M29)/(M28-M30),0),0)</f>
        <v>0</v>
      </c>
      <c r="K28" s="4016" t="s">
        <v>3902</v>
      </c>
      <c r="L28" s="4017" t="s">
        <v>3903</v>
      </c>
      <c r="M28" s="2830">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3905</v>
      </c>
      <c r="E29" s="2725" t="s">
        <v>3906</v>
      </c>
      <c r="F29" s="2769">
        <f ca="1">IF(INDIRECT("'数据-取费表'!af"&amp;$G$1)=0,INDIRECT("'数据-取费表'!ae"&amp;$G$1),INDIRECT("'数据-取费表'!af"&amp;$G$1))</f>
        <v>0</v>
      </c>
      <c r="G29" s="4004"/>
      <c r="H29" s="188"/>
      <c r="I29" s="189"/>
      <c r="J29" s="3932"/>
      <c r="K29" s="64" t="s">
        <v>3907</v>
      </c>
      <c r="L29" s="2725" t="s">
        <v>3906</v>
      </c>
      <c r="M29" s="2769">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v>
      </c>
      <c r="G30" s="4004"/>
      <c r="H30" s="192"/>
      <c r="I30" s="193"/>
      <c r="J30" s="3933"/>
      <c r="K30" s="64"/>
      <c r="L30" s="2725" t="s">
        <v>3908</v>
      </c>
      <c r="M30" s="2768">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0</v>
      </c>
      <c r="D31" s="4019" t="s">
        <v>3692</v>
      </c>
      <c r="E31" s="4020" t="str">
        <f>IF(D31="其他类型公式—收益价值×（1+9%）","销项税率","征收率")</f>
        <v>销项税率</v>
      </c>
      <c r="F31" s="2768">
        <f>IF(D31="其他类型公式—收益价值×（1+9%）",9%,3%)</f>
        <v>0.09</v>
      </c>
      <c r="G31" s="498"/>
      <c r="H31" s="199" t="s">
        <v>3689</v>
      </c>
      <c r="I31" s="2725" t="s">
        <v>3910</v>
      </c>
      <c r="J31" s="2743">
        <f ca="1">ROUND(J28/(1+F28)^F29,0)</f>
        <v>0</v>
      </c>
      <c r="K31" s="3925" t="s">
        <v>3823</v>
      </c>
      <c r="L31" s="2725"/>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3911</v>
      </c>
      <c r="E32" s="217" t="s">
        <v>3912</v>
      </c>
      <c r="F32" s="2770">
        <f ca="1">INDIRECT("'数据-取费表'!k"&amp;$G$1)</f>
        <v>0</v>
      </c>
      <c r="G32" s="498"/>
      <c r="H32" s="3834" t="s">
        <v>3690</v>
      </c>
      <c r="I32" s="3835" t="s">
        <v>3913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6"/>
    </row>
    <row r="34" spans="1:37" s="118" customFormat="1" ht="18" customHeight="1">
      <c r="A34" s="3997" t="s">
        <v>3889</v>
      </c>
      <c r="B34" s="3998" t="s">
        <v>3890</v>
      </c>
      <c r="C34" s="3999" t="s">
        <v>3828</v>
      </c>
      <c r="D34" s="3998" t="s">
        <v>3891</v>
      </c>
      <c r="E34" s="4000" t="s">
        <v>3892</v>
      </c>
      <c r="F34" s="4001"/>
      <c r="G34" s="4004"/>
      <c r="H34" s="3997" t="s">
        <v>3889</v>
      </c>
      <c r="I34" s="3998" t="s">
        <v>3890</v>
      </c>
      <c r="J34" s="3999" t="s">
        <v>3828</v>
      </c>
      <c r="K34" s="3998" t="s">
        <v>3891</v>
      </c>
      <c r="L34" s="4000" t="s">
        <v>3892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3413</v>
      </c>
      <c r="B35" s="2725" t="s">
        <v>3414</v>
      </c>
      <c r="C35" s="2743">
        <f ca="1">SUM(C36:C41)</f>
        <v>0</v>
      </c>
      <c r="D35" s="3925" t="s">
        <v>3421</v>
      </c>
      <c r="E35" s="995"/>
      <c r="F35" s="3278"/>
      <c r="G35" s="936"/>
      <c r="H35" s="3926" t="s">
        <v>3413</v>
      </c>
      <c r="I35" s="3927" t="s">
        <v>3453</v>
      </c>
      <c r="J35" s="2702">
        <f ca="1">C51</f>
        <v>0</v>
      </c>
      <c r="K35" s="2739" t="s">
        <v>3449</v>
      </c>
      <c r="L35" s="55"/>
      <c r="M35" s="2680"/>
    </row>
    <row r="36" spans="1:37" ht="18" customHeight="1">
      <c r="A36" s="2700" t="s">
        <v>3409</v>
      </c>
      <c r="B36" s="2665" t="s">
        <v>692</v>
      </c>
      <c r="C36" s="2610">
        <f ca="1">INDIRECT("'数据-取费表'!m"&amp;$G$1)+INDIRECT("'数据-取费表'!t"&amp;$G$1)</f>
        <v>0</v>
      </c>
      <c r="D36" s="900" t="s">
        <v>693</v>
      </c>
      <c r="E36" s="900"/>
      <c r="F36" s="215"/>
      <c r="G36" s="936"/>
      <c r="H36" s="2747" t="s">
        <v>3454</v>
      </c>
      <c r="I36" s="2752" t="s">
        <v>3441</v>
      </c>
      <c r="J36" s="2650">
        <f ca="1">ROUND(J35*(1-M36),0)</f>
        <v>0</v>
      </c>
      <c r="K36" s="186" t="s">
        <v>3444</v>
      </c>
      <c r="L36" s="2715" t="s">
        <v>3456</v>
      </c>
      <c r="M36" s="2768">
        <f ca="1">INDIRECT("'数据-取费表'!ad"&amp;$G$1)</f>
        <v>0</v>
      </c>
    </row>
    <row r="37" spans="1:37" ht="18" customHeight="1" thickBot="1">
      <c r="A37" s="2700" t="s">
        <v>3415</v>
      </c>
      <c r="B37" s="2717" t="s">
        <v>3875</v>
      </c>
      <c r="C37" s="2702">
        <f ca="1">ROUND(C36*F37,0)</f>
        <v>0</v>
      </c>
      <c r="D37" s="186" t="s">
        <v>696</v>
      </c>
      <c r="E37" s="186" t="s">
        <v>697</v>
      </c>
      <c r="F37" s="2766">
        <f>'数据-取费表'!B33</f>
        <v>0.06</v>
      </c>
      <c r="G37" s="936"/>
      <c r="H37" s="2748" t="s">
        <v>3455</v>
      </c>
      <c r="I37" s="3930" t="s">
        <v>3832</v>
      </c>
      <c r="J37" s="2754">
        <f ca="1">J35-J36</f>
        <v>0</v>
      </c>
      <c r="K37" s="2734" t="s">
        <v>3480</v>
      </c>
      <c r="L37" s="219"/>
      <c r="M37" s="2755"/>
    </row>
    <row r="38" spans="1:37" ht="18" customHeight="1">
      <c r="A38" s="2700" t="s">
        <v>3416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ROUND(F39*(F32+INDIRECT("'数据-取费表'!S"&amp;$G$1))/10000,0)</f>
        <v>0</v>
      </c>
      <c r="D39" s="186" t="s">
        <v>702</v>
      </c>
      <c r="E39" s="186" t="s">
        <v>3825</v>
      </c>
      <c r="F39" s="2767">
        <f>'数据-取费表'!B35</f>
        <v>350</v>
      </c>
      <c r="G39" s="936"/>
    </row>
    <row r="40" spans="1:37" ht="18" customHeight="1">
      <c r="A40" s="2700" t="s">
        <v>3418</v>
      </c>
      <c r="B40" s="2717" t="s">
        <v>3419</v>
      </c>
      <c r="C40" s="2702">
        <f ca="1">ROUND(C36*F40,0)</f>
        <v>0</v>
      </c>
      <c r="D40" s="186" t="s">
        <v>696</v>
      </c>
      <c r="E40" s="186" t="s">
        <v>697</v>
      </c>
      <c r="F40" s="2766">
        <f>'数据-取费表'!B36</f>
        <v>0.01</v>
      </c>
      <c r="G40" s="936"/>
      <c r="H40" s="47"/>
      <c r="I40" s="47"/>
      <c r="J40" s="47"/>
      <c r="K40" s="1861"/>
      <c r="L40" s="47"/>
      <c r="M40" s="47"/>
    </row>
    <row r="41" spans="1:37" ht="18" customHeight="1">
      <c r="A41" s="2700" t="s">
        <v>3418</v>
      </c>
      <c r="B41" s="2717" t="s">
        <v>3420</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0</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3826</v>
      </c>
      <c r="E43" s="2725" t="s">
        <v>3827</v>
      </c>
      <c r="F43" s="2768">
        <f>'数据-取费表'!B39</f>
        <v>0.02</v>
      </c>
      <c r="G43" s="936"/>
      <c r="H43" s="47"/>
      <c r="I43" s="47"/>
      <c r="J43" s="47"/>
      <c r="K43" s="1861"/>
      <c r="L43" s="47"/>
      <c r="M43" s="47"/>
    </row>
    <row r="44" spans="1:37" ht="18" customHeight="1">
      <c r="A44" s="199" t="s">
        <v>3436</v>
      </c>
      <c r="B44" s="2728" t="s">
        <v>3422</v>
      </c>
      <c r="C44" s="3417" t="str">
        <f ca="1">C45&amp;"+"&amp;C46&amp;"V建"</f>
        <v>0+0.0006V建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3423</v>
      </c>
      <c r="C47" s="3417" t="str">
        <f ca="1">C48&amp;"+"&amp;C49&amp;"V建"</f>
        <v>0+0V建</v>
      </c>
      <c r="D47" s="2684" t="s">
        <v>3438</v>
      </c>
      <c r="E47" s="200"/>
      <c r="F47" s="2767"/>
      <c r="G47" s="936"/>
      <c r="H47" s="47"/>
      <c r="I47" s="47"/>
      <c r="J47" s="47"/>
      <c r="K47" s="1861"/>
      <c r="L47" s="47"/>
      <c r="M47" s="47"/>
    </row>
    <row r="48" spans="1:37" ht="18" customHeight="1">
      <c r="A48" s="2700" t="s">
        <v>391</v>
      </c>
      <c r="B48" s="186" t="s">
        <v>739</v>
      </c>
      <c r="C48" s="2702">
        <f ca="1">ROUND((C35+C42)*F48,0)</f>
        <v>0</v>
      </c>
      <c r="D48" s="206" t="s">
        <v>740</v>
      </c>
      <c r="E48" s="186" t="s">
        <v>741</v>
      </c>
      <c r="F48" s="2768">
        <f ca="1">INDIRECT("'数据-取费表'!q"&amp;$G$1)</f>
        <v>0</v>
      </c>
      <c r="G48" s="936"/>
      <c r="H48" s="47"/>
      <c r="I48" s="47"/>
      <c r="J48" s="47"/>
      <c r="K48" s="1861"/>
      <c r="L48" s="47"/>
      <c r="M48" s="47"/>
    </row>
    <row r="49" spans="1:18" ht="18" customHeight="1">
      <c r="A49" s="2700" t="s">
        <v>393</v>
      </c>
      <c r="B49" s="186" t="s">
        <v>745</v>
      </c>
      <c r="C49" s="3418">
        <f ca="1">ROUND(F43*F48,4)</f>
        <v>0</v>
      </c>
      <c r="D49" s="206" t="s">
        <v>746</v>
      </c>
      <c r="E49" s="186"/>
      <c r="F49" s="2766"/>
      <c r="G49" s="936"/>
      <c r="H49" s="47"/>
      <c r="I49" s="47"/>
      <c r="J49" s="47"/>
      <c r="K49" s="1861"/>
      <c r="L49" s="47"/>
      <c r="M49" s="47"/>
    </row>
    <row r="50" spans="1:18" ht="18" customHeight="1">
      <c r="A50" s="199" t="s">
        <v>3424</v>
      </c>
      <c r="B50" s="2725" t="s">
        <v>3425</v>
      </c>
      <c r="C50" s="2743">
        <f>ROUND(F50/(1+'数据-取费表'!C43),4)</f>
        <v>0</v>
      </c>
      <c r="D50" s="3984" t="s">
        <v>3881</v>
      </c>
      <c r="E50" s="2725"/>
      <c r="F50" s="2768"/>
      <c r="G50" s="936"/>
      <c r="H50" s="47"/>
      <c r="I50" s="47"/>
      <c r="J50" s="47"/>
      <c r="K50" s="1861"/>
      <c r="L50" s="47"/>
      <c r="M50" s="47"/>
    </row>
    <row r="51" spans="1:18" s="936" customFormat="1" ht="18" customHeight="1">
      <c r="A51" s="199" t="s">
        <v>3426</v>
      </c>
      <c r="B51" s="2725" t="s">
        <v>3427</v>
      </c>
      <c r="C51" s="2743">
        <f ca="1">ROUND((C35+C42+C45+C48)/(1-F43-C46-C49-C50),0)</f>
        <v>0</v>
      </c>
      <c r="D51" s="2739" t="s">
        <v>3449</v>
      </c>
      <c r="E51" s="2725"/>
      <c r="F51" s="2768"/>
      <c r="K51" s="952"/>
    </row>
    <row r="52" spans="1:18" s="936" customFormat="1" ht="18" customHeight="1">
      <c r="A52" s="2729" t="s">
        <v>3440</v>
      </c>
      <c r="B52" s="2728" t="s">
        <v>3441</v>
      </c>
      <c r="C52" s="2743">
        <f ca="1">ROUND(C51*(1-F52),0)</f>
        <v>0</v>
      </c>
      <c r="D52" s="2725" t="s">
        <v>3893</v>
      </c>
      <c r="E52" s="2725" t="s">
        <v>3894</v>
      </c>
      <c r="F52" s="2768">
        <f ca="1">INDIRECT("'数据-取费表'!y"&amp;$G$1)</f>
        <v>0</v>
      </c>
      <c r="K52" s="952"/>
    </row>
    <row r="53" spans="1:18" s="936" customFormat="1" ht="18" customHeight="1" thickBot="1">
      <c r="A53" s="2730" t="s">
        <v>3442</v>
      </c>
      <c r="B53" s="2738" t="s">
        <v>3447</v>
      </c>
      <c r="C53" s="2754">
        <f ca="1">C51-C52</f>
        <v>0</v>
      </c>
      <c r="D53" s="2734" t="s">
        <v>3480</v>
      </c>
      <c r="E53" s="217"/>
      <c r="F53" s="2735"/>
      <c r="K53" s="952"/>
    </row>
    <row r="54" spans="1:18" s="936" customFormat="1" ht="18" customHeight="1" thickBot="1">
      <c r="A54" s="950"/>
      <c r="B54" s="950"/>
      <c r="C54" s="951"/>
      <c r="D54" s="950"/>
      <c r="E54" s="950"/>
      <c r="F54" s="950"/>
      <c r="I54" s="2756" t="s">
        <v>3457</v>
      </c>
      <c r="J54" s="494"/>
      <c r="O54" s="1965" t="s">
        <v>793</v>
      </c>
      <c r="P54" s="1009"/>
      <c r="Q54" s="1009"/>
      <c r="R54" s="1009"/>
    </row>
    <row r="55" spans="1:18" s="936" customFormat="1" ht="13.5" thickBot="1">
      <c r="A55" s="954" t="s">
        <v>794</v>
      </c>
      <c r="C55" s="3881" t="e">
        <f ca="1">IF(D2="含税",C83-C31,C80-C28)</f>
        <v>#DIV/0!</v>
      </c>
      <c r="D55" s="956" t="str">
        <f>C2</f>
        <v>万元</v>
      </c>
      <c r="E55" s="950"/>
      <c r="F55" s="950"/>
      <c r="I55" s="957" t="s">
        <v>795</v>
      </c>
      <c r="J55" s="958"/>
      <c r="K55" s="959"/>
      <c r="L55" s="3900" t="e">
        <f ca="1">IF(M56="住宅",0,IF(L57&gt;J60,L69,J69))</f>
        <v>#DIV/0!</v>
      </c>
      <c r="O55" s="4038" t="s">
        <v>1325</v>
      </c>
      <c r="P55" s="4039" t="s">
        <v>3918</v>
      </c>
      <c r="Q55" s="4040" t="s">
        <v>3919</v>
      </c>
      <c r="R55" s="4040" t="s">
        <v>3920</v>
      </c>
    </row>
    <row r="56" spans="1:18" s="936" customFormat="1" ht="13.5" thickBot="1">
      <c r="A56" s="4025" t="s">
        <v>3889</v>
      </c>
      <c r="B56" s="4026" t="s">
        <v>3890</v>
      </c>
      <c r="C56" s="3999" t="s">
        <v>3828</v>
      </c>
      <c r="D56" s="4026" t="s">
        <v>3891</v>
      </c>
      <c r="E56" s="4027" t="s">
        <v>3892</v>
      </c>
      <c r="F56" s="701"/>
      <c r="G56" s="490"/>
      <c r="I56" s="964" t="s">
        <v>800</v>
      </c>
      <c r="J56" s="965"/>
      <c r="K56" s="966" t="s">
        <v>801</v>
      </c>
      <c r="L56" s="3901">
        <f ca="1">INDIRECT("'数据-取费表'!d"&amp;$G$1)</f>
        <v>0</v>
      </c>
      <c r="M56" s="932" t="str">
        <f>IF(ISNUMBER(FIND("住宅",C1)),"住宅","非住宅")</f>
        <v>非住宅</v>
      </c>
      <c r="O56" s="4041" t="s">
        <v>397</v>
      </c>
      <c r="P56" s="4042" t="s">
        <v>3921</v>
      </c>
      <c r="Q56" s="4044">
        <f ca="1">C28+J31</f>
        <v>0</v>
      </c>
      <c r="R56" s="4043" t="s">
        <v>3922</v>
      </c>
    </row>
    <row r="57" spans="1:18" s="936" customFormat="1" ht="42.75" thickBot="1">
      <c r="A57" s="653" t="s">
        <v>432</v>
      </c>
      <c r="B57" s="184" t="s">
        <v>3914</v>
      </c>
      <c r="C57" s="4028">
        <f ca="1">ROUND(C58+C62+C64,0)</f>
        <v>0</v>
      </c>
      <c r="D57" s="4005" t="s">
        <v>3915</v>
      </c>
      <c r="E57" s="4029"/>
      <c r="F57" s="638"/>
      <c r="G57" s="490"/>
      <c r="H57" s="491"/>
      <c r="I57" s="971" t="s">
        <v>804</v>
      </c>
      <c r="J57" s="972"/>
      <c r="K57" s="973" t="s">
        <v>805</v>
      </c>
      <c r="L57" s="3890">
        <f ca="1">INDIRECT("'数据-取费表'!f"&amp;$G$1)</f>
        <v>0</v>
      </c>
      <c r="O57" s="4041" t="s">
        <v>398</v>
      </c>
      <c r="P57" s="4042" t="s">
        <v>3923</v>
      </c>
      <c r="Q57" s="4044" t="e">
        <f ca="1">J69</f>
        <v>#DIV/0!</v>
      </c>
      <c r="R57" s="4043" t="s">
        <v>3924</v>
      </c>
    </row>
    <row r="58" spans="1:18" s="936" customFormat="1" ht="15.75" thickBot="1">
      <c r="A58" s="3867" t="s">
        <v>3814</v>
      </c>
      <c r="B58" s="2714" t="s">
        <v>3805</v>
      </c>
      <c r="C58" s="3859">
        <f ca="1">C59-C61</f>
        <v>0</v>
      </c>
      <c r="D58" s="2715" t="s">
        <v>3809</v>
      </c>
      <c r="E58" s="2737" t="s">
        <v>3446</v>
      </c>
      <c r="F58" s="3419"/>
      <c r="H58" s="491"/>
      <c r="I58" s="971" t="s">
        <v>808</v>
      </c>
      <c r="J58" s="3888"/>
      <c r="K58" s="973" t="s">
        <v>809</v>
      </c>
      <c r="L58" s="3902"/>
      <c r="O58" s="977" t="s">
        <v>399</v>
      </c>
      <c r="P58" s="969" t="s">
        <v>810</v>
      </c>
      <c r="Q58" s="3434">
        <f ca="1">C51</f>
        <v>0</v>
      </c>
      <c r="R58" s="970" t="s">
        <v>803</v>
      </c>
    </row>
    <row r="59" spans="1:18" s="936" customFormat="1" ht="13.5" thickBot="1">
      <c r="A59" s="3874" t="s">
        <v>3409</v>
      </c>
      <c r="B59" s="4456" t="s">
        <v>3803</v>
      </c>
      <c r="C59" s="4457">
        <f ca="1">ROUND(F58*F60*F59/10000,2)</f>
        <v>0</v>
      </c>
      <c r="D59" s="4455" t="s">
        <v>3479</v>
      </c>
      <c r="E59" s="698" t="s">
        <v>682</v>
      </c>
      <c r="F59" s="2761">
        <f ca="1">F7</f>
        <v>0</v>
      </c>
      <c r="H59" s="491"/>
      <c r="I59" s="971" t="s">
        <v>811</v>
      </c>
      <c r="J59" s="3889">
        <f>SUMPRODUCT((I72:I74=J56)*(J71:L71=J57)*(J72:L74))</f>
        <v>0</v>
      </c>
      <c r="K59" s="973" t="s">
        <v>812</v>
      </c>
      <c r="L59" s="3902"/>
      <c r="M59" s="979"/>
      <c r="O59" s="977" t="s">
        <v>400</v>
      </c>
      <c r="P59" s="969" t="s">
        <v>813</v>
      </c>
      <c r="Q59" s="3431" t="e">
        <f ca="1">J67</f>
        <v>#DIV/0!</v>
      </c>
      <c r="R59" s="970"/>
    </row>
    <row r="60" spans="1:18" s="936" customFormat="1" ht="13.5" thickBot="1">
      <c r="A60" s="3875"/>
      <c r="B60" s="4456"/>
      <c r="C60" s="4458"/>
      <c r="D60" s="4455"/>
      <c r="E60" s="657" t="str">
        <f ca="1">IF(F60=1,"年",IF(F60=12,"月","天"))</f>
        <v>天</v>
      </c>
      <c r="F60" s="3414">
        <f ca="1">F8</f>
        <v>0</v>
      </c>
      <c r="I60" s="981" t="s">
        <v>814</v>
      </c>
      <c r="J60" s="3890">
        <f>IF(J58="",J59,J58+J59-YEAR('数据-取费表'!B2))</f>
        <v>0</v>
      </c>
      <c r="K60" s="982" t="s">
        <v>815</v>
      </c>
      <c r="L60" s="3879">
        <f ca="1">ROUND(-PV(INDIRECT("'数据-取费表'!h"&amp;$G$1),J60,(C27-C52*C88),0),0)</f>
        <v>0</v>
      </c>
      <c r="M60" s="984"/>
      <c r="O60" s="977" t="s">
        <v>401</v>
      </c>
      <c r="P60" s="969" t="s">
        <v>816</v>
      </c>
      <c r="Q60" s="3431">
        <f>J61</f>
        <v>0</v>
      </c>
      <c r="R60" s="970"/>
    </row>
    <row r="61" spans="1:18" s="936" customFormat="1" ht="13.5" thickBot="1">
      <c r="A61" s="3876" t="s">
        <v>3407</v>
      </c>
      <c r="B61" s="3576" t="s">
        <v>3804</v>
      </c>
      <c r="C61" s="3860">
        <f ca="1">ROUND(C59*F61,2)</f>
        <v>0</v>
      </c>
      <c r="D61" s="2715" t="s">
        <v>3808</v>
      </c>
      <c r="E61" s="657" t="s">
        <v>684</v>
      </c>
      <c r="F61" s="2763"/>
      <c r="I61" s="985" t="s">
        <v>817</v>
      </c>
      <c r="J61" s="3891"/>
      <c r="K61" s="985" t="s">
        <v>818</v>
      </c>
      <c r="L61" s="3891"/>
      <c r="O61" s="977" t="s">
        <v>402</v>
      </c>
      <c r="P61" s="969" t="s">
        <v>819</v>
      </c>
      <c r="Q61" s="3430">
        <f ca="1">J62</f>
        <v>0</v>
      </c>
      <c r="R61" s="970" t="s">
        <v>820</v>
      </c>
    </row>
    <row r="62" spans="1:18" s="936" customFormat="1" ht="25.5" thickBot="1">
      <c r="A62" s="3877" t="s">
        <v>3454</v>
      </c>
      <c r="B62" s="925" t="s">
        <v>685</v>
      </c>
      <c r="C62" s="4090">
        <f ca="1">ROUND(IF(F62="押一",C58/12*F11,IF(F62="押二",C58/12*2*F11,IF(F62="押三",C58/12*3*F11,C63*F11))),2)</f>
        <v>0</v>
      </c>
      <c r="D62" s="59" t="s">
        <v>2023</v>
      </c>
      <c r="E62" s="197" t="s">
        <v>686</v>
      </c>
      <c r="F62" s="3420"/>
      <c r="I62" s="987" t="s">
        <v>821</v>
      </c>
      <c r="J62" s="3892">
        <f ca="1">IF(M56="住宅",IF(D1="——",MAX(J60,L57),MAX(J60,L57-'数据-取费表'!B24)),IF(D1="——",MIN(J60,L57),MIN(J60,L57-'数据-取费表'!B24)))</f>
        <v>0</v>
      </c>
      <c r="K62" s="4450" t="s">
        <v>822</v>
      </c>
      <c r="L62" s="4451"/>
      <c r="O62" s="4041" t="s">
        <v>403</v>
      </c>
      <c r="P62" s="4045" t="s">
        <v>3928</v>
      </c>
      <c r="Q62" s="4044" t="e">
        <f ca="1">ROUND((Q56+Q57)*(1+F31),0)</f>
        <v>#DIV/0!</v>
      </c>
      <c r="R62" s="4043" t="s">
        <v>3929</v>
      </c>
    </row>
    <row r="63" spans="1:18" s="936" customFormat="1" ht="13.5" thickBot="1">
      <c r="A63" s="3868"/>
      <c r="B63" s="3024" t="str">
        <f>IF(OR(F62="自定义",F62=" "),"（自定义押金）","")</f>
        <v/>
      </c>
      <c r="C63" s="2718"/>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90"/>
      <c r="L63" s="990"/>
      <c r="O63" s="953" t="s">
        <v>824</v>
      </c>
      <c r="P63" s="933"/>
      <c r="Q63" s="933"/>
      <c r="R63" s="933"/>
    </row>
    <row r="64" spans="1:18" s="936" customFormat="1" ht="13.5" thickBot="1">
      <c r="A64" s="3869" t="s">
        <v>3815</v>
      </c>
      <c r="B64" s="921" t="s">
        <v>688</v>
      </c>
      <c r="C64" s="3857"/>
      <c r="D64" s="59"/>
      <c r="E64" s="926"/>
      <c r="F64" s="988"/>
      <c r="I64" s="991" t="s">
        <v>825</v>
      </c>
      <c r="J64" s="3894" t="e">
        <f ca="1">ROUND(IF(J56="钢混",J66/J59,1-(1-2%)*(J59-J66)/J59),3)</f>
        <v>#DIV/0!</v>
      </c>
      <c r="K64" s="993" t="s">
        <v>826</v>
      </c>
      <c r="L64" s="994"/>
      <c r="O64" s="4038" t="s">
        <v>1325</v>
      </c>
      <c r="P64" s="4039" t="s">
        <v>3918</v>
      </c>
      <c r="Q64" s="4040" t="s">
        <v>3919</v>
      </c>
      <c r="R64" s="4040" t="s">
        <v>3920</v>
      </c>
    </row>
    <row r="65" spans="1:18" s="936" customFormat="1" ht="25.5" thickTop="1" thickBot="1">
      <c r="A65" s="199" t="s">
        <v>3686</v>
      </c>
      <c r="B65" s="634" t="s">
        <v>3896</v>
      </c>
      <c r="C65" s="2743">
        <f ca="1">ROUND(C66+C74+C76+C78,0)</f>
        <v>0</v>
      </c>
      <c r="D65" s="634" t="s">
        <v>3916</v>
      </c>
      <c r="E65" s="637"/>
      <c r="F65" s="638"/>
      <c r="I65" s="997" t="s">
        <v>827</v>
      </c>
      <c r="J65" s="3895"/>
      <c r="K65" s="971" t="s">
        <v>828</v>
      </c>
      <c r="L65" s="3890">
        <f ca="1">IF(L57&lt;J60,"——",L57-J62)</f>
        <v>0</v>
      </c>
      <c r="O65" s="4041" t="s">
        <v>397</v>
      </c>
      <c r="P65" s="4042" t="s">
        <v>3921</v>
      </c>
      <c r="Q65" s="4044">
        <f ca="1">C28+J31</f>
        <v>0</v>
      </c>
      <c r="R65" s="4043" t="s">
        <v>3922</v>
      </c>
    </row>
    <row r="66" spans="1:18" s="936" customFormat="1" ht="24.75" thickBot="1">
      <c r="A66" s="519" t="s">
        <v>392</v>
      </c>
      <c r="B66" s="2695" t="s">
        <v>3982</v>
      </c>
      <c r="C66" s="4090">
        <f ca="1">ROUND(IF(AND(项目基本情况!B11="自然人",项目基本情况!B10="北京市",M56="住宅"),C58*F66,C67+C71+C72),2)</f>
        <v>0</v>
      </c>
      <c r="D66" s="639" t="s">
        <v>3451</v>
      </c>
      <c r="E66" s="639" t="str">
        <f>E14</f>
        <v/>
      </c>
      <c r="F66" s="3840" t="str">
        <f>IF(M56="非住宅","",IF(F58*F59*F60/12/(1+'数据-取费表'!F30)&gt;100000,4%,2.5%))</f>
        <v/>
      </c>
      <c r="I66" s="1003" t="s">
        <v>829</v>
      </c>
      <c r="J66" s="3896">
        <f ca="1">IF(OR(M56="住宅",J60&lt;L57,J65="是"),"——",J60-L57)</f>
        <v>0</v>
      </c>
      <c r="K66" s="971" t="s">
        <v>830</v>
      </c>
      <c r="L66" s="3903">
        <f ca="1">IF(L57&lt;J60,"——",IF(L64="比较法",L58,IF(L64="基准地价",L59,L60)))</f>
        <v>0</v>
      </c>
      <c r="O66" s="4041" t="s">
        <v>398</v>
      </c>
      <c r="P66" s="4042" t="s">
        <v>3925</v>
      </c>
      <c r="Q66" s="4046" t="e">
        <f ca="1">L69</f>
        <v>#DIV/0!</v>
      </c>
      <c r="R66" s="4043" t="s">
        <v>3926</v>
      </c>
    </row>
    <row r="67" spans="1:18" s="936" customFormat="1" ht="24.75" thickBot="1">
      <c r="A67" s="4094" t="s">
        <v>391</v>
      </c>
      <c r="B67" s="2713" t="s">
        <v>3978</v>
      </c>
      <c r="C67" s="4090">
        <f ca="1">C70</f>
        <v>0</v>
      </c>
      <c r="D67" s="2430" t="s">
        <v>3977</v>
      </c>
      <c r="E67" s="4093"/>
      <c r="F67" s="4126"/>
      <c r="I67" s="1003" t="s">
        <v>832</v>
      </c>
      <c r="J67" s="3897" t="e">
        <f ca="1">IF(J64&lt;0.4,0.4,J64)</f>
        <v>#DIV/0!</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4090">
        <f ca="1">ROUND(C58*F68,2)</f>
        <v>0</v>
      </c>
      <c r="D68" s="995" t="s">
        <v>3879</v>
      </c>
      <c r="E68" s="2721" t="s">
        <v>3412</v>
      </c>
      <c r="F68" s="2766">
        <f>F16</f>
        <v>0.09</v>
      </c>
      <c r="I68" s="1003" t="s">
        <v>835</v>
      </c>
      <c r="J68" s="3898"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4090">
        <f ca="1">ROUND(C74*F68+((C76+C78)*F69),2)</f>
        <v>0</v>
      </c>
      <c r="D69" s="3981" t="s">
        <v>3880</v>
      </c>
      <c r="E69" s="2722"/>
      <c r="F69" s="2766">
        <f t="shared" ref="F69" si="0">F17</f>
        <v>0.06</v>
      </c>
      <c r="I69" s="1006" t="s">
        <v>837</v>
      </c>
      <c r="J69" s="3899" t="e">
        <f ca="1">IF(OR(M56="住宅",J60&lt;L57,J65="是"),"0",ROUND(J68/(1+J61)^J62,0))</f>
        <v>#DIV/0!</v>
      </c>
      <c r="K69" s="1008" t="s">
        <v>838</v>
      </c>
      <c r="L69" s="3899" t="e">
        <f ca="1">IF(OR(M56="住宅",L57&lt;J60),0,ROUND(L66*(L67/L68-1),0))</f>
        <v>#DIV/0!</v>
      </c>
      <c r="O69" s="977" t="s">
        <v>401</v>
      </c>
      <c r="P69" s="969" t="s">
        <v>839</v>
      </c>
      <c r="Q69" s="3433" t="e">
        <f ca="1">L67</f>
        <v>#DIV/0!</v>
      </c>
      <c r="R69" s="970" t="s">
        <v>840</v>
      </c>
    </row>
    <row r="70" spans="1:18" s="936" customFormat="1" ht="13.5" thickBot="1">
      <c r="A70" s="2505" t="s">
        <v>3975</v>
      </c>
      <c r="B70" s="2717" t="s">
        <v>3974</v>
      </c>
      <c r="C70" s="4090">
        <f ca="1">ROUND((C68-C69)*F70,2)</f>
        <v>0</v>
      </c>
      <c r="D70" s="2740" t="s">
        <v>3997</v>
      </c>
      <c r="E70" s="186" t="s">
        <v>3998</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5" thickBot="1">
      <c r="A71" s="3870" t="s">
        <v>766</v>
      </c>
      <c r="B71" s="2695" t="s">
        <v>3985</v>
      </c>
      <c r="C71" s="4090">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1" t="s">
        <v>403</v>
      </c>
      <c r="P71" s="4045" t="s">
        <v>3928</v>
      </c>
      <c r="Q71" s="4046" t="e">
        <f ca="1">ROUND((Q65+Q66)*(1+F31),0)</f>
        <v>#DIV/0!</v>
      </c>
      <c r="R71" s="4043" t="s">
        <v>3929</v>
      </c>
    </row>
    <row r="72" spans="1:18" s="936" customFormat="1" ht="13.5" thickBot="1">
      <c r="A72" s="4094" t="s">
        <v>769</v>
      </c>
      <c r="B72" s="4086" t="s">
        <v>3980</v>
      </c>
      <c r="C72" s="4091">
        <f ca="1">IF(项目基本情况!B11="自然人","——",ROUND(F72*F73/10000,2))</f>
        <v>0</v>
      </c>
      <c r="D72" s="641" t="s">
        <v>771</v>
      </c>
      <c r="E72" s="626" t="s">
        <v>772</v>
      </c>
      <c r="F72" s="3421">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f ca="1">ROUND(F74*F75,2)</f>
        <v>0</v>
      </c>
      <c r="D74" s="3865" t="s">
        <v>3445</v>
      </c>
      <c r="E74" s="3878" t="s">
        <v>3810</v>
      </c>
      <c r="F74" s="3879">
        <f ca="1">C51</f>
        <v>0</v>
      </c>
      <c r="I74" s="1010" t="s">
        <v>851</v>
      </c>
      <c r="J74" s="223">
        <v>40</v>
      </c>
      <c r="K74" s="223">
        <v>30</v>
      </c>
      <c r="L74" s="223">
        <v>50</v>
      </c>
      <c r="M74" s="1013">
        <v>0.02</v>
      </c>
      <c r="O74" s="4041" t="s">
        <v>397</v>
      </c>
      <c r="P74" s="4042" t="s">
        <v>3921</v>
      </c>
      <c r="Q74" s="4044">
        <f ca="1">C28+J31</f>
        <v>0</v>
      </c>
      <c r="R74" s="4043" t="s">
        <v>3922</v>
      </c>
    </row>
    <row r="75" spans="1:18" s="936" customFormat="1" ht="15" thickBot="1">
      <c r="A75" s="3872"/>
      <c r="B75" s="632"/>
      <c r="C75" s="3864"/>
      <c r="D75" s="3866"/>
      <c r="E75" s="626" t="s">
        <v>768</v>
      </c>
      <c r="F75" s="2768">
        <f ca="1">F22</f>
        <v>0</v>
      </c>
      <c r="O75" s="4041" t="s">
        <v>398</v>
      </c>
      <c r="P75" s="4042" t="s">
        <v>3925</v>
      </c>
      <c r="Q75" s="4046" t="e">
        <f ca="1">L69</f>
        <v>#DIV/0!</v>
      </c>
      <c r="R75" s="4043" t="s">
        <v>3927</v>
      </c>
    </row>
    <row r="76" spans="1:18" s="936" customFormat="1" ht="13.5" thickBot="1">
      <c r="A76" s="3871" t="s">
        <v>777</v>
      </c>
      <c r="B76" s="625" t="s">
        <v>727</v>
      </c>
      <c r="C76" s="3863">
        <f ca="1">ROUND(F76*F77,2)</f>
        <v>0</v>
      </c>
      <c r="D76" s="3865" t="s">
        <v>3448</v>
      </c>
      <c r="E76" s="3878" t="s">
        <v>3811</v>
      </c>
      <c r="F76" s="3880">
        <f ca="1">C53</f>
        <v>0</v>
      </c>
      <c r="O76" s="968"/>
      <c r="P76" s="969"/>
      <c r="Q76" s="3430"/>
      <c r="R76" s="970"/>
    </row>
    <row r="77" spans="1:18" s="936" customFormat="1" ht="16.5" thickBot="1">
      <c r="A77" s="3873"/>
      <c r="B77" s="632"/>
      <c r="C77" s="3864"/>
      <c r="D77" s="3866"/>
      <c r="E77" s="626" t="s">
        <v>729</v>
      </c>
      <c r="F77" s="2768">
        <f ca="1">F24</f>
        <v>0</v>
      </c>
      <c r="O77" s="977" t="s">
        <v>399</v>
      </c>
      <c r="P77" s="969" t="s">
        <v>834</v>
      </c>
      <c r="Q77" s="3434">
        <f ca="1">L60</f>
        <v>0</v>
      </c>
      <c r="R77" s="970" t="s">
        <v>854</v>
      </c>
    </row>
    <row r="78" spans="1:18" s="936" customFormat="1" ht="13.5" thickBot="1">
      <c r="A78" s="3873" t="s">
        <v>778</v>
      </c>
      <c r="B78" s="626" t="s">
        <v>713</v>
      </c>
      <c r="C78" s="4090">
        <f ca="1">ROUND(C57*F78,2)</f>
        <v>0</v>
      </c>
      <c r="D78" s="640" t="s">
        <v>3877</v>
      </c>
      <c r="E78" s="626" t="s">
        <v>697</v>
      </c>
      <c r="F78" s="2768">
        <f ca="1">F26</f>
        <v>0</v>
      </c>
      <c r="O78" s="977"/>
      <c r="P78" s="969"/>
      <c r="Q78" s="3434"/>
      <c r="R78" s="970"/>
    </row>
    <row r="79" spans="1:18" s="936" customFormat="1" ht="16.5" thickBot="1">
      <c r="A79" s="633" t="s">
        <v>3812</v>
      </c>
      <c r="B79" s="643" t="s">
        <v>737</v>
      </c>
      <c r="C79" s="2743">
        <f ca="1">C57-C65</f>
        <v>0</v>
      </c>
      <c r="D79" s="643" t="s">
        <v>3917</v>
      </c>
      <c r="E79" s="4030"/>
      <c r="F79" s="4031"/>
      <c r="O79" s="977" t="s">
        <v>400</v>
      </c>
      <c r="P79" s="1015" t="s">
        <v>855</v>
      </c>
      <c r="Q79" s="3434">
        <f ca="1">ROUND(Q80-Q81*Q82,0)</f>
        <v>0</v>
      </c>
      <c r="R79" s="970" t="s">
        <v>408</v>
      </c>
    </row>
    <row r="80" spans="1:18" s="936" customFormat="1" ht="13.5" thickBot="1">
      <c r="A80" s="3202" t="s">
        <v>3813</v>
      </c>
      <c r="B80" s="624" t="s">
        <v>759</v>
      </c>
      <c r="C80" s="3915" t="e">
        <f ca="1">ROUND(C79*(1-((1+F82)/(1+F80))^F81)/(F80-F82),0)</f>
        <v>#DIV/0!</v>
      </c>
      <c r="D80" s="4032" t="s">
        <v>3902</v>
      </c>
      <c r="E80" s="634" t="s">
        <v>3903</v>
      </c>
      <c r="F80" s="2768">
        <f ca="1">F28</f>
        <v>0</v>
      </c>
      <c r="O80" s="977" t="s">
        <v>405</v>
      </c>
      <c r="P80" s="1015" t="s">
        <v>856</v>
      </c>
      <c r="Q80" s="3434">
        <f ca="1">C27</f>
        <v>0</v>
      </c>
      <c r="R80" s="970" t="s">
        <v>803</v>
      </c>
    </row>
    <row r="81" spans="1:18" s="936" customFormat="1" ht="13.5" thickBot="1">
      <c r="A81" s="3203"/>
      <c r="B81" s="628"/>
      <c r="C81" s="4096"/>
      <c r="D81" s="4033" t="s">
        <v>3907</v>
      </c>
      <c r="E81" s="634" t="s">
        <v>3906</v>
      </c>
      <c r="F81" s="2769">
        <f ca="1">F29</f>
        <v>0</v>
      </c>
      <c r="O81" s="977" t="s">
        <v>406</v>
      </c>
      <c r="P81" s="1015" t="s">
        <v>857</v>
      </c>
      <c r="Q81" s="3434">
        <f ca="1">C52</f>
        <v>0</v>
      </c>
      <c r="R81" s="970" t="s">
        <v>803</v>
      </c>
    </row>
    <row r="82" spans="1:18" s="936" customFormat="1" ht="13.5" thickBot="1">
      <c r="A82" s="3204"/>
      <c r="B82" s="2784"/>
      <c r="C82" s="2784"/>
      <c r="D82" s="4034"/>
      <c r="E82" s="634" t="s">
        <v>3908</v>
      </c>
      <c r="F82" s="2763"/>
      <c r="O82" s="977" t="s">
        <v>407</v>
      </c>
      <c r="P82" s="1015" t="s">
        <v>858</v>
      </c>
      <c r="Q82" s="3431">
        <f ca="1">C88</f>
        <v>0</v>
      </c>
      <c r="R82" s="970"/>
    </row>
    <row r="83" spans="1:18" s="936" customFormat="1" ht="13.5" thickBot="1">
      <c r="A83" s="630" t="s">
        <v>3816</v>
      </c>
      <c r="B83" s="2742" t="s">
        <v>3452</v>
      </c>
      <c r="C83" s="3856" t="e">
        <f ca="1">ROUND(C80*(1+F31),0)</f>
        <v>#DIV/0!</v>
      </c>
      <c r="D83" s="4035" t="str">
        <f>D31</f>
        <v>其他类型公式—收益价值×（1+9%）</v>
      </c>
      <c r="E83" s="1019"/>
      <c r="F83" s="4036"/>
      <c r="O83" s="977" t="s">
        <v>401</v>
      </c>
      <c r="P83" s="969" t="s">
        <v>836</v>
      </c>
      <c r="Q83" s="3431">
        <f>L61</f>
        <v>0</v>
      </c>
      <c r="R83" s="970"/>
    </row>
    <row r="84" spans="1:18" ht="16.5" thickBot="1">
      <c r="A84" s="647" t="s">
        <v>390</v>
      </c>
      <c r="B84" s="648" t="s">
        <v>761</v>
      </c>
      <c r="C84" s="2754" t="e">
        <f ca="1">ROUND(C83*10000/F84,0)</f>
        <v>#DIV/0!</v>
      </c>
      <c r="D84" s="4037" t="s">
        <v>3911</v>
      </c>
      <c r="E84" s="648" t="s">
        <v>3912</v>
      </c>
      <c r="F84" s="2770">
        <f ca="1">F32</f>
        <v>0</v>
      </c>
      <c r="G84" s="936"/>
      <c r="H84" s="936"/>
      <c r="O84" s="977" t="s">
        <v>402</v>
      </c>
      <c r="P84" s="969" t="s">
        <v>839</v>
      </c>
      <c r="Q84" s="4047" t="e">
        <f ca="1">L67</f>
        <v>#DIV/0!</v>
      </c>
      <c r="R84" s="970" t="s">
        <v>840</v>
      </c>
    </row>
    <row r="85" spans="1:18" ht="13.5" thickBot="1">
      <c r="A85" s="936"/>
      <c r="B85" s="494"/>
      <c r="C85" s="494"/>
      <c r="D85" s="936"/>
      <c r="E85" s="936"/>
      <c r="F85" s="936"/>
      <c r="O85" s="977" t="s">
        <v>409</v>
      </c>
      <c r="P85" s="969" t="str">
        <f>K68</f>
        <v>建筑物剩余耐用年限下的土地年期修正系数Kn</v>
      </c>
      <c r="Q85" s="4047" t="e">
        <f ca="1">L68</f>
        <v>#DIV/0!</v>
      </c>
      <c r="R85" s="970" t="s">
        <v>841</v>
      </c>
    </row>
    <row r="86" spans="1:18" ht="25.5" thickBot="1">
      <c r="A86" s="936"/>
      <c r="B86" s="168" t="s">
        <v>859</v>
      </c>
      <c r="C86" s="1017"/>
      <c r="D86" s="936"/>
      <c r="E86" s="936"/>
      <c r="F86" s="936"/>
      <c r="K86" s="952"/>
      <c r="L86" s="936"/>
      <c r="O86" s="4041" t="s">
        <v>403</v>
      </c>
      <c r="P86" s="4045" t="s">
        <v>3928</v>
      </c>
      <c r="Q86" s="4044" t="e">
        <f ca="1">ROUND((Q74+Q75)*(1+F31),0)</f>
        <v>#DIV/0!</v>
      </c>
      <c r="R86" s="4043" t="s">
        <v>3929</v>
      </c>
    </row>
    <row r="87" spans="1:18">
      <c r="A87" s="936"/>
      <c r="B87" s="222" t="s">
        <v>780</v>
      </c>
      <c r="C87" s="2832">
        <f ca="1">ROUND(C53*C88,0)</f>
        <v>0</v>
      </c>
      <c r="D87" s="936"/>
      <c r="E87" s="936"/>
      <c r="F87" s="936"/>
      <c r="I87" s="936"/>
      <c r="J87" s="936"/>
      <c r="K87" s="952"/>
      <c r="L87" s="936"/>
    </row>
    <row r="88" spans="1:18">
      <c r="B88" s="224" t="s">
        <v>781</v>
      </c>
      <c r="C88" s="2727">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E34" sqref="E34:J34"/>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4041</v>
      </c>
      <c r="F1" s="1354" t="s">
        <v>4042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237.92310000000001</v>
      </c>
      <c r="C2" s="2785" t="s">
        <v>4036</v>
      </c>
      <c r="D2" s="229">
        <f>IF(E1="项目模式",IF(E2="——",ROUND(C50*D3/10000,0),ROUND(C50*D3/10000,0)-F2),IF(E1="单套模式",IF(E2="——",ROUND(C50*D3/10000,4),ROUND(C50*D3/10000,4)-F2)))</f>
        <v>237.92310000000001</v>
      </c>
      <c r="E2" s="1356" t="s">
        <v>41</v>
      </c>
      <c r="F2" s="3750"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21748</v>
      </c>
      <c r="C3" s="234" t="s">
        <v>1678</v>
      </c>
      <c r="D3" s="2881">
        <f>IF(D1="",'数据-汇总表'!E3,SUMIF('数据-汇总表'!$C19:$C33,D1,'数据-汇总表'!$E19:$E33))</f>
        <v>109.4</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82" t="s">
        <v>1680</v>
      </c>
      <c r="D4" s="4483"/>
      <c r="E4" s="4484" t="s">
        <v>1681</v>
      </c>
      <c r="F4" s="4485"/>
      <c r="G4" s="4482" t="s">
        <v>1682</v>
      </c>
      <c r="H4" s="4483"/>
      <c r="I4" s="4482" t="s">
        <v>1683</v>
      </c>
      <c r="J4" s="4483"/>
      <c r="K4" s="393" t="s">
        <v>1684</v>
      </c>
      <c r="L4" s="1974"/>
      <c r="M4" s="1975"/>
      <c r="N4" s="1975"/>
      <c r="O4" s="1975"/>
      <c r="P4" s="4486" t="s">
        <v>1685</v>
      </c>
      <c r="Q4" s="4487"/>
      <c r="R4" s="4467" t="s">
        <v>1681</v>
      </c>
      <c r="S4" s="4468"/>
      <c r="T4" s="4467" t="s">
        <v>1682</v>
      </c>
      <c r="U4" s="4468"/>
      <c r="V4" s="4494" t="s">
        <v>1683</v>
      </c>
      <c r="W4" s="4494"/>
      <c r="X4" s="1413"/>
      <c r="Y4" s="4498" t="s">
        <v>1685</v>
      </c>
      <c r="Z4" s="4499"/>
      <c r="AA4" s="4462" t="s">
        <v>1681</v>
      </c>
      <c r="AB4" s="4462" t="s">
        <v>1682</v>
      </c>
      <c r="AC4" s="4479" t="s">
        <v>1683</v>
      </c>
    </row>
    <row r="5" spans="1:29" ht="15">
      <c r="A5" s="238"/>
      <c r="B5" s="239"/>
      <c r="C5" s="4471" t="s">
        <v>4043</v>
      </c>
      <c r="D5" s="4472"/>
      <c r="E5" s="4471" t="s">
        <v>4043</v>
      </c>
      <c r="F5" s="4472"/>
      <c r="G5" s="4471" t="s">
        <v>4043</v>
      </c>
      <c r="H5" s="4472"/>
      <c r="I5" s="4471" t="s">
        <v>4043</v>
      </c>
      <c r="J5" s="4472"/>
      <c r="K5" s="393"/>
      <c r="L5" s="1974"/>
      <c r="M5" s="1975"/>
      <c r="N5" s="1975"/>
      <c r="O5" s="1975"/>
      <c r="P5" s="4488"/>
      <c r="Q5" s="4489"/>
      <c r="R5" s="4469"/>
      <c r="S5" s="4470"/>
      <c r="T5" s="4469"/>
      <c r="U5" s="4470"/>
      <c r="V5" s="4495"/>
      <c r="W5" s="4495"/>
      <c r="X5" s="910"/>
      <c r="Y5" s="4500"/>
      <c r="Z5" s="4501"/>
      <c r="AA5" s="4463"/>
      <c r="AB5" s="4463"/>
      <c r="AC5" s="4480"/>
    </row>
    <row r="6" spans="1:29" ht="15.75" thickBot="1">
      <c r="A6" s="240"/>
      <c r="B6" s="241"/>
      <c r="C6" s="4473" t="s">
        <v>1587</v>
      </c>
      <c r="D6" s="4474"/>
      <c r="E6" s="4475" t="s">
        <v>1587</v>
      </c>
      <c r="F6" s="4476"/>
      <c r="G6" s="4473" t="s">
        <v>1587</v>
      </c>
      <c r="H6" s="4474"/>
      <c r="I6" s="4473" t="s">
        <v>1587</v>
      </c>
      <c r="J6" s="4474"/>
      <c r="K6" s="393" t="s">
        <v>1588</v>
      </c>
      <c r="L6" s="1974"/>
      <c r="M6" s="1975"/>
      <c r="N6" s="1975"/>
      <c r="O6" s="1975"/>
      <c r="P6" s="4490"/>
      <c r="Q6" s="4491"/>
      <c r="R6" s="4469"/>
      <c r="S6" s="4470"/>
      <c r="T6" s="4492"/>
      <c r="U6" s="4493"/>
      <c r="V6" s="4495"/>
      <c r="W6" s="4495"/>
      <c r="X6" s="910"/>
      <c r="Y6" s="4502"/>
      <c r="Z6" s="4503"/>
      <c r="AA6" s="4464"/>
      <c r="AB6" s="4464"/>
      <c r="AC6" s="4481"/>
    </row>
    <row r="7" spans="1:29" s="46" customFormat="1" ht="15.75" thickBot="1">
      <c r="A7" s="242" t="s">
        <v>1589</v>
      </c>
      <c r="B7" s="243"/>
      <c r="C7" s="244">
        <f>'数据-取费表'!B2</f>
        <v>46051</v>
      </c>
      <c r="D7" s="2899">
        <v>100</v>
      </c>
      <c r="E7" s="245">
        <v>46023</v>
      </c>
      <c r="F7" s="3751">
        <f>SUMIF(59:59,YEAR(E7)&amp;"-"&amp;MONTH(E7),60:60)</f>
        <v>100</v>
      </c>
      <c r="G7" s="245">
        <v>46023</v>
      </c>
      <c r="H7" s="3757">
        <f>SUMIF(59:59,YEAR(G7)&amp;"-"&amp;MONTH(G7),60:60)</f>
        <v>100</v>
      </c>
      <c r="I7" s="245">
        <v>46023</v>
      </c>
      <c r="J7" s="3757">
        <f>SUMIF(59:59,YEAR(I7)&amp;"-"&amp;MONTH(I7),60:60)</f>
        <v>100</v>
      </c>
      <c r="K7" s="22"/>
      <c r="L7" s="1976"/>
      <c r="M7" s="1929"/>
      <c r="N7" s="1929"/>
      <c r="O7" s="1929"/>
      <c r="P7" s="4496" t="s">
        <v>1590</v>
      </c>
      <c r="Q7" s="4504"/>
      <c r="R7" s="3637" t="s">
        <v>13</v>
      </c>
      <c r="S7" s="3157">
        <f t="shared" ref="S7:S15" si="0">F7</f>
        <v>100</v>
      </c>
      <c r="T7" s="3637" t="s">
        <v>13</v>
      </c>
      <c r="U7" s="3157">
        <f t="shared" ref="U7:U15" si="1">H7</f>
        <v>100</v>
      </c>
      <c r="V7" s="3637" t="s">
        <v>13</v>
      </c>
      <c r="W7" s="3157">
        <f t="shared" ref="W7:W15" si="2">J7</f>
        <v>100</v>
      </c>
      <c r="X7" s="482"/>
      <c r="Y7" s="4465" t="s">
        <v>1590</v>
      </c>
      <c r="Z7" s="4466"/>
      <c r="AA7" s="28">
        <f>D7/F7</f>
        <v>1</v>
      </c>
      <c r="AB7" s="28">
        <f>D7/H7</f>
        <v>1</v>
      </c>
      <c r="AC7" s="545">
        <f>D7/J7</f>
        <v>1</v>
      </c>
    </row>
    <row r="8" spans="1:29" s="46" customFormat="1" ht="15.75" thickBot="1">
      <c r="A8" s="242" t="s">
        <v>1591</v>
      </c>
      <c r="B8" s="243"/>
      <c r="C8" s="246" t="s">
        <v>4035</v>
      </c>
      <c r="D8" s="2899">
        <v>100</v>
      </c>
      <c r="E8" s="246" t="s">
        <v>4014</v>
      </c>
      <c r="F8" s="3751">
        <f>SUMIF(62:62,E8,63:63)-SUMIF(62:62,C8,63:63)+100</f>
        <v>102</v>
      </c>
      <c r="G8" s="246" t="s">
        <v>4014</v>
      </c>
      <c r="H8" s="3757">
        <f>SUMIF(62:62,G8,63:63)-SUMIF(62:62,C8,63:63)+100</f>
        <v>102</v>
      </c>
      <c r="I8" s="246" t="s">
        <v>4014</v>
      </c>
      <c r="J8" s="3757">
        <f>SUMIF(62:62,I8,63:63)-SUMIF(62:62,C8,63:63)+100</f>
        <v>102</v>
      </c>
      <c r="K8" s="22"/>
      <c r="L8" s="1976"/>
      <c r="M8" s="1929"/>
      <c r="N8" s="1929"/>
      <c r="O8" s="1929"/>
      <c r="P8" s="4496" t="s">
        <v>1593</v>
      </c>
      <c r="Q8" s="4497"/>
      <c r="R8" s="3637" t="s">
        <v>13</v>
      </c>
      <c r="S8" s="3157">
        <f t="shared" si="0"/>
        <v>102</v>
      </c>
      <c r="T8" s="3637" t="s">
        <v>13</v>
      </c>
      <c r="U8" s="3157">
        <f t="shared" si="1"/>
        <v>102</v>
      </c>
      <c r="V8" s="3637" t="s">
        <v>13</v>
      </c>
      <c r="W8" s="3157">
        <f t="shared" si="2"/>
        <v>102</v>
      </c>
      <c r="X8" s="482"/>
      <c r="Y8" s="4465" t="s">
        <v>1593</v>
      </c>
      <c r="Z8" s="4466"/>
      <c r="AA8" s="28">
        <f t="shared" ref="AA8:AA47" si="3">D8/F8</f>
        <v>0.98039215686274506</v>
      </c>
      <c r="AB8" s="28">
        <f t="shared" ref="AB8:AB47" si="4">D8/H8</f>
        <v>0.98039215686274506</v>
      </c>
      <c r="AC8" s="545">
        <f t="shared" ref="AC8:AC47" si="5">D8/J8</f>
        <v>0.98039215686274506</v>
      </c>
    </row>
    <row r="9" spans="1:29" s="46" customFormat="1">
      <c r="A9" s="247" t="s">
        <v>1594</v>
      </c>
      <c r="B9" s="34" t="s">
        <v>1595</v>
      </c>
      <c r="C9" s="4227" t="s">
        <v>4013</v>
      </c>
      <c r="D9" s="2900">
        <v>100</v>
      </c>
      <c r="E9" s="250" t="s">
        <v>19</v>
      </c>
      <c r="F9" s="33">
        <f>SUMIF(64:64,E9,65:65)-SUMIF(64:64,C9,65:65)+100</f>
        <v>100</v>
      </c>
      <c r="G9" s="250" t="s">
        <v>19</v>
      </c>
      <c r="H9" s="33">
        <f>SUMIF(64:64,G9,65:65)-SUMIF(64:64,C9,65:65)+100</f>
        <v>100</v>
      </c>
      <c r="I9" s="250" t="s">
        <v>19</v>
      </c>
      <c r="J9" s="33">
        <f>SUMIF(64:64,I9,65:65)-SUMIF(64:64,C9,65:65)+100</f>
        <v>100</v>
      </c>
      <c r="K9" s="22"/>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545">
        <f t="shared" si="5"/>
        <v>1</v>
      </c>
    </row>
    <row r="10" spans="1:29" s="253" customFormat="1" ht="27">
      <c r="A10" s="251"/>
      <c r="B10" s="252" t="s">
        <v>1598</v>
      </c>
      <c r="C10" s="2476"/>
      <c r="D10" s="2901">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77"/>
      <c r="Q11" s="1698" t="str">
        <f t="shared" si="6"/>
        <v>容积率</v>
      </c>
      <c r="R11" s="3637" t="s">
        <v>13</v>
      </c>
      <c r="S11" s="3157">
        <f t="shared" si="0"/>
        <v>100</v>
      </c>
      <c r="T11" s="3637" t="s">
        <v>13</v>
      </c>
      <c r="U11" s="3157">
        <f t="shared" si="1"/>
        <v>100</v>
      </c>
      <c r="V11" s="3637" t="s">
        <v>13</v>
      </c>
      <c r="W11" s="3157">
        <f t="shared" si="2"/>
        <v>100</v>
      </c>
      <c r="X11" s="482"/>
      <c r="Y11" s="4478"/>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77"/>
      <c r="Q12" s="1698">
        <f t="shared" si="6"/>
        <v>111</v>
      </c>
      <c r="R12" s="3637" t="s">
        <v>13</v>
      </c>
      <c r="S12" s="3157">
        <f t="shared" si="0"/>
        <v>100</v>
      </c>
      <c r="T12" s="3637" t="s">
        <v>13</v>
      </c>
      <c r="U12" s="3157">
        <f t="shared" si="1"/>
        <v>100</v>
      </c>
      <c r="V12" s="3637" t="s">
        <v>13</v>
      </c>
      <c r="W12" s="3157">
        <f t="shared" si="2"/>
        <v>100</v>
      </c>
      <c r="X12" s="482"/>
      <c r="Y12" s="4478"/>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4"/>
      <c r="H13" s="3755">
        <f>SUMIF(73:73,G13,74:74)-SUMIF(73:73,C13,74:74)+100</f>
        <v>100</v>
      </c>
      <c r="I13" s="258"/>
      <c r="J13" s="3755">
        <f>SUMIF(73:73,I13,74:74)-SUMIF(73:73,C13,74:74)+100</f>
        <v>100</v>
      </c>
      <c r="K13" s="395"/>
      <c r="L13" s="1980"/>
      <c r="M13" s="1975"/>
      <c r="N13" s="1975"/>
      <c r="O13" s="1975"/>
      <c r="P13" s="4477"/>
      <c r="Q13" s="1698">
        <f t="shared" si="6"/>
        <v>111</v>
      </c>
      <c r="R13" s="3637" t="s">
        <v>13</v>
      </c>
      <c r="S13" s="3157">
        <f t="shared" si="0"/>
        <v>100</v>
      </c>
      <c r="T13" s="3637" t="s">
        <v>13</v>
      </c>
      <c r="U13" s="3157">
        <f t="shared" si="1"/>
        <v>100</v>
      </c>
      <c r="V13" s="3637" t="s">
        <v>13</v>
      </c>
      <c r="W13" s="3157">
        <f t="shared" si="2"/>
        <v>100</v>
      </c>
      <c r="X13" s="482"/>
      <c r="Y13" s="4478"/>
      <c r="Z13" s="28">
        <f t="shared" si="7"/>
        <v>111</v>
      </c>
      <c r="AA13" s="28">
        <f t="shared" si="3"/>
        <v>1</v>
      </c>
      <c r="AB13" s="28">
        <f t="shared" si="4"/>
        <v>1</v>
      </c>
      <c r="AC13" s="545">
        <f t="shared" si="5"/>
        <v>1</v>
      </c>
    </row>
    <row r="14" spans="1:29" ht="15.75" thickBot="1">
      <c r="A14" s="260"/>
      <c r="B14" s="1362">
        <v>111</v>
      </c>
      <c r="C14" s="261"/>
      <c r="D14" s="2904">
        <v>100</v>
      </c>
      <c r="E14" s="402"/>
      <c r="F14" s="3752">
        <f>SUMIF(75:75,E14,76:76)-SUMIF(75:75,C14,76:76)+100</f>
        <v>100</v>
      </c>
      <c r="G14" s="1414"/>
      <c r="H14" s="3752">
        <f>SUMIF(75:75,G14,76:76)-SUMIF(75:75,C14,76:76)+100</f>
        <v>100</v>
      </c>
      <c r="I14" s="258"/>
      <c r="J14" s="3752">
        <f>SUMIF(75:75,I14,76:76)-SUMIF(75:75,C14,76:76)+100</f>
        <v>100</v>
      </c>
      <c r="K14" s="395"/>
      <c r="L14" s="1980"/>
      <c r="M14" s="1975"/>
      <c r="N14" s="1975"/>
      <c r="O14" s="1975"/>
      <c r="P14" s="4477"/>
      <c r="Q14" s="1698">
        <f t="shared" si="6"/>
        <v>111</v>
      </c>
      <c r="R14" s="3637" t="s">
        <v>13</v>
      </c>
      <c r="S14" s="3157">
        <f t="shared" si="0"/>
        <v>100</v>
      </c>
      <c r="T14" s="3637" t="s">
        <v>13</v>
      </c>
      <c r="U14" s="3157">
        <f t="shared" si="1"/>
        <v>100</v>
      </c>
      <c r="V14" s="3637" t="s">
        <v>13</v>
      </c>
      <c r="W14" s="3157">
        <f t="shared" si="2"/>
        <v>100</v>
      </c>
      <c r="X14" s="482"/>
      <c r="Y14" s="4478"/>
      <c r="Z14" s="28">
        <f t="shared" si="7"/>
        <v>111</v>
      </c>
      <c r="AA14" s="28">
        <f t="shared" si="3"/>
        <v>1</v>
      </c>
      <c r="AB14" s="28">
        <f t="shared" si="4"/>
        <v>1</v>
      </c>
      <c r="AC14" s="545">
        <f t="shared" si="5"/>
        <v>1</v>
      </c>
    </row>
    <row r="15" spans="1:29" ht="71.25">
      <c r="A15" s="262" t="s">
        <v>1600</v>
      </c>
      <c r="B15" s="403" t="s">
        <v>1721</v>
      </c>
      <c r="C15" s="1415" t="str">
        <f>估价对象房地状况!C5</f>
        <v>估价对象位于XX商圈，周边办公楼项目较多，入驻率高，办公集聚程度较好</v>
      </c>
      <c r="D15" s="2905">
        <v>100</v>
      </c>
      <c r="E15" s="264"/>
      <c r="F15" s="3753">
        <f>SUMIF(77:77,E16,78:78)-SUMIF(77:77,C16,78:78)+100</f>
        <v>100</v>
      </c>
      <c r="G15" s="263"/>
      <c r="H15" s="3753">
        <f>SUMIF(77:77,G16,78:78)-SUMIF(77:77,C16,78:78)+100</f>
        <v>100</v>
      </c>
      <c r="I15" s="263"/>
      <c r="J15" s="3753">
        <f>SUMIF(77:77,I16,78:78)-SUMIF(77:77,C16,78:78)+100</f>
        <v>100</v>
      </c>
      <c r="K15" s="396"/>
      <c r="L15" s="1980"/>
      <c r="M15" s="1975"/>
      <c r="N15" s="1975"/>
      <c r="O15" s="1975"/>
      <c r="P15" s="4505" t="s">
        <v>1601</v>
      </c>
      <c r="Q15" s="1507" t="str">
        <f t="shared" si="6"/>
        <v>办公集聚程度</v>
      </c>
      <c r="R15" s="3739" t="s">
        <v>13</v>
      </c>
      <c r="S15" s="3158">
        <f t="shared" si="0"/>
        <v>100</v>
      </c>
      <c r="T15" s="3739" t="s">
        <v>13</v>
      </c>
      <c r="U15" s="3158">
        <f t="shared" si="1"/>
        <v>100</v>
      </c>
      <c r="V15" s="3739" t="s">
        <v>13</v>
      </c>
      <c r="W15" s="3158">
        <f t="shared" si="2"/>
        <v>100</v>
      </c>
      <c r="X15" s="910"/>
      <c r="Y15" s="4507" t="s">
        <v>1601</v>
      </c>
      <c r="Z15" s="908" t="str">
        <f t="shared" si="7"/>
        <v>办公集聚程度</v>
      </c>
      <c r="AA15" s="908">
        <f t="shared" si="3"/>
        <v>1</v>
      </c>
      <c r="AB15" s="908">
        <f t="shared" si="4"/>
        <v>1</v>
      </c>
      <c r="AC15" s="1416">
        <f t="shared" si="5"/>
        <v>1</v>
      </c>
    </row>
    <row r="16" spans="1:29" ht="15">
      <c r="A16" s="254"/>
      <c r="B16" s="404"/>
      <c r="C16" s="1369" t="s">
        <v>3620</v>
      </c>
      <c r="D16" s="2906"/>
      <c r="E16" s="1369" t="s">
        <v>3620</v>
      </c>
      <c r="F16" s="267"/>
      <c r="G16" s="1369" t="s">
        <v>3620</v>
      </c>
      <c r="H16" s="268"/>
      <c r="I16" s="1369" t="s">
        <v>3620</v>
      </c>
      <c r="J16" s="267"/>
      <c r="K16" s="397"/>
      <c r="L16" s="1980"/>
      <c r="M16" s="1975"/>
      <c r="N16" s="1975"/>
      <c r="O16" s="1975"/>
      <c r="P16" s="4506"/>
      <c r="Q16" s="1507"/>
      <c r="R16" s="3739"/>
      <c r="S16" s="3158"/>
      <c r="T16" s="3739"/>
      <c r="U16" s="3158"/>
      <c r="V16" s="3739"/>
      <c r="W16" s="3158"/>
      <c r="X16" s="910"/>
      <c r="Y16" s="4508"/>
      <c r="Z16" s="908"/>
      <c r="AA16" s="908">
        <v>1</v>
      </c>
      <c r="AB16" s="908">
        <v>1</v>
      </c>
      <c r="AC16" s="1416">
        <v>1</v>
      </c>
    </row>
    <row r="17" spans="1:29" ht="71.25">
      <c r="A17" s="254"/>
      <c r="B17" s="405" t="s">
        <v>1237</v>
      </c>
      <c r="C17" s="1417" t="str">
        <f>估价对象房地状况!C6</f>
        <v>估价对象周边道路状况、公共交通通达情况、停车便捷程度，综合评价交通便捷度较好</v>
      </c>
      <c r="D17" s="2907">
        <v>100</v>
      </c>
      <c r="E17" s="271"/>
      <c r="F17" s="268">
        <f>SUMIF(79:79,E18,80:80)-SUMIF(79:79,C18,80:80)+100</f>
        <v>100</v>
      </c>
      <c r="G17" s="270"/>
      <c r="H17" s="3754">
        <f>SUMIF(79:79,G18,80:80)-SUMIF(79:79,C18,80:80)+100</f>
        <v>100</v>
      </c>
      <c r="I17" s="270"/>
      <c r="J17" s="3754">
        <f>SUMIF(79:79,I18,80:80)-SUMIF(79:79,C18,80:80)+100</f>
        <v>100</v>
      </c>
      <c r="K17" s="396"/>
      <c r="L17" s="1980"/>
      <c r="M17" s="1975"/>
      <c r="N17" s="1975"/>
      <c r="O17" s="1975"/>
      <c r="P17" s="4506"/>
      <c r="Q17" s="1507" t="str">
        <f>B17</f>
        <v>交通便捷度</v>
      </c>
      <c r="R17" s="3739" t="s">
        <v>13</v>
      </c>
      <c r="S17" s="3158">
        <f>F17</f>
        <v>100</v>
      </c>
      <c r="T17" s="3739" t="s">
        <v>13</v>
      </c>
      <c r="U17" s="3158">
        <f>H17</f>
        <v>100</v>
      </c>
      <c r="V17" s="3739" t="s">
        <v>13</v>
      </c>
      <c r="W17" s="3158">
        <f>J17</f>
        <v>100</v>
      </c>
      <c r="X17" s="910"/>
      <c r="Y17" s="4508"/>
      <c r="Z17" s="908" t="str">
        <f>Q17</f>
        <v>交通便捷度</v>
      </c>
      <c r="AA17" s="908">
        <f t="shared" si="3"/>
        <v>1</v>
      </c>
      <c r="AB17" s="908">
        <f t="shared" si="4"/>
        <v>1</v>
      </c>
      <c r="AC17" s="1416">
        <f t="shared" si="5"/>
        <v>1</v>
      </c>
    </row>
    <row r="18" spans="1:29" ht="15">
      <c r="A18" s="254"/>
      <c r="B18" s="406"/>
      <c r="C18" s="1369" t="s">
        <v>3620</v>
      </c>
      <c r="D18" s="2907"/>
      <c r="E18" s="1369" t="s">
        <v>3620</v>
      </c>
      <c r="F18" s="268"/>
      <c r="G18" s="1369" t="s">
        <v>3620</v>
      </c>
      <c r="H18" s="267"/>
      <c r="I18" s="1369" t="s">
        <v>3620</v>
      </c>
      <c r="J18" s="267"/>
      <c r="K18" s="397"/>
      <c r="L18" s="1980"/>
      <c r="M18" s="1975"/>
      <c r="N18" s="1975"/>
      <c r="O18" s="1975"/>
      <c r="P18" s="4506"/>
      <c r="Q18" s="1507"/>
      <c r="R18" s="3739"/>
      <c r="S18" s="3158"/>
      <c r="T18" s="3739"/>
      <c r="U18" s="3158"/>
      <c r="V18" s="3739"/>
      <c r="W18" s="3158"/>
      <c r="X18" s="910"/>
      <c r="Y18" s="4508"/>
      <c r="Z18" s="908"/>
      <c r="AA18" s="908">
        <v>1</v>
      </c>
      <c r="AB18" s="908">
        <v>1</v>
      </c>
      <c r="AC18" s="1416">
        <v>1</v>
      </c>
    </row>
    <row r="19" spans="1:29" ht="42.75">
      <c r="A19" s="254"/>
      <c r="B19" s="405" t="s">
        <v>1722</v>
      </c>
      <c r="C19" s="1417" t="str">
        <f>估价对象房地状况!C7</f>
        <v>估价对象所在区域公共配套设施齐备情况</v>
      </c>
      <c r="D19" s="2908">
        <v>100</v>
      </c>
      <c r="E19" s="274"/>
      <c r="F19" s="3754">
        <f>SUMIF(81:81,E20,82:82)-SUMIF(81:81,C20,82:82)+100</f>
        <v>100</v>
      </c>
      <c r="G19" s="273"/>
      <c r="H19" s="268">
        <f>SUMIF(81:81,G20,82:82)-SUMIF(81:81,C20,82:82)+100</f>
        <v>100</v>
      </c>
      <c r="I19" s="273"/>
      <c r="J19" s="268">
        <f>SUMIF(81:81,I20,82:82)-SUMIF(81:81,C20,82:82)+100</f>
        <v>100</v>
      </c>
      <c r="K19" s="396"/>
      <c r="L19" s="1980"/>
      <c r="M19" s="1975"/>
      <c r="N19" s="1975"/>
      <c r="O19" s="1975"/>
      <c r="P19" s="4506"/>
      <c r="Q19" s="1507" t="str">
        <f>B19</f>
        <v>公共配套设施</v>
      </c>
      <c r="R19" s="3739" t="s">
        <v>13</v>
      </c>
      <c r="S19" s="3158">
        <f>F19</f>
        <v>100</v>
      </c>
      <c r="T19" s="3739" t="s">
        <v>13</v>
      </c>
      <c r="U19" s="3158">
        <f>H19</f>
        <v>100</v>
      </c>
      <c r="V19" s="3739" t="s">
        <v>13</v>
      </c>
      <c r="W19" s="3158">
        <f>J19</f>
        <v>100</v>
      </c>
      <c r="X19" s="910"/>
      <c r="Y19" s="4508"/>
      <c r="Z19" s="908" t="str">
        <f>Q19</f>
        <v>公共配套设施</v>
      </c>
      <c r="AA19" s="908">
        <f t="shared" si="3"/>
        <v>1</v>
      </c>
      <c r="AB19" s="908">
        <f t="shared" si="4"/>
        <v>1</v>
      </c>
      <c r="AC19" s="1416">
        <f t="shared" si="5"/>
        <v>1</v>
      </c>
    </row>
    <row r="20" spans="1:29" ht="15">
      <c r="A20" s="254"/>
      <c r="B20" s="406"/>
      <c r="C20" s="1369" t="s">
        <v>3620</v>
      </c>
      <c r="D20" s="2906"/>
      <c r="E20" s="1369" t="s">
        <v>3620</v>
      </c>
      <c r="F20" s="267"/>
      <c r="G20" s="1369" t="s">
        <v>3620</v>
      </c>
      <c r="H20" s="267"/>
      <c r="I20" s="1369" t="s">
        <v>3620</v>
      </c>
      <c r="J20" s="267"/>
      <c r="K20" s="397"/>
      <c r="L20" s="1980"/>
      <c r="M20" s="1975"/>
      <c r="N20" s="1975"/>
      <c r="O20" s="1975"/>
      <c r="P20" s="4506"/>
      <c r="Q20" s="1507"/>
      <c r="R20" s="3739"/>
      <c r="S20" s="3158"/>
      <c r="T20" s="3739"/>
      <c r="U20" s="3158"/>
      <c r="V20" s="3739"/>
      <c r="W20" s="3158"/>
      <c r="X20" s="910"/>
      <c r="Y20" s="4508"/>
      <c r="Z20" s="908"/>
      <c r="AA20" s="908">
        <v>1</v>
      </c>
      <c r="AB20" s="908">
        <v>1</v>
      </c>
      <c r="AC20" s="1416">
        <v>1</v>
      </c>
    </row>
    <row r="21" spans="1:29" ht="28.5">
      <c r="A21" s="254"/>
      <c r="B21" s="407" t="s">
        <v>1723</v>
      </c>
      <c r="C21" s="1417" t="str">
        <f>估价对象房地状况!C8</f>
        <v>估价对象所在区域基础设施水平</v>
      </c>
      <c r="D21" s="2907">
        <v>100</v>
      </c>
      <c r="E21" s="274"/>
      <c r="F21" s="3754">
        <f>SUMIF(83:83,E22,84:84)-SUMIF(83:83,C22,84:84)+100</f>
        <v>100</v>
      </c>
      <c r="G21" s="273"/>
      <c r="H21" s="268">
        <f>SUMIF(83:83,G22,84:84)-SUMIF(83:83,C22,84:84)+100</f>
        <v>100</v>
      </c>
      <c r="I21" s="273"/>
      <c r="J21" s="268">
        <f>SUMIF(83:83,I22,84:84)-SUMIF(83:83,C22,84:84)+100</f>
        <v>100</v>
      </c>
      <c r="K21" s="396"/>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1416">
        <f t="shared" ref="AC21" si="10">D21/J21</f>
        <v>1</v>
      </c>
    </row>
    <row r="22" spans="1:29" ht="15">
      <c r="A22" s="254"/>
      <c r="B22" s="407"/>
      <c r="C22" s="1418"/>
      <c r="D22" s="2906"/>
      <c r="E22" s="266"/>
      <c r="F22" s="267"/>
      <c r="G22" s="1369"/>
      <c r="H22" s="267"/>
      <c r="I22" s="1369"/>
      <c r="J22" s="267"/>
      <c r="K22" s="758"/>
      <c r="L22" s="1980"/>
      <c r="M22" s="1975"/>
      <c r="N22" s="1975"/>
      <c r="O22" s="1975"/>
      <c r="P22" s="4506"/>
      <c r="Q22" s="1507"/>
      <c r="R22" s="3739"/>
      <c r="S22" s="3158"/>
      <c r="T22" s="3739"/>
      <c r="U22" s="3158"/>
      <c r="V22" s="3739"/>
      <c r="W22" s="3158"/>
      <c r="X22" s="910"/>
      <c r="Y22" s="4508"/>
      <c r="Z22" s="908"/>
      <c r="AA22" s="908">
        <v>1</v>
      </c>
      <c r="AB22" s="908">
        <v>1</v>
      </c>
      <c r="AC22" s="1416">
        <v>1</v>
      </c>
    </row>
    <row r="23" spans="1:29" ht="42.75">
      <c r="A23" s="254"/>
      <c r="B23" s="405" t="s">
        <v>1724</v>
      </c>
      <c r="C23" s="1417" t="str">
        <f>估价对象房地状况!C9</f>
        <v>区域自然环境：；人文环境；综合评价环境状况一般</v>
      </c>
      <c r="D23" s="2907">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06"/>
      <c r="Q23" s="1507" t="str">
        <f>B23</f>
        <v>环境质量</v>
      </c>
      <c r="R23" s="3739" t="s">
        <v>13</v>
      </c>
      <c r="S23" s="3158">
        <f>F23</f>
        <v>100</v>
      </c>
      <c r="T23" s="3739" t="s">
        <v>13</v>
      </c>
      <c r="U23" s="3158">
        <f>H23</f>
        <v>100</v>
      </c>
      <c r="V23" s="3739" t="s">
        <v>13</v>
      </c>
      <c r="W23" s="3158">
        <f>J23</f>
        <v>100</v>
      </c>
      <c r="X23" s="910"/>
      <c r="Y23" s="4508"/>
      <c r="Z23" s="908" t="str">
        <f>Q23</f>
        <v>环境质量</v>
      </c>
      <c r="AA23" s="908">
        <f t="shared" si="3"/>
        <v>1</v>
      </c>
      <c r="AB23" s="908">
        <f t="shared" si="4"/>
        <v>1</v>
      </c>
      <c r="AC23" s="1416">
        <f t="shared" si="5"/>
        <v>1</v>
      </c>
    </row>
    <row r="24" spans="1:29" ht="15">
      <c r="A24" s="254"/>
      <c r="B24" s="407"/>
      <c r="C24" s="1369" t="s">
        <v>3620</v>
      </c>
      <c r="D24" s="2906"/>
      <c r="E24" s="1369" t="s">
        <v>3620</v>
      </c>
      <c r="F24" s="267"/>
      <c r="G24" s="1369" t="s">
        <v>3620</v>
      </c>
      <c r="H24" s="267"/>
      <c r="I24" s="1369" t="s">
        <v>3620</v>
      </c>
      <c r="J24" s="267"/>
      <c r="K24" s="397"/>
      <c r="L24" s="1980"/>
      <c r="M24" s="1975"/>
      <c r="N24" s="1975"/>
      <c r="O24" s="1975"/>
      <c r="P24" s="4506"/>
      <c r="Q24" s="1507"/>
      <c r="R24" s="3739"/>
      <c r="S24" s="3158"/>
      <c r="T24" s="3739"/>
      <c r="U24" s="3158"/>
      <c r="V24" s="3739"/>
      <c r="W24" s="3158"/>
      <c r="X24" s="910"/>
      <c r="Y24" s="4508"/>
      <c r="Z24" s="908"/>
      <c r="AA24" s="908">
        <v>1</v>
      </c>
      <c r="AB24" s="908">
        <v>1</v>
      </c>
      <c r="AC24" s="1416">
        <v>1</v>
      </c>
    </row>
    <row r="25" spans="1:29" ht="27">
      <c r="A25" s="238"/>
      <c r="B25" s="405" t="s">
        <v>1725</v>
      </c>
      <c r="C25" s="1370"/>
      <c r="D25" s="2903">
        <v>100</v>
      </c>
      <c r="E25" s="259"/>
      <c r="F25" s="3755">
        <f>SUMIF(87:87,E26,88:88)-SUMIF(87:87,C26,88:88)+100</f>
        <v>100</v>
      </c>
      <c r="G25" s="1370"/>
      <c r="H25" s="3755">
        <f>SUMIF(87:87,G26,88:88)-SUMIF(87:87,C26,88:88)+100</f>
        <v>100</v>
      </c>
      <c r="I25" s="259"/>
      <c r="J25" s="3755">
        <f>SUMIF(87:87,I26,88:88)-SUMIF(87:87,C26,88:88)+100</f>
        <v>100</v>
      </c>
      <c r="K25" s="396"/>
      <c r="L25" s="1980"/>
      <c r="M25" s="1975"/>
      <c r="N25" s="1975"/>
      <c r="O25" s="1975"/>
      <c r="P25" s="4506"/>
      <c r="Q25" s="1507" t="str">
        <f>B25</f>
        <v>毗邻道路的类型与等级</v>
      </c>
      <c r="R25" s="3739" t="s">
        <v>13</v>
      </c>
      <c r="S25" s="3158">
        <f>F25</f>
        <v>100</v>
      </c>
      <c r="T25" s="3739" t="s">
        <v>13</v>
      </c>
      <c r="U25" s="3158">
        <f>H25</f>
        <v>100</v>
      </c>
      <c r="V25" s="3739" t="s">
        <v>13</v>
      </c>
      <c r="W25" s="3158">
        <f>J25</f>
        <v>100</v>
      </c>
      <c r="X25" s="910"/>
      <c r="Y25" s="4508"/>
      <c r="Z25" s="908" t="str">
        <f>Q25</f>
        <v>毗邻道路的类型与等级</v>
      </c>
      <c r="AA25" s="908">
        <f t="shared" si="3"/>
        <v>1</v>
      </c>
      <c r="AB25" s="908">
        <f t="shared" si="4"/>
        <v>1</v>
      </c>
      <c r="AC25" s="1416">
        <f t="shared" si="5"/>
        <v>1</v>
      </c>
    </row>
    <row r="26" spans="1:29" ht="15">
      <c r="A26" s="238"/>
      <c r="B26" s="406"/>
      <c r="C26" s="408"/>
      <c r="D26" s="2903"/>
      <c r="E26" s="398"/>
      <c r="F26" s="3755"/>
      <c r="G26" s="408"/>
      <c r="H26" s="3755"/>
      <c r="I26" s="398"/>
      <c r="J26" s="3755"/>
      <c r="K26" s="397"/>
      <c r="L26" s="1980"/>
      <c r="M26" s="1975"/>
      <c r="N26" s="1975"/>
      <c r="O26" s="1975"/>
      <c r="P26" s="4506"/>
      <c r="Q26" s="1507"/>
      <c r="R26" s="3739"/>
      <c r="S26" s="3158"/>
      <c r="T26" s="3739"/>
      <c r="U26" s="3158"/>
      <c r="V26" s="3739"/>
      <c r="W26" s="3158"/>
      <c r="X26" s="910"/>
      <c r="Y26" s="4508"/>
      <c r="Z26" s="908"/>
      <c r="AA26" s="908">
        <v>1</v>
      </c>
      <c r="AB26" s="908">
        <v>1</v>
      </c>
      <c r="AC26" s="1416">
        <v>1</v>
      </c>
    </row>
    <row r="27" spans="1:29" ht="15">
      <c r="A27" s="254"/>
      <c r="B27" s="406" t="s">
        <v>1693</v>
      </c>
      <c r="C27" s="408" t="s">
        <v>4018</v>
      </c>
      <c r="D27" s="2903">
        <v>100</v>
      </c>
      <c r="E27" s="398" t="s">
        <v>4018</v>
      </c>
      <c r="F27" s="3755">
        <f>SUMIF(89:89,E27,90:90)-SUMIF(89:89,C27,90:90)+100</f>
        <v>100</v>
      </c>
      <c r="G27" s="408" t="s">
        <v>4016</v>
      </c>
      <c r="H27" s="3755">
        <f>SUMIF(89:89,G27,90:90)-SUMIF(89:89,C27,90:90)+100</f>
        <v>102</v>
      </c>
      <c r="I27" s="398" t="s">
        <v>4018</v>
      </c>
      <c r="J27" s="3755">
        <f>SUMIF(89:89,I27,90:90)-SUMIF(89:89,C27,90:90)+100</f>
        <v>100</v>
      </c>
      <c r="K27" s="394">
        <v>2</v>
      </c>
      <c r="L27" s="1980"/>
      <c r="M27" s="1975"/>
      <c r="N27" s="1975"/>
      <c r="O27" s="1975"/>
      <c r="P27" s="4506"/>
      <c r="Q27" s="1507" t="str">
        <f t="shared" ref="Q27:Q47" si="11">B27</f>
        <v>楼层</v>
      </c>
      <c r="R27" s="3739" t="s">
        <v>13</v>
      </c>
      <c r="S27" s="3158">
        <f>F27</f>
        <v>100</v>
      </c>
      <c r="T27" s="3739" t="s">
        <v>13</v>
      </c>
      <c r="U27" s="3158">
        <f>H27</f>
        <v>102</v>
      </c>
      <c r="V27" s="3739" t="s">
        <v>13</v>
      </c>
      <c r="W27" s="3158">
        <f>J27</f>
        <v>100</v>
      </c>
      <c r="X27" s="910"/>
      <c r="Y27" s="4508"/>
      <c r="Z27" s="908" t="str">
        <f>Q27</f>
        <v>楼层</v>
      </c>
      <c r="AA27" s="908">
        <f t="shared" si="3"/>
        <v>1</v>
      </c>
      <c r="AB27" s="908">
        <f t="shared" si="4"/>
        <v>0.98039215686274506</v>
      </c>
      <c r="AC27" s="1416">
        <f t="shared" si="5"/>
        <v>1</v>
      </c>
    </row>
    <row r="28" spans="1:29" s="46" customFormat="1" ht="15">
      <c r="A28" s="257"/>
      <c r="B28" s="405" t="s">
        <v>1726</v>
      </c>
      <c r="C28" s="1419"/>
      <c r="D28" s="2909">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06"/>
      <c r="Q28" s="1698" t="str">
        <f t="shared" si="11"/>
        <v>朝向</v>
      </c>
      <c r="R28" s="3637" t="s">
        <v>13</v>
      </c>
      <c r="S28" s="3157">
        <f>F28</f>
        <v>100</v>
      </c>
      <c r="T28" s="3637" t="s">
        <v>13</v>
      </c>
      <c r="U28" s="3157">
        <f>H28</f>
        <v>100</v>
      </c>
      <c r="V28" s="3637" t="s">
        <v>13</v>
      </c>
      <c r="W28" s="3157">
        <f>J28</f>
        <v>100</v>
      </c>
      <c r="X28" s="482"/>
      <c r="Y28" s="4508"/>
      <c r="Z28" s="28" t="str">
        <f>Q28</f>
        <v>朝向</v>
      </c>
      <c r="AA28" s="908">
        <f>D28/F28</f>
        <v>1</v>
      </c>
      <c r="AB28" s="908">
        <f>D28/H28</f>
        <v>1</v>
      </c>
      <c r="AC28" s="1416">
        <f>D28/J28</f>
        <v>1</v>
      </c>
    </row>
    <row r="29" spans="1:29" ht="15">
      <c r="A29" s="254"/>
      <c r="B29" s="777">
        <v>111</v>
      </c>
      <c r="C29" s="1370"/>
      <c r="D29" s="2903">
        <v>100</v>
      </c>
      <c r="E29" s="258"/>
      <c r="F29" s="3755">
        <f>SUMIF(93:93,E29,94:94)-SUMIF(93:93,C29,94:94)+100</f>
        <v>100</v>
      </c>
      <c r="G29" s="1414"/>
      <c r="H29" s="3755">
        <f>SUMIF(93:93,G29,94:94)-SUMIF(93:93,C29,94:94)+100</f>
        <v>100</v>
      </c>
      <c r="I29" s="258"/>
      <c r="J29" s="3755">
        <f>SUMIF(93:93,I29,94:94)-SUMIF(93:93,C29,94:94)+100</f>
        <v>100</v>
      </c>
      <c r="K29" s="395"/>
      <c r="L29" s="1980"/>
      <c r="M29" s="1975"/>
      <c r="N29" s="1975"/>
      <c r="O29" s="1975"/>
      <c r="P29" s="4506"/>
      <c r="Q29" s="1507">
        <f t="shared" si="11"/>
        <v>111</v>
      </c>
      <c r="R29" s="3739" t="s">
        <v>13</v>
      </c>
      <c r="S29" s="3158">
        <f t="shared" ref="S29:S47" si="12">F29</f>
        <v>100</v>
      </c>
      <c r="T29" s="3739" t="s">
        <v>13</v>
      </c>
      <c r="U29" s="3158">
        <f t="shared" ref="U29:U47" si="13">H29</f>
        <v>100</v>
      </c>
      <c r="V29" s="3739" t="s">
        <v>13</v>
      </c>
      <c r="W29" s="3158">
        <f t="shared" ref="W29:W47" si="14">J29</f>
        <v>100</v>
      </c>
      <c r="X29" s="910"/>
      <c r="Y29" s="4508"/>
      <c r="Z29" s="908">
        <f t="shared" ref="Z29:Z47" si="15">Q29</f>
        <v>111</v>
      </c>
      <c r="AA29" s="908">
        <f t="shared" si="3"/>
        <v>1</v>
      </c>
      <c r="AB29" s="908">
        <f t="shared" si="4"/>
        <v>1</v>
      </c>
      <c r="AC29" s="1416">
        <f t="shared" si="5"/>
        <v>1</v>
      </c>
    </row>
    <row r="30" spans="1:29" ht="15">
      <c r="A30" s="254"/>
      <c r="B30" s="777">
        <v>111</v>
      </c>
      <c r="C30" s="1370"/>
      <c r="D30" s="2903">
        <v>100</v>
      </c>
      <c r="E30" s="258"/>
      <c r="F30" s="3755">
        <f>SUMIF(95:95,E30,96:96)-SUMIF(95:95,C30,96:96)+100</f>
        <v>100</v>
      </c>
      <c r="G30" s="1414"/>
      <c r="H30" s="3755">
        <f>SUMIF(95:95,G30,96:96)-SUMIF(95:95,C30,96:96)+100</f>
        <v>100</v>
      </c>
      <c r="I30" s="258"/>
      <c r="J30" s="3755">
        <f>SUMIF(95:95,I30,96:96)-SUMIF(95:95,C30,96:96)+100</f>
        <v>100</v>
      </c>
      <c r="K30" s="395"/>
      <c r="L30" s="1980"/>
      <c r="M30" s="1975"/>
      <c r="N30" s="1975"/>
      <c r="O30" s="1975"/>
      <c r="P30" s="4506"/>
      <c r="Q30" s="1507">
        <f t="shared" si="11"/>
        <v>111</v>
      </c>
      <c r="R30" s="3739" t="s">
        <v>13</v>
      </c>
      <c r="S30" s="3158">
        <f t="shared" si="12"/>
        <v>100</v>
      </c>
      <c r="T30" s="3739" t="s">
        <v>13</v>
      </c>
      <c r="U30" s="3158">
        <f t="shared" si="13"/>
        <v>100</v>
      </c>
      <c r="V30" s="3739" t="s">
        <v>13</v>
      </c>
      <c r="W30" s="3158">
        <f t="shared" si="14"/>
        <v>100</v>
      </c>
      <c r="X30" s="910"/>
      <c r="Y30" s="4508"/>
      <c r="Z30" s="908">
        <f t="shared" si="15"/>
        <v>111</v>
      </c>
      <c r="AA30" s="908">
        <f t="shared" si="3"/>
        <v>1</v>
      </c>
      <c r="AB30" s="908">
        <f t="shared" si="4"/>
        <v>1</v>
      </c>
      <c r="AC30" s="1416">
        <f t="shared" si="5"/>
        <v>1</v>
      </c>
    </row>
    <row r="31" spans="1:29" ht="15">
      <c r="A31" s="254"/>
      <c r="B31" s="777">
        <v>111</v>
      </c>
      <c r="C31" s="1370"/>
      <c r="D31" s="2903">
        <v>100</v>
      </c>
      <c r="E31" s="258"/>
      <c r="F31" s="3755">
        <f>SUMIF(97:97,E31,98:98)-SUMIF(97:97,C31,98:98)+100</f>
        <v>100</v>
      </c>
      <c r="G31" s="1414"/>
      <c r="H31" s="3755">
        <f>SUMIF(97:97,G31,98:98)-SUMIF(97:97,C31,98:98)+100</f>
        <v>100</v>
      </c>
      <c r="I31" s="258"/>
      <c r="J31" s="3755">
        <f>SUMIF(97:97,I31,98:98)-SUMIF(97:97,C31,98:98)+100</f>
        <v>100</v>
      </c>
      <c r="K31" s="395"/>
      <c r="L31" s="1980"/>
      <c r="M31" s="1975"/>
      <c r="N31" s="1975"/>
      <c r="O31" s="1975"/>
      <c r="P31" s="4506"/>
      <c r="Q31" s="1507">
        <f t="shared" si="11"/>
        <v>111</v>
      </c>
      <c r="R31" s="3739" t="s">
        <v>13</v>
      </c>
      <c r="S31" s="3158">
        <f t="shared" si="12"/>
        <v>100</v>
      </c>
      <c r="T31" s="3739" t="s">
        <v>13</v>
      </c>
      <c r="U31" s="3158">
        <f t="shared" si="13"/>
        <v>100</v>
      </c>
      <c r="V31" s="3739" t="s">
        <v>13</v>
      </c>
      <c r="W31" s="3158">
        <f t="shared" si="14"/>
        <v>100</v>
      </c>
      <c r="X31" s="910"/>
      <c r="Y31" s="4508"/>
      <c r="Z31" s="908">
        <f t="shared" si="15"/>
        <v>111</v>
      </c>
      <c r="AA31" s="908">
        <f t="shared" si="3"/>
        <v>1</v>
      </c>
      <c r="AB31" s="908">
        <f t="shared" si="4"/>
        <v>1</v>
      </c>
      <c r="AC31" s="1416">
        <f t="shared" si="5"/>
        <v>1</v>
      </c>
    </row>
    <row r="32" spans="1:29" ht="15.75" thickBot="1">
      <c r="A32" s="260"/>
      <c r="B32" s="409">
        <v>111</v>
      </c>
      <c r="C32" s="1371"/>
      <c r="D32" s="2904">
        <v>100</v>
      </c>
      <c r="E32" s="402"/>
      <c r="F32" s="3752">
        <f>SUMIF(99:99,E32,100:100)-SUMIF(99:99,C32,100:100)+100</f>
        <v>100</v>
      </c>
      <c r="G32" s="1414"/>
      <c r="H32" s="3752">
        <f>SUMIF(99:99,G32,100:100)-SUMIF(99:99,C32,100:100)+100</f>
        <v>100</v>
      </c>
      <c r="I32" s="258"/>
      <c r="J32" s="3752">
        <f>SUMIF(99:99,I32,100:100)-SUMIF(99:99,C32,100:100)+100</f>
        <v>100</v>
      </c>
      <c r="K32" s="395"/>
      <c r="L32" s="1980"/>
      <c r="M32" s="1975"/>
      <c r="N32" s="1975"/>
      <c r="O32" s="1975"/>
      <c r="P32" s="4506"/>
      <c r="Q32" s="1507">
        <f t="shared" si="11"/>
        <v>111</v>
      </c>
      <c r="R32" s="3739" t="s">
        <v>13</v>
      </c>
      <c r="S32" s="3158">
        <f t="shared" si="12"/>
        <v>100</v>
      </c>
      <c r="T32" s="3739" t="s">
        <v>13</v>
      </c>
      <c r="U32" s="3158">
        <f t="shared" si="13"/>
        <v>100</v>
      </c>
      <c r="V32" s="3739" t="s">
        <v>13</v>
      </c>
      <c r="W32" s="3158">
        <f t="shared" si="14"/>
        <v>100</v>
      </c>
      <c r="X32" s="910"/>
      <c r="Y32" s="4508"/>
      <c r="Z32" s="908">
        <f t="shared" si="15"/>
        <v>111</v>
      </c>
      <c r="AA32" s="908">
        <f t="shared" si="3"/>
        <v>1</v>
      </c>
      <c r="AB32" s="908">
        <f t="shared" si="4"/>
        <v>1</v>
      </c>
      <c r="AC32" s="1416">
        <f t="shared" si="5"/>
        <v>1</v>
      </c>
    </row>
    <row r="33" spans="1:29" ht="15">
      <c r="A33" s="262" t="s">
        <v>1604</v>
      </c>
      <c r="B33" s="34" t="s">
        <v>1727</v>
      </c>
      <c r="C33" s="1420" t="s">
        <v>4021</v>
      </c>
      <c r="D33" s="2910">
        <v>100</v>
      </c>
      <c r="E33" s="1420" t="s">
        <v>4021</v>
      </c>
      <c r="F33" s="909">
        <f>SUMIF(101:101,E33,102:102)-SUMIF(101:101,C33,102:102)+100</f>
        <v>100</v>
      </c>
      <c r="G33" s="1420" t="s">
        <v>4021</v>
      </c>
      <c r="H33" s="3755">
        <f>SUMIF(101:101,G33,102:102)-SUMIF(101:101,C33,102:102)+100</f>
        <v>100</v>
      </c>
      <c r="I33" s="1420" t="s">
        <v>4021</v>
      </c>
      <c r="J33" s="3758">
        <f>SUMIF(101:101,I33,102:102)-SUMIF(101:101,C33,102:102)+100</f>
        <v>100</v>
      </c>
      <c r="K33" s="394"/>
      <c r="L33" s="1980"/>
      <c r="M33" s="1975"/>
      <c r="N33" s="1975"/>
      <c r="O33" s="1975"/>
      <c r="P33" s="4509" t="s">
        <v>1606</v>
      </c>
      <c r="Q33" s="1507" t="str">
        <f t="shared" si="11"/>
        <v>建筑类型</v>
      </c>
      <c r="R33" s="3739" t="s">
        <v>13</v>
      </c>
      <c r="S33" s="3158">
        <f t="shared" si="12"/>
        <v>100</v>
      </c>
      <c r="T33" s="3739" t="s">
        <v>13</v>
      </c>
      <c r="U33" s="3158">
        <f t="shared" si="13"/>
        <v>100</v>
      </c>
      <c r="V33" s="3739" t="s">
        <v>13</v>
      </c>
      <c r="W33" s="3158">
        <f t="shared" si="14"/>
        <v>100</v>
      </c>
      <c r="X33" s="910"/>
      <c r="Y33" s="4512" t="s">
        <v>1606</v>
      </c>
      <c r="Z33" s="908" t="str">
        <f t="shared" si="15"/>
        <v>建筑类型</v>
      </c>
      <c r="AA33" s="908">
        <f t="shared" si="3"/>
        <v>1</v>
      </c>
      <c r="AB33" s="908">
        <f t="shared" si="4"/>
        <v>1</v>
      </c>
      <c r="AC33" s="1416">
        <f t="shared" si="5"/>
        <v>1</v>
      </c>
    </row>
    <row r="34" spans="1:29" s="279" customFormat="1" ht="15">
      <c r="A34" s="277"/>
      <c r="B34" s="252" t="s">
        <v>1607</v>
      </c>
      <c r="C34" s="278">
        <f>项目基本情况!C17</f>
        <v>109.4</v>
      </c>
      <c r="D34" s="2901">
        <v>100</v>
      </c>
      <c r="E34" s="278">
        <v>163.78</v>
      </c>
      <c r="F34" s="252">
        <f>LOOKUP(E34,104:104,105:105)-LOOKUP(C34,104:104,105:105)+100</f>
        <v>100</v>
      </c>
      <c r="G34" s="278">
        <v>67.36</v>
      </c>
      <c r="H34" s="422">
        <f>LOOKUP(G34,104:104,105:105)-LOOKUP(C34,104:104,105:105)+100</f>
        <v>100</v>
      </c>
      <c r="I34" s="278">
        <v>109.52</v>
      </c>
      <c r="J34" s="422">
        <f>LOOKUP(I34,104:104,105:105)-LOOKUP(C34,104:104,105:105)+100</f>
        <v>100</v>
      </c>
      <c r="K34" s="395"/>
      <c r="L34" s="1979"/>
      <c r="M34" s="1981"/>
      <c r="N34" s="1981"/>
      <c r="O34" s="1981"/>
      <c r="P34" s="4510"/>
      <c r="Q34" s="2865" t="str">
        <f t="shared" si="11"/>
        <v>项目建筑规模</v>
      </c>
      <c r="R34" s="3740" t="s">
        <v>13</v>
      </c>
      <c r="S34" s="3159">
        <f t="shared" si="12"/>
        <v>100</v>
      </c>
      <c r="T34" s="3740" t="s">
        <v>13</v>
      </c>
      <c r="U34" s="3159">
        <f t="shared" si="13"/>
        <v>100</v>
      </c>
      <c r="V34" s="3740" t="s">
        <v>13</v>
      </c>
      <c r="W34" s="3159">
        <f t="shared" si="14"/>
        <v>100</v>
      </c>
      <c r="X34" s="484"/>
      <c r="Y34" s="4512"/>
      <c r="Z34" s="485" t="str">
        <f t="shared" si="15"/>
        <v>项目建筑规模</v>
      </c>
      <c r="AA34" s="908">
        <f t="shared" si="3"/>
        <v>1</v>
      </c>
      <c r="AB34" s="908">
        <f t="shared" si="4"/>
        <v>1</v>
      </c>
      <c r="AC34" s="1416">
        <f t="shared" si="5"/>
        <v>1</v>
      </c>
    </row>
    <row r="35" spans="1:29" ht="15">
      <c r="A35" s="280"/>
      <c r="B35" s="252" t="s">
        <v>1608</v>
      </c>
      <c r="C35" s="275" t="s">
        <v>4023</v>
      </c>
      <c r="D35" s="2903">
        <v>100</v>
      </c>
      <c r="E35" s="275" t="s">
        <v>4023</v>
      </c>
      <c r="F35" s="909">
        <f>SUMIF(106:106,E35,107:107)-SUMIF(106:106,C35,107:107)+100</f>
        <v>100</v>
      </c>
      <c r="G35" s="275" t="s">
        <v>4023</v>
      </c>
      <c r="H35" s="3755">
        <f>SUMIF(106:106,G35,107:107)-SUMIF(106:106,C35,107:107)+100</f>
        <v>100</v>
      </c>
      <c r="I35" s="275" t="s">
        <v>4023</v>
      </c>
      <c r="J35" s="3755">
        <f>SUMIF(106:106,I35,107:107)-SUMIF(106:106,C35,107:107)+100</f>
        <v>100</v>
      </c>
      <c r="K35" s="394"/>
      <c r="L35" s="1980"/>
      <c r="M35" s="1975"/>
      <c r="N35" s="1975"/>
      <c r="O35" s="1975"/>
      <c r="P35" s="4510"/>
      <c r="Q35" s="1507" t="str">
        <f t="shared" si="11"/>
        <v>建筑结构</v>
      </c>
      <c r="R35" s="3739" t="s">
        <v>13</v>
      </c>
      <c r="S35" s="3158">
        <f t="shared" si="12"/>
        <v>100</v>
      </c>
      <c r="T35" s="3739" t="s">
        <v>13</v>
      </c>
      <c r="U35" s="3158">
        <f t="shared" si="13"/>
        <v>100</v>
      </c>
      <c r="V35" s="3739" t="s">
        <v>13</v>
      </c>
      <c r="W35" s="3158">
        <f t="shared" si="14"/>
        <v>100</v>
      </c>
      <c r="X35" s="910"/>
      <c r="Y35" s="4512"/>
      <c r="Z35" s="908" t="str">
        <f t="shared" si="15"/>
        <v>建筑结构</v>
      </c>
      <c r="AA35" s="908">
        <f t="shared" si="3"/>
        <v>1</v>
      </c>
      <c r="AB35" s="908">
        <f t="shared" si="4"/>
        <v>1</v>
      </c>
      <c r="AC35" s="1416">
        <f t="shared" si="5"/>
        <v>1</v>
      </c>
    </row>
    <row r="36" spans="1:29" ht="15">
      <c r="A36" s="280"/>
      <c r="B36" s="252" t="s">
        <v>1695</v>
      </c>
      <c r="C36" s="275" t="s">
        <v>4025</v>
      </c>
      <c r="D36" s="2903">
        <v>100</v>
      </c>
      <c r="E36" s="275" t="s">
        <v>4025</v>
      </c>
      <c r="F36" s="909">
        <f>SUMIF(108:108,E36,109:109)-SUMIF(108:108,C36,109:109)+100</f>
        <v>100</v>
      </c>
      <c r="G36" s="275" t="s">
        <v>4025</v>
      </c>
      <c r="H36" s="3755">
        <f>SUMIF(108:108,G36,109:109)-SUMIF(108:108,C36,109:109)+100</f>
        <v>100</v>
      </c>
      <c r="I36" s="275" t="s">
        <v>4025</v>
      </c>
      <c r="J36" s="3755">
        <f>SUMIF(108:108,I36,109:109)-SUMIF(108:108,C36,109:109)+100</f>
        <v>100</v>
      </c>
      <c r="K36" s="394"/>
      <c r="L36" s="1980"/>
      <c r="M36" s="1975"/>
      <c r="N36" s="1975"/>
      <c r="O36" s="1975"/>
      <c r="P36" s="4510"/>
      <c r="Q36" s="1507" t="str">
        <f t="shared" si="11"/>
        <v>公共部分装修</v>
      </c>
      <c r="R36" s="3739" t="s">
        <v>13</v>
      </c>
      <c r="S36" s="3158">
        <f t="shared" si="12"/>
        <v>100</v>
      </c>
      <c r="T36" s="3739" t="s">
        <v>13</v>
      </c>
      <c r="U36" s="3158">
        <f t="shared" si="13"/>
        <v>100</v>
      </c>
      <c r="V36" s="3739" t="s">
        <v>13</v>
      </c>
      <c r="W36" s="3158">
        <f t="shared" si="14"/>
        <v>100</v>
      </c>
      <c r="X36" s="910"/>
      <c r="Y36" s="4512"/>
      <c r="Z36" s="908" t="str">
        <f t="shared" si="15"/>
        <v>公共部分装修</v>
      </c>
      <c r="AA36" s="908">
        <f t="shared" si="3"/>
        <v>1</v>
      </c>
      <c r="AB36" s="908">
        <f t="shared" si="4"/>
        <v>1</v>
      </c>
      <c r="AC36" s="1416">
        <f t="shared" si="5"/>
        <v>1</v>
      </c>
    </row>
    <row r="37" spans="1:29" ht="15">
      <c r="A37" s="280"/>
      <c r="B37" s="252" t="s">
        <v>1696</v>
      </c>
      <c r="C37" s="282">
        <f>'数据-取费表'!N6</f>
        <v>0.8</v>
      </c>
      <c r="D37" s="2903">
        <v>100</v>
      </c>
      <c r="E37" s="4234">
        <f>C37</f>
        <v>0.8</v>
      </c>
      <c r="F37" s="909">
        <f>LOOKUP(E37,111:111,112:112)-LOOKUP(C37,111:111,112:112)+100</f>
        <v>100</v>
      </c>
      <c r="G37" s="4234">
        <f>E37</f>
        <v>0.8</v>
      </c>
      <c r="H37" s="909">
        <f>LOOKUP(G37,111:111,112:112)-LOOKUP(C37,111:111,112:112)+100</f>
        <v>100</v>
      </c>
      <c r="I37" s="4234">
        <f>G37</f>
        <v>0.8</v>
      </c>
      <c r="J37" s="3755">
        <f>LOOKUP(I37,111:111,112:112)-LOOKUP(C37,111:111,112:112)+100</f>
        <v>100</v>
      </c>
      <c r="K37" s="394"/>
      <c r="L37" s="1980"/>
      <c r="M37" s="1975"/>
      <c r="N37" s="1975"/>
      <c r="O37" s="1975"/>
      <c r="P37" s="4510"/>
      <c r="Q37" s="1507" t="str">
        <f t="shared" si="11"/>
        <v>成新度</v>
      </c>
      <c r="R37" s="3739" t="s">
        <v>13</v>
      </c>
      <c r="S37" s="3158">
        <f t="shared" si="12"/>
        <v>100</v>
      </c>
      <c r="T37" s="3739" t="s">
        <v>13</v>
      </c>
      <c r="U37" s="3158">
        <f t="shared" si="13"/>
        <v>100</v>
      </c>
      <c r="V37" s="3739" t="s">
        <v>13</v>
      </c>
      <c r="W37" s="3158">
        <f t="shared" si="14"/>
        <v>100</v>
      </c>
      <c r="X37" s="910"/>
      <c r="Y37" s="4512"/>
      <c r="Z37" s="908" t="str">
        <f t="shared" si="15"/>
        <v>成新度</v>
      </c>
      <c r="AA37" s="908">
        <f t="shared" si="3"/>
        <v>1</v>
      </c>
      <c r="AB37" s="908">
        <f t="shared" si="4"/>
        <v>1</v>
      </c>
      <c r="AC37" s="1416">
        <f t="shared" si="5"/>
        <v>1</v>
      </c>
    </row>
    <row r="38" spans="1:29" s="46" customFormat="1" ht="15">
      <c r="A38" s="281"/>
      <c r="B38" s="252" t="s">
        <v>1728</v>
      </c>
      <c r="C38" s="275" t="s">
        <v>4027</v>
      </c>
      <c r="D38" s="2901">
        <v>100</v>
      </c>
      <c r="E38" s="275" t="s">
        <v>4027</v>
      </c>
      <c r="F38" s="909">
        <f>SUMIF(113:113,E38,114:114)-SUMIF(113:113,C38,114:114)+100</f>
        <v>100</v>
      </c>
      <c r="G38" s="275" t="s">
        <v>4027</v>
      </c>
      <c r="H38" s="3755">
        <f>SUMIF(113:113,G38,114:114)-SUMIF(113:113,C38,114:114)+100</f>
        <v>100</v>
      </c>
      <c r="I38" s="275" t="s">
        <v>4027</v>
      </c>
      <c r="J38" s="3755">
        <f>SUMIF(113:113,I38,114:114)-SUMIF(113:113,C38,114:114)+100</f>
        <v>100</v>
      </c>
      <c r="K38" s="394"/>
      <c r="L38" s="1976"/>
      <c r="M38" s="1929"/>
      <c r="N38" s="1929"/>
      <c r="O38" s="1929"/>
      <c r="P38" s="4510"/>
      <c r="Q38" s="1698" t="str">
        <f t="shared" si="11"/>
        <v>写字楼等级</v>
      </c>
      <c r="R38" s="3637" t="s">
        <v>13</v>
      </c>
      <c r="S38" s="3157">
        <f t="shared" si="12"/>
        <v>100</v>
      </c>
      <c r="T38" s="3637" t="s">
        <v>13</v>
      </c>
      <c r="U38" s="3157">
        <f t="shared" si="13"/>
        <v>100</v>
      </c>
      <c r="V38" s="3637" t="s">
        <v>13</v>
      </c>
      <c r="W38" s="3157">
        <f t="shared" si="14"/>
        <v>100</v>
      </c>
      <c r="X38" s="482"/>
      <c r="Y38" s="4512"/>
      <c r="Z38" s="28" t="str">
        <f t="shared" si="15"/>
        <v>写字楼等级</v>
      </c>
      <c r="AA38" s="28">
        <f t="shared" si="3"/>
        <v>1</v>
      </c>
      <c r="AB38" s="28">
        <f t="shared" si="4"/>
        <v>1</v>
      </c>
      <c r="AC38" s="545">
        <f t="shared" si="5"/>
        <v>1</v>
      </c>
    </row>
    <row r="39" spans="1:29" ht="15">
      <c r="A39" s="280"/>
      <c r="B39" s="252" t="s">
        <v>1729</v>
      </c>
      <c r="C39" s="275" t="s">
        <v>4029</v>
      </c>
      <c r="D39" s="2903">
        <v>100</v>
      </c>
      <c r="E39" s="275" t="s">
        <v>4029</v>
      </c>
      <c r="F39" s="909">
        <f>SUMIF(115:115,E39,116:116)-SUMIF(115:115,C39,116:116)+100</f>
        <v>100</v>
      </c>
      <c r="G39" s="275" t="s">
        <v>4029</v>
      </c>
      <c r="H39" s="3755">
        <f>SUMIF(115:115,G39,116:116)-SUMIF(115:115,C39,116:116)+100</f>
        <v>100</v>
      </c>
      <c r="I39" s="275" t="s">
        <v>4029</v>
      </c>
      <c r="J39" s="3755">
        <f>SUMIF(115:115,I39,116:116)-SUMIF(115:115,C39,116:116)+100</f>
        <v>100</v>
      </c>
      <c r="K39" s="394"/>
      <c r="L39" s="1980"/>
      <c r="M39" s="1975"/>
      <c r="N39" s="1975"/>
      <c r="O39" s="1975"/>
      <c r="P39" s="4510" t="s">
        <v>1606</v>
      </c>
      <c r="Q39" s="1507" t="str">
        <f t="shared" si="11"/>
        <v>物业管理</v>
      </c>
      <c r="R39" s="3739" t="s">
        <v>13</v>
      </c>
      <c r="S39" s="3158">
        <f t="shared" si="12"/>
        <v>100</v>
      </c>
      <c r="T39" s="3739" t="s">
        <v>13</v>
      </c>
      <c r="U39" s="3158">
        <f t="shared" si="13"/>
        <v>100</v>
      </c>
      <c r="V39" s="3739" t="s">
        <v>13</v>
      </c>
      <c r="W39" s="3158">
        <f t="shared" si="14"/>
        <v>100</v>
      </c>
      <c r="X39" s="910"/>
      <c r="Y39" s="4512" t="s">
        <v>1606</v>
      </c>
      <c r="Z39" s="908" t="str">
        <f t="shared" si="15"/>
        <v>物业管理</v>
      </c>
      <c r="AA39" s="908">
        <f t="shared" si="3"/>
        <v>1</v>
      </c>
      <c r="AB39" s="908">
        <f t="shared" si="4"/>
        <v>1</v>
      </c>
      <c r="AC39" s="1416">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0"/>
      <c r="M40" s="1975"/>
      <c r="N40" s="1975"/>
      <c r="O40" s="1975"/>
      <c r="P40" s="4510"/>
      <c r="Q40" s="1507" t="str">
        <f t="shared" si="11"/>
        <v>市政基础设施</v>
      </c>
      <c r="R40" s="3739" t="s">
        <v>13</v>
      </c>
      <c r="S40" s="3158">
        <f t="shared" si="12"/>
        <v>100</v>
      </c>
      <c r="T40" s="3739" t="s">
        <v>13</v>
      </c>
      <c r="U40" s="3158">
        <f t="shared" si="13"/>
        <v>100</v>
      </c>
      <c r="V40" s="3739" t="s">
        <v>13</v>
      </c>
      <c r="W40" s="3158">
        <f t="shared" si="14"/>
        <v>100</v>
      </c>
      <c r="X40" s="910"/>
      <c r="Y40" s="4512"/>
      <c r="Z40" s="908" t="str">
        <f t="shared" si="15"/>
        <v>市政基础设施</v>
      </c>
      <c r="AA40" s="908">
        <f t="shared" si="3"/>
        <v>1</v>
      </c>
      <c r="AB40" s="908">
        <f t="shared" si="4"/>
        <v>1</v>
      </c>
      <c r="AC40" s="1416">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0"/>
      <c r="M41" s="1975"/>
      <c r="N41" s="1975"/>
      <c r="O41" s="1975"/>
      <c r="P41" s="4510"/>
      <c r="Q41" s="1507" t="str">
        <f t="shared" si="11"/>
        <v>层高</v>
      </c>
      <c r="R41" s="3739" t="s">
        <v>13</v>
      </c>
      <c r="S41" s="3158">
        <f t="shared" si="12"/>
        <v>100</v>
      </c>
      <c r="T41" s="3739" t="s">
        <v>13</v>
      </c>
      <c r="U41" s="3158">
        <f t="shared" si="13"/>
        <v>100</v>
      </c>
      <c r="V41" s="3739" t="s">
        <v>13</v>
      </c>
      <c r="W41" s="3158">
        <f t="shared" si="14"/>
        <v>100</v>
      </c>
      <c r="X41" s="910"/>
      <c r="Y41" s="4512"/>
      <c r="Z41" s="908" t="str">
        <f t="shared" si="15"/>
        <v>层高</v>
      </c>
      <c r="AA41" s="908">
        <f t="shared" si="3"/>
        <v>1</v>
      </c>
      <c r="AB41" s="908">
        <f t="shared" si="4"/>
        <v>1</v>
      </c>
      <c r="AC41" s="1416">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79"/>
      <c r="M42" s="1981"/>
      <c r="N42" s="1981"/>
      <c r="O42" s="1981"/>
      <c r="P42" s="4510"/>
      <c r="Q42" s="2865" t="str">
        <f t="shared" si="11"/>
        <v>单套建筑面积</v>
      </c>
      <c r="R42" s="3740" t="s">
        <v>13</v>
      </c>
      <c r="S42" s="3159">
        <f t="shared" si="12"/>
        <v>100</v>
      </c>
      <c r="T42" s="3740" t="s">
        <v>13</v>
      </c>
      <c r="U42" s="3159">
        <f t="shared" si="13"/>
        <v>100</v>
      </c>
      <c r="V42" s="3740" t="s">
        <v>13</v>
      </c>
      <c r="W42" s="3159">
        <f t="shared" si="14"/>
        <v>100</v>
      </c>
      <c r="X42" s="484"/>
      <c r="Y42" s="4512"/>
      <c r="Z42" s="485" t="str">
        <f t="shared" si="15"/>
        <v>单套建筑面积</v>
      </c>
      <c r="AA42" s="908">
        <f t="shared" si="3"/>
        <v>1</v>
      </c>
      <c r="AB42" s="908">
        <f t="shared" si="4"/>
        <v>1</v>
      </c>
      <c r="AC42" s="1416">
        <f t="shared" si="5"/>
        <v>1</v>
      </c>
    </row>
    <row r="43" spans="1:29" ht="15">
      <c r="A43" s="280"/>
      <c r="B43" s="252" t="s">
        <v>1702</v>
      </c>
      <c r="C43" s="275" t="s">
        <v>4032</v>
      </c>
      <c r="D43" s="2903">
        <v>100</v>
      </c>
      <c r="E43" s="275" t="s">
        <v>4032</v>
      </c>
      <c r="F43" s="909">
        <f>SUMIF(123:123,E43,124:124)-SUMIF(123:123,C43,124:124)+100</f>
        <v>100</v>
      </c>
      <c r="G43" s="275" t="s">
        <v>4032</v>
      </c>
      <c r="H43" s="3755">
        <f>SUMIF(123:123,G43,124:124)-SUMIF(123:123,C43,124:124)+100</f>
        <v>100</v>
      </c>
      <c r="I43" s="275" t="s">
        <v>4032</v>
      </c>
      <c r="J43" s="3755">
        <f>SUMIF(123:123,I43,124:124)-SUMIF(123:123,C43,124:124)+100</f>
        <v>100</v>
      </c>
      <c r="K43" s="394">
        <v>2</v>
      </c>
      <c r="L43" s="1980"/>
      <c r="M43" s="1975"/>
      <c r="N43" s="1975"/>
      <c r="O43" s="1975"/>
      <c r="P43" s="4510"/>
      <c r="Q43" s="1507" t="str">
        <f t="shared" si="11"/>
        <v>内部装修</v>
      </c>
      <c r="R43" s="3739" t="s">
        <v>13</v>
      </c>
      <c r="S43" s="3158">
        <f t="shared" si="12"/>
        <v>100</v>
      </c>
      <c r="T43" s="3739" t="s">
        <v>13</v>
      </c>
      <c r="U43" s="3158">
        <f t="shared" si="13"/>
        <v>100</v>
      </c>
      <c r="V43" s="3739" t="s">
        <v>13</v>
      </c>
      <c r="W43" s="3158">
        <f t="shared" si="14"/>
        <v>100</v>
      </c>
      <c r="X43" s="910"/>
      <c r="Y43" s="4512"/>
      <c r="Z43" s="908" t="str">
        <f t="shared" si="15"/>
        <v>内部装修</v>
      </c>
      <c r="AA43" s="908">
        <f t="shared" si="3"/>
        <v>1</v>
      </c>
      <c r="AB43" s="908">
        <f t="shared" si="4"/>
        <v>1</v>
      </c>
      <c r="AC43" s="1416">
        <f t="shared" si="5"/>
        <v>1</v>
      </c>
    </row>
    <row r="44" spans="1:29" ht="15">
      <c r="A44" s="280"/>
      <c r="B44" s="252" t="s">
        <v>1617</v>
      </c>
      <c r="C44" s="275" t="s">
        <v>3620</v>
      </c>
      <c r="D44" s="2903">
        <v>100</v>
      </c>
      <c r="E44" s="275" t="s">
        <v>3620</v>
      </c>
      <c r="F44" s="909">
        <f>SUMIF(125:125,E44,126:126)-SUMIF(125:125,C44,126:126)+100</f>
        <v>100</v>
      </c>
      <c r="G44" s="275" t="s">
        <v>3620</v>
      </c>
      <c r="H44" s="3755">
        <f>SUMIF(125:125,G44,126:126)-SUMIF(125:125,C44,126:126)+100</f>
        <v>100</v>
      </c>
      <c r="I44" s="275" t="s">
        <v>3620</v>
      </c>
      <c r="J44" s="3755">
        <f>SUMIF(125:125,I44,126:126)-SUMIF(125:125,C44,126:126)+100</f>
        <v>100</v>
      </c>
      <c r="K44" s="394">
        <v>1</v>
      </c>
      <c r="L44" s="1980"/>
      <c r="M44" s="1975"/>
      <c r="N44" s="1975"/>
      <c r="O44" s="1975"/>
      <c r="P44" s="4510"/>
      <c r="Q44" s="1507" t="str">
        <f t="shared" si="11"/>
        <v>内部装修维护情况</v>
      </c>
      <c r="R44" s="3739" t="s">
        <v>13</v>
      </c>
      <c r="S44" s="3158">
        <f t="shared" si="12"/>
        <v>100</v>
      </c>
      <c r="T44" s="3739" t="s">
        <v>13</v>
      </c>
      <c r="U44" s="3158">
        <f t="shared" si="13"/>
        <v>100</v>
      </c>
      <c r="V44" s="3739" t="s">
        <v>13</v>
      </c>
      <c r="W44" s="3158">
        <f t="shared" si="14"/>
        <v>100</v>
      </c>
      <c r="X44" s="910"/>
      <c r="Y44" s="4512"/>
      <c r="Z44" s="908" t="str">
        <f t="shared" si="15"/>
        <v>内部装修维护情况</v>
      </c>
      <c r="AA44" s="908">
        <f t="shared" si="3"/>
        <v>1</v>
      </c>
      <c r="AB44" s="908">
        <f t="shared" si="4"/>
        <v>1</v>
      </c>
      <c r="AC44" s="1416">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0"/>
      <c r="Q45" s="1698">
        <f t="shared" si="11"/>
        <v>111</v>
      </c>
      <c r="R45" s="3637" t="s">
        <v>13</v>
      </c>
      <c r="S45" s="3157">
        <f t="shared" si="12"/>
        <v>100</v>
      </c>
      <c r="T45" s="3637" t="s">
        <v>13</v>
      </c>
      <c r="U45" s="3157">
        <f t="shared" si="13"/>
        <v>100</v>
      </c>
      <c r="V45" s="3637" t="s">
        <v>13</v>
      </c>
      <c r="W45" s="3157">
        <f t="shared" si="14"/>
        <v>100</v>
      </c>
      <c r="X45" s="482"/>
      <c r="Y45" s="4512"/>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0"/>
      <c r="M46" s="1975"/>
      <c r="N46" s="1975"/>
      <c r="O46" s="1975"/>
      <c r="P46" s="4510"/>
      <c r="Q46" s="1507">
        <f t="shared" si="11"/>
        <v>111</v>
      </c>
      <c r="R46" s="3739" t="s">
        <v>13</v>
      </c>
      <c r="S46" s="3158">
        <f t="shared" si="12"/>
        <v>100</v>
      </c>
      <c r="T46" s="3739" t="s">
        <v>13</v>
      </c>
      <c r="U46" s="3158">
        <f t="shared" si="13"/>
        <v>100</v>
      </c>
      <c r="V46" s="3739" t="s">
        <v>13</v>
      </c>
      <c r="W46" s="3158">
        <f t="shared" si="14"/>
        <v>100</v>
      </c>
      <c r="X46" s="910"/>
      <c r="Y46" s="4512"/>
      <c r="Z46" s="908">
        <f t="shared" si="15"/>
        <v>111</v>
      </c>
      <c r="AA46" s="908">
        <f t="shared" si="3"/>
        <v>1</v>
      </c>
      <c r="AB46" s="908">
        <f t="shared" si="4"/>
        <v>1</v>
      </c>
      <c r="AC46" s="1416">
        <f t="shared" si="5"/>
        <v>1</v>
      </c>
    </row>
    <row r="47" spans="1:29" ht="15.75"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0"/>
      <c r="M47" s="1975"/>
      <c r="N47" s="1975"/>
      <c r="O47" s="1975"/>
      <c r="P47" s="4511"/>
      <c r="Q47" s="1507">
        <f t="shared" si="11"/>
        <v>111</v>
      </c>
      <c r="R47" s="3739" t="s">
        <v>13</v>
      </c>
      <c r="S47" s="3158">
        <f t="shared" si="12"/>
        <v>100</v>
      </c>
      <c r="T47" s="3739" t="s">
        <v>13</v>
      </c>
      <c r="U47" s="3158">
        <f t="shared" si="13"/>
        <v>100</v>
      </c>
      <c r="V47" s="3739" t="s">
        <v>13</v>
      </c>
      <c r="W47" s="3158">
        <f t="shared" si="14"/>
        <v>100</v>
      </c>
      <c r="X47" s="910"/>
      <c r="Y47" s="4513"/>
      <c r="Z47" s="908">
        <f t="shared" si="15"/>
        <v>111</v>
      </c>
      <c r="AA47" s="908">
        <f t="shared" si="3"/>
        <v>1</v>
      </c>
      <c r="AB47" s="908">
        <f t="shared" si="4"/>
        <v>1</v>
      </c>
      <c r="AC47" s="1416">
        <f t="shared" si="5"/>
        <v>1</v>
      </c>
    </row>
    <row r="48" spans="1:29" ht="15">
      <c r="A48" s="286" t="s">
        <v>1618</v>
      </c>
      <c r="B48" s="287"/>
      <c r="C48" s="765" t="s">
        <v>0</v>
      </c>
      <c r="D48" s="288"/>
      <c r="E48" s="3206">
        <v>20942</v>
      </c>
      <c r="F48" s="3154"/>
      <c r="G48" s="3207">
        <v>22119</v>
      </c>
      <c r="H48" s="3155"/>
      <c r="I48" s="3206">
        <v>23922</v>
      </c>
      <c r="J48" s="3155"/>
      <c r="K48" s="2863"/>
      <c r="L48" s="1982"/>
      <c r="M48" s="1975"/>
      <c r="N48" s="1975"/>
      <c r="O48" s="1975"/>
      <c r="P48" s="4477" t="str">
        <f>A48</f>
        <v>成交单价（元/平方米）</v>
      </c>
      <c r="Q48" s="4514"/>
      <c r="R48" s="4515">
        <f>E48</f>
        <v>20942</v>
      </c>
      <c r="S48" s="4515"/>
      <c r="T48" s="4515">
        <f>G48</f>
        <v>22119</v>
      </c>
      <c r="U48" s="4515"/>
      <c r="V48" s="4515">
        <f>I48</f>
        <v>23922</v>
      </c>
      <c r="W48" s="4515"/>
      <c r="X48" s="265"/>
      <c r="Y48" s="486"/>
      <c r="Z48" s="265"/>
      <c r="AA48" s="265"/>
      <c r="AB48" s="265"/>
      <c r="AC48" s="404"/>
    </row>
    <row r="49" spans="1:29" ht="15.75" thickBot="1">
      <c r="A49" s="289" t="s">
        <v>1703</v>
      </c>
      <c r="B49" s="290"/>
      <c r="C49" s="3737">
        <f>R50</f>
        <v>21748</v>
      </c>
      <c r="D49" s="3849" t="s">
        <v>2045</v>
      </c>
      <c r="E49" s="3748">
        <f>R49</f>
        <v>20531</v>
      </c>
      <c r="F49" s="2802"/>
      <c r="G49" s="3737">
        <f>T49</f>
        <v>21260</v>
      </c>
      <c r="H49" s="2802"/>
      <c r="I49" s="3748">
        <f>V49</f>
        <v>23453</v>
      </c>
      <c r="J49" s="2802"/>
      <c r="K49" s="2856">
        <f>F49+H49+J49</f>
        <v>0</v>
      </c>
      <c r="L49" s="1982"/>
      <c r="M49" s="1975"/>
      <c r="N49" s="1975"/>
      <c r="O49" s="1975"/>
      <c r="P49" s="4477" t="str">
        <f>A49</f>
        <v>比较价值（元/平方米）</v>
      </c>
      <c r="Q49" s="4514"/>
      <c r="R49" s="4515">
        <f>IF(F1="售价",ROUND(PRODUCT(R48,AA7:AA47),0),ROUND(PRODUCT(R48,AA7:AA47),1))</f>
        <v>20531</v>
      </c>
      <c r="S49" s="4515"/>
      <c r="T49" s="4515">
        <f>IF(F1="售价",ROUND(PRODUCT(T48,AB7:AB47),0),ROUND(PRODUCT(T48,AB7:AB47),1))</f>
        <v>21260</v>
      </c>
      <c r="U49" s="4515"/>
      <c r="V49" s="4515">
        <f>IF(F1="售价",ROUND(PRODUCT(V48,AC7:AC47),0),ROUND(PRODUCT(V48,AC7:AC47),1))</f>
        <v>23453</v>
      </c>
      <c r="W49" s="4515"/>
      <c r="X49" s="265"/>
      <c r="Y49" s="265"/>
      <c r="Z49" s="265"/>
      <c r="AA49" s="265"/>
      <c r="AB49" s="265"/>
      <c r="AC49" s="404"/>
    </row>
    <row r="50" spans="1:29" ht="15.75" thickBot="1">
      <c r="A50" s="291" t="s">
        <v>1704</v>
      </c>
      <c r="B50" s="292"/>
      <c r="C50" s="3749">
        <f>R50</f>
        <v>21748</v>
      </c>
      <c r="D50" s="241"/>
      <c r="E50" s="241"/>
      <c r="F50" s="241"/>
      <c r="G50" s="241"/>
      <c r="H50" s="241"/>
      <c r="I50" s="241"/>
      <c r="J50" s="293"/>
      <c r="K50" s="487"/>
      <c r="L50" s="1982"/>
      <c r="M50" s="1975"/>
      <c r="N50" s="1975"/>
      <c r="O50" s="1975"/>
      <c r="P50" s="4516" t="str">
        <f>A50</f>
        <v>估价对象XX用房的比较价值（楼面单价，元/平方米）</v>
      </c>
      <c r="Q50" s="4517"/>
      <c r="R50" s="4518">
        <f>IF(F1="售价",ROUND(IF(D49="简单平均",AVERAGE(R49:V49),R49*F49+T49*H49+V49*J49),0),ROUND(IF(D49="简单平均",AVERAGE(R49:V49),R49*F49+T49*H49+V49*J49),1))</f>
        <v>21748</v>
      </c>
      <c r="S50" s="4518"/>
      <c r="T50" s="4518"/>
      <c r="U50" s="4518"/>
      <c r="V50" s="4518"/>
      <c r="W50" s="4518"/>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2.0018508596756135E-2</v>
      </c>
      <c r="F53" s="299" t="str">
        <f>IF(OR(E53&gt;=0.3,E53&lt;=-0.3),"超过30%","")</f>
        <v/>
      </c>
      <c r="G53" s="298">
        <f>IF(G48&lt;G49,G49/G48-1,G48/G49-1)</f>
        <v>4.0404515522107332E-2</v>
      </c>
      <c r="H53" s="299" t="str">
        <f>IF(OR(G53&gt;=0.3,G53&lt;=-0.3),"超过30%","")</f>
        <v/>
      </c>
      <c r="I53" s="298">
        <f>IF(I48&lt;I49,I49/I48-1,I48/I49-1)</f>
        <v>1.9997441691894435E-2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3.5507281671618429E-2</v>
      </c>
      <c r="F54" s="299" t="str">
        <f>IF(OR(E54&gt;=0.2,E54&lt;=-0.2),"超过20%","")</f>
        <v/>
      </c>
      <c r="G54" s="298">
        <f>IF(G49&lt;I49,I49/G49-1,G49/I49-1)</f>
        <v>0.10315145813734716</v>
      </c>
      <c r="H54" s="299" t="str">
        <f>IF(OR(G54&gt;=0.2,G54&lt;=-0.2),"超过20%","")</f>
        <v/>
      </c>
      <c r="I54" s="298">
        <f>IF(I49&lt;E49,E49/I49-1,I49/E49-1)</f>
        <v>0.1423213676878865</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5.6202845955496183E-2</v>
      </c>
      <c r="F55" s="299" t="str">
        <f>IF(OR(E55&gt;=0.3,E55&lt;=-0.3),"超过30%","")</f>
        <v/>
      </c>
      <c r="G55" s="298">
        <f>IF(G48&lt;I48,I48/G48-1,G48/I48-1)</f>
        <v>8.1513630815136295E-2</v>
      </c>
      <c r="H55" s="299" t="str">
        <f>IF(OR(G55&gt;=0.3,G55&lt;=-0.3),"超过30%","")</f>
        <v/>
      </c>
      <c r="I55" s="298">
        <f>IF(I48&lt;E48,E48/I48-1,I48/E48-1)</f>
        <v>0.14229777480660877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8" t="s">
        <v>4015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102</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3887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29" t="s">
        <v>4017</v>
      </c>
      <c r="D89" s="4229" t="s">
        <v>4019</v>
      </c>
      <c r="E89" s="4229" t="s">
        <v>4020</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4230" t="s">
        <v>4022</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0(含)-500</v>
      </c>
      <c r="D103" s="368" t="str">
        <f t="shared" ref="D103:L103" si="23">D104&amp;"(含)"&amp;"-"&amp;E104</f>
        <v>500(含)-1000</v>
      </c>
      <c r="E103" s="368" t="str">
        <f t="shared" si="23"/>
        <v>1000(含)-2000</v>
      </c>
      <c r="F103" s="368" t="str">
        <f t="shared" si="23"/>
        <v>2000(含)-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f>C105-3</f>
        <v>97</v>
      </c>
      <c r="E105" s="329">
        <f t="shared" ref="E105:F105" si="24">D105-3</f>
        <v>94</v>
      </c>
      <c r="F105" s="329">
        <f t="shared" si="24"/>
        <v>91</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4229" t="s">
        <v>4024</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4229" t="s">
        <v>4026</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7">H111&amp;"(含)"&amp;"-"&amp;ROUND(I111,0)&amp;"(含)"</f>
        <v>0.75(含)-1(含)</v>
      </c>
      <c r="I110" s="368" t="str">
        <f t="shared" si="27"/>
        <v>0.85(含)-1(含)</v>
      </c>
      <c r="J110" s="368" t="str">
        <f t="shared" si="27"/>
        <v>0.85(含)-1(含)</v>
      </c>
      <c r="K110" s="368" t="str">
        <f t="shared" si="27"/>
        <v>0.9(含)-1(含)</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4229" t="s">
        <v>4028</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30">D114-$K38</f>
        <v>100</v>
      </c>
      <c r="F114" s="337">
        <f t="shared" si="30"/>
        <v>100</v>
      </c>
      <c r="G114" s="337">
        <f t="shared" si="30"/>
        <v>100</v>
      </c>
      <c r="H114" s="337">
        <f t="shared" si="30"/>
        <v>100</v>
      </c>
      <c r="I114" s="337">
        <f t="shared" si="30"/>
        <v>100</v>
      </c>
      <c r="J114" s="337">
        <f t="shared" si="30"/>
        <v>100</v>
      </c>
      <c r="K114" s="337">
        <f t="shared" si="30"/>
        <v>100</v>
      </c>
      <c r="L114" s="337">
        <f t="shared" si="30"/>
        <v>100</v>
      </c>
      <c r="M114" s="337">
        <f t="shared" si="3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4229" t="s">
        <v>4030</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100</v>
      </c>
      <c r="E116" s="337">
        <f t="shared" si="31"/>
        <v>100</v>
      </c>
      <c r="F116" s="337">
        <f t="shared" si="31"/>
        <v>100</v>
      </c>
      <c r="G116" s="337">
        <f t="shared" si="31"/>
        <v>100</v>
      </c>
      <c r="H116" s="337">
        <f t="shared" si="31"/>
        <v>100</v>
      </c>
      <c r="I116" s="337">
        <f t="shared" si="31"/>
        <v>100</v>
      </c>
      <c r="J116" s="337">
        <f t="shared" si="31"/>
        <v>100</v>
      </c>
      <c r="K116" s="337">
        <f t="shared" si="31"/>
        <v>100</v>
      </c>
      <c r="L116" s="337">
        <f t="shared" si="31"/>
        <v>100</v>
      </c>
      <c r="M116" s="338">
        <f t="shared" si="31"/>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2">D120-$K41</f>
        <v>100</v>
      </c>
      <c r="F120" s="337">
        <f t="shared" si="32"/>
        <v>100</v>
      </c>
      <c r="G120" s="337">
        <f t="shared" si="32"/>
        <v>100</v>
      </c>
      <c r="H120" s="337">
        <f t="shared" si="32"/>
        <v>100</v>
      </c>
      <c r="I120" s="337">
        <f t="shared" si="32"/>
        <v>100</v>
      </c>
      <c r="J120" s="337">
        <f t="shared" si="32"/>
        <v>100</v>
      </c>
      <c r="K120" s="337">
        <f t="shared" si="32"/>
        <v>100</v>
      </c>
      <c r="L120" s="337">
        <f t="shared" si="32"/>
        <v>100</v>
      </c>
      <c r="M120" s="337">
        <f t="shared" si="3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4229" t="s">
        <v>4031</v>
      </c>
      <c r="D123" s="4229" t="s">
        <v>4033</v>
      </c>
      <c r="E123" s="4229" t="s">
        <v>4034</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dw81BeMm9lQUMSh8rVhda0Hxqb27TIDZ6NhwqFH/j2GWuqpw3ZowZOnb41sCKxOMqWgZU/JSOuKNaNiV1TVZXw==" saltValue="p+zTBaXoBGMzlegXEtHtdQ==" spinCount="100000" sheet="1" objects="1" scenarios="1" formatCells="0" formatColumn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 zoomScaleNormal="100" zoomScaleSheetLayoutView="100" workbookViewId="0">
      <selection activeCell="Q56" sqref="Q56:Q6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7" customWidth="1"/>
    <col min="18" max="18" width="20.5" style="936" customWidth="1"/>
    <col min="19" max="19" width="13.25" style="936" customWidth="1"/>
    <col min="20" max="37" width="9" style="936"/>
    <col min="38" max="16384" width="9" style="153"/>
  </cols>
  <sheetData>
    <row r="1" spans="1:37" s="178" customFormat="1" ht="21">
      <c r="A1" s="927" t="s">
        <v>861</v>
      </c>
      <c r="B1" s="481"/>
      <c r="C1" s="2783" t="s">
        <v>19</v>
      </c>
      <c r="D1" s="915" t="s">
        <v>41</v>
      </c>
      <c r="E1" s="916" t="s">
        <v>665</v>
      </c>
      <c r="F1" s="704">
        <f ca="1">J62</f>
        <v>36.950000000000003</v>
      </c>
      <c r="G1" s="930">
        <f>MATCH(C1,'数据-取费表'!A6:A16,0)+5</f>
        <v>6</v>
      </c>
      <c r="H1" s="1953"/>
      <c r="I1" s="1954"/>
      <c r="J1" s="1954"/>
      <c r="K1" s="1955"/>
      <c r="L1" s="1954"/>
      <c r="M1" s="1954"/>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f ca="1">ROUND(D3/10000,4)</f>
        <v>144.7466</v>
      </c>
      <c r="C2" s="933" t="s">
        <v>790</v>
      </c>
      <c r="D2" s="3324" t="s">
        <v>4036</v>
      </c>
      <c r="E2" s="938"/>
      <c r="F2" s="939"/>
      <c r="G2" s="1966"/>
      <c r="H2" s="1956"/>
      <c r="I2" s="1956"/>
      <c r="J2" s="1956"/>
      <c r="K2" s="1957"/>
      <c r="L2" s="1956"/>
      <c r="M2" s="1956"/>
    </row>
    <row r="3" spans="1:37" ht="18" customHeight="1" thickBot="1">
      <c r="A3" s="940" t="s">
        <v>791</v>
      </c>
      <c r="B3" s="941">
        <f ca="1">IF(ISERROR(D3/F32),0,ROUND(D3/F32,0))</f>
        <v>13231</v>
      </c>
      <c r="C3" s="933" t="s">
        <v>792</v>
      </c>
      <c r="D3" s="933">
        <f ca="1">IF(D2="含税",ROUND((C28+J31+L55)*(1+F31),0),C28+J31+L55)</f>
        <v>1447466</v>
      </c>
      <c r="E3" s="938"/>
      <c r="F3" s="939"/>
      <c r="G3" s="1966"/>
      <c r="H3" s="467" t="s">
        <v>860</v>
      </c>
      <c r="I3" s="934"/>
      <c r="J3" s="934"/>
      <c r="K3" s="935"/>
      <c r="L3" s="934"/>
      <c r="M3" s="934"/>
    </row>
    <row r="4" spans="1:37" s="4065" customFormat="1" ht="18" customHeight="1">
      <c r="A4" s="2723" t="s">
        <v>3889</v>
      </c>
      <c r="B4" s="2724" t="s">
        <v>3890</v>
      </c>
      <c r="C4" s="3573" t="s">
        <v>3964</v>
      </c>
      <c r="D4" s="2724" t="s">
        <v>3891</v>
      </c>
      <c r="E4" s="4002" t="s">
        <v>3892</v>
      </c>
      <c r="F4" s="4064"/>
      <c r="G4" s="4053"/>
      <c r="H4" s="2723" t="s">
        <v>3889</v>
      </c>
      <c r="I4" s="2724" t="s">
        <v>3890</v>
      </c>
      <c r="J4" s="3573" t="s">
        <v>3965</v>
      </c>
      <c r="K4" s="2724" t="s">
        <v>3891</v>
      </c>
      <c r="L4" s="4066" t="s">
        <v>3892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3408</v>
      </c>
      <c r="C5" s="4096">
        <f ca="1">C6+C10+C12</f>
        <v>79162</v>
      </c>
      <c r="D5" s="4005" t="s">
        <v>3895</v>
      </c>
      <c r="E5" s="4006"/>
      <c r="F5" s="4007"/>
      <c r="G5" s="4004"/>
      <c r="H5" s="183">
        <v>1</v>
      </c>
      <c r="I5" s="184" t="s">
        <v>3930</v>
      </c>
      <c r="J5" s="4096">
        <f ca="1">J6+J10+J12</f>
        <v>0</v>
      </c>
      <c r="K5" s="4005" t="s">
        <v>3895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4221">
        <f ca="1">C7-C9</f>
        <v>79063</v>
      </c>
      <c r="D6" s="2715" t="s">
        <v>3809</v>
      </c>
      <c r="E6" s="2713" t="s">
        <v>3995</v>
      </c>
      <c r="F6" s="3421">
        <f ca="1">INDIRECT("'数据-取费表'!u"&amp;$G$1)</f>
        <v>2.2000000000000002</v>
      </c>
      <c r="G6" s="936"/>
      <c r="H6" s="707" t="s">
        <v>392</v>
      </c>
      <c r="I6" s="2714" t="s">
        <v>3805</v>
      </c>
      <c r="J6" s="2702">
        <f ca="1">J7-J9</f>
        <v>0</v>
      </c>
      <c r="K6" s="2715" t="s">
        <v>3809</v>
      </c>
      <c r="L6" s="2713" t="s">
        <v>3995</v>
      </c>
      <c r="M6" s="3439">
        <f ca="1">INDIRECT("'数据-取费表'!z"&amp;$G$1)</f>
        <v>0</v>
      </c>
    </row>
    <row r="7" spans="1:37" ht="18" customHeight="1">
      <c r="A7" s="4459" t="s">
        <v>391</v>
      </c>
      <c r="B7" s="4452" t="s">
        <v>3803</v>
      </c>
      <c r="C7" s="4519">
        <f ca="1">ROUND(F6*F7*F8,0)</f>
        <v>87848</v>
      </c>
      <c r="D7" s="4455" t="s">
        <v>3479</v>
      </c>
      <c r="E7" s="714" t="s">
        <v>682</v>
      </c>
      <c r="F7" s="2762">
        <f ca="1">IF(INDIRECT("'数据-取费表'!ah"&amp;$G$1)="",INDIRECT("'数据-取费表'!k"&amp;$G$1),INDIRECT("'数据-取费表'!ah"&amp;$G$1))</f>
        <v>109.4</v>
      </c>
      <c r="G7" s="936"/>
      <c r="H7" s="4459" t="s">
        <v>391</v>
      </c>
      <c r="I7" s="4452" t="s">
        <v>3803</v>
      </c>
      <c r="J7" s="4520">
        <f ca="1">ROUND(M6*M8*M7,0)</f>
        <v>0</v>
      </c>
      <c r="K7" s="4455" t="s">
        <v>3479</v>
      </c>
      <c r="L7" s="186" t="s">
        <v>682</v>
      </c>
      <c r="M7" s="4220">
        <f ca="1">F7</f>
        <v>109.4</v>
      </c>
    </row>
    <row r="8" spans="1:37" ht="18" customHeight="1">
      <c r="A8" s="4460"/>
      <c r="B8" s="4453"/>
      <c r="C8" s="4519"/>
      <c r="D8" s="4455"/>
      <c r="E8" s="186" t="str">
        <f ca="1">IF(F8=1,"年",IF(F8=12,"月","天"))</f>
        <v>天</v>
      </c>
      <c r="F8" s="3414">
        <f ca="1">INDIRECT("'数据-取费表'!ai"&amp;$G$1)</f>
        <v>365</v>
      </c>
      <c r="G8" s="936"/>
      <c r="H8" s="4460"/>
      <c r="I8" s="4453"/>
      <c r="J8" s="4520"/>
      <c r="K8" s="4455"/>
      <c r="L8" s="186" t="str">
        <f ca="1">IF(M8=1,"年",IF(M8=12,"月","天"))</f>
        <v>天</v>
      </c>
      <c r="M8" s="3441">
        <f ca="1">INDIRECT("'数据-取费表'!ai"&amp;$G$1)</f>
        <v>365</v>
      </c>
    </row>
    <row r="9" spans="1:37" ht="18" customHeight="1">
      <c r="A9" s="2700" t="s">
        <v>3407</v>
      </c>
      <c r="B9" s="4089" t="s">
        <v>3804</v>
      </c>
      <c r="C9" s="4096">
        <f ca="1">ROUND(C7*F9,0)</f>
        <v>8785</v>
      </c>
      <c r="D9" s="2715" t="s">
        <v>3808</v>
      </c>
      <c r="E9" s="186" t="s">
        <v>684</v>
      </c>
      <c r="F9" s="2768">
        <f ca="1">INDIRECT("'数据-取费表'!w"&amp;$G$1)</f>
        <v>0.1</v>
      </c>
      <c r="G9" s="936"/>
      <c r="H9" s="2700" t="s">
        <v>3407</v>
      </c>
      <c r="I9" s="4089" t="s">
        <v>3804</v>
      </c>
      <c r="J9" s="2743">
        <f ca="1">ROUND(J7*M9,0)</f>
        <v>0</v>
      </c>
      <c r="K9" s="2715" t="s">
        <v>3808</v>
      </c>
      <c r="L9" s="197" t="s">
        <v>684</v>
      </c>
      <c r="M9" s="3435">
        <f ca="1">INDIRECT("'数据-取费表'!ab"&amp;$G$1)</f>
        <v>0</v>
      </c>
    </row>
    <row r="10" spans="1:37" ht="18" customHeight="1">
      <c r="A10" s="707" t="s">
        <v>396</v>
      </c>
      <c r="B10" s="918" t="s">
        <v>685</v>
      </c>
      <c r="C10" s="2743">
        <f ca="1">ROUND(IF(F10="押一",C6/12*F11,IF(F10="押二",C6/12*2*F11,IF(F10="押三",C6/12*3*F11,C11*F11))),0)</f>
        <v>99</v>
      </c>
      <c r="D10" s="59" t="s">
        <v>2023</v>
      </c>
      <c r="E10" s="197" t="s">
        <v>686</v>
      </c>
      <c r="F10" s="749" t="s">
        <v>4037</v>
      </c>
      <c r="G10" s="936"/>
      <c r="H10" s="707" t="s">
        <v>396</v>
      </c>
      <c r="I10" s="918" t="s">
        <v>685</v>
      </c>
      <c r="J10" s="3915">
        <f ca="1">ROUND(IF(M10="押一",J6/12*M11,IF(M10="押二",J6/12*2*M11,IF(M10="押三",J6/12*3*M11,J11*M11))),0)</f>
        <v>0</v>
      </c>
      <c r="K10" s="59" t="s">
        <v>2023</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8"/>
    </row>
    <row r="13" spans="1:37" s="118" customFormat="1" ht="18" customHeight="1" thickTop="1">
      <c r="A13" s="716" t="s">
        <v>3686</v>
      </c>
      <c r="B13" s="717" t="s">
        <v>3931</v>
      </c>
      <c r="C13" s="3856">
        <f ca="1">ROUND(C14+C22+C24+C26,0)</f>
        <v>14800</v>
      </c>
      <c r="D13" s="4225" t="s">
        <v>3932</v>
      </c>
      <c r="E13" s="4009"/>
      <c r="F13" s="4007"/>
      <c r="G13" s="4004"/>
      <c r="H13" s="716" t="s">
        <v>3686</v>
      </c>
      <c r="I13" s="717" t="s">
        <v>3931</v>
      </c>
      <c r="J13" s="3856">
        <f ca="1">ROUND(J14+J22+J24+J26,0)</f>
        <v>8535</v>
      </c>
      <c r="K13" s="4224" t="s">
        <v>3933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3981</v>
      </c>
      <c r="C14" s="2702">
        <f ca="1">ROUND(IF(AND(项目基本情况!B11="自然人",项目基本情况!B10="北京市",M56="住宅"),C6*F14,C15+C19+C20),2)</f>
        <v>10298</v>
      </c>
      <c r="D14" s="901" t="s">
        <v>3451</v>
      </c>
      <c r="E14" s="901" t="str">
        <f>IF(M56="非住宅","","综合税率")</f>
        <v/>
      </c>
      <c r="F14" s="3840" t="str">
        <f>IF(M56="非住宅","",IF(F6*F7*F8/12/(1+'数据-取费表'!F30)&gt;100000,4%,2.5%))</f>
        <v/>
      </c>
      <c r="G14" s="936"/>
      <c r="H14" s="658" t="s">
        <v>392</v>
      </c>
      <c r="I14" s="2713" t="s">
        <v>3986</v>
      </c>
      <c r="J14" s="2702">
        <f ca="1">ROUND(IF(AND(项目基本情况!B11="自然人",项目基本情况!B10="北京市",M56="住宅"),J6*M14/(1+'数据-取费表'!C43),J15+J19+J20),0)</f>
        <v>5337</v>
      </c>
      <c r="K14" s="2740" t="s">
        <v>3450</v>
      </c>
      <c r="L14" s="901" t="str">
        <f>E14</f>
        <v/>
      </c>
      <c r="M14" s="3840" t="str">
        <f>IF(M56="非住宅","",IF(M6*M7*M8/12/(1+'数据-取费表'!F30)&gt;100000,4%,2.5%))</f>
        <v/>
      </c>
    </row>
    <row r="15" spans="1:37" s="947" customFormat="1" ht="18" customHeight="1">
      <c r="A15" s="2700" t="s">
        <v>391</v>
      </c>
      <c r="B15" s="2713" t="s">
        <v>3978</v>
      </c>
      <c r="C15" s="2702">
        <f ca="1">C18</f>
        <v>810</v>
      </c>
      <c r="D15" s="2430" t="s">
        <v>3977</v>
      </c>
      <c r="E15" s="4093"/>
      <c r="F15" s="4126"/>
      <c r="G15" s="946"/>
      <c r="H15" s="2700" t="s">
        <v>391</v>
      </c>
      <c r="I15" s="2713" t="s">
        <v>3978</v>
      </c>
      <c r="J15" s="2702">
        <f ca="1">J18</f>
        <v>-35</v>
      </c>
      <c r="K15" s="2715" t="s">
        <v>3977</v>
      </c>
      <c r="L15" s="4093"/>
      <c r="M15" s="4126"/>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650">
        <f ca="1">ROUND(C6*F16,0)</f>
        <v>7116</v>
      </c>
      <c r="D16" s="995" t="s">
        <v>3869</v>
      </c>
      <c r="E16" s="2721" t="s">
        <v>3412</v>
      </c>
      <c r="F16" s="2766">
        <v>0.09</v>
      </c>
      <c r="G16" s="936"/>
      <c r="H16" s="2505" t="s">
        <v>3292</v>
      </c>
      <c r="I16" s="2717" t="s">
        <v>3410</v>
      </c>
      <c r="J16" s="2650">
        <f ca="1">ROUND(J6*M16,0)</f>
        <v>0</v>
      </c>
      <c r="K16" s="3981" t="s">
        <v>3870</v>
      </c>
      <c r="L16" s="2721" t="s">
        <v>3412</v>
      </c>
      <c r="M16" s="3437">
        <v>0.09</v>
      </c>
    </row>
    <row r="17" spans="1:37" s="947" customFormat="1" ht="18" customHeight="1">
      <c r="A17" s="2505" t="s">
        <v>3293</v>
      </c>
      <c r="B17" s="2717" t="s">
        <v>3411</v>
      </c>
      <c r="C17" s="3025">
        <f ca="1">ROUND(C22*F16+((C24+C26)*F17),0)</f>
        <v>366</v>
      </c>
      <c r="D17" s="3981" t="s">
        <v>3872</v>
      </c>
      <c r="E17" s="2722"/>
      <c r="F17" s="2766">
        <v>0.06</v>
      </c>
      <c r="G17" s="946"/>
      <c r="H17" s="2505" t="s">
        <v>3293</v>
      </c>
      <c r="I17" s="2717" t="s">
        <v>3411</v>
      </c>
      <c r="J17" s="3025">
        <f ca="1">ROUND(J22*M16+((J24+J26)*M17),0)</f>
        <v>288</v>
      </c>
      <c r="K17" s="3983" t="s">
        <v>3871</v>
      </c>
      <c r="L17" s="2722"/>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3974</v>
      </c>
      <c r="C18" s="3025">
        <f ca="1">ROUND((C16-C17)*F18,0)</f>
        <v>810</v>
      </c>
      <c r="D18" s="2740" t="s">
        <v>3997</v>
      </c>
      <c r="E18" s="186" t="s">
        <v>3998</v>
      </c>
      <c r="F18" s="2766">
        <f>'数据-取费表'!B44</f>
        <v>0.12000000000000001</v>
      </c>
      <c r="G18" s="946"/>
      <c r="H18" s="2505" t="s">
        <v>3975</v>
      </c>
      <c r="I18" s="2717" t="s">
        <v>3974</v>
      </c>
      <c r="J18" s="3025">
        <f ca="1">ROUND((J16-J17)*M18,0)</f>
        <v>-35</v>
      </c>
      <c r="K18" s="2740" t="s">
        <v>3997</v>
      </c>
      <c r="L18" s="186" t="s">
        <v>3998</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3979</v>
      </c>
      <c r="C19" s="2702">
        <f ca="1">IF(AND(项目基本情况!B11="自然人",M56="住宅"),"——",IF(D19="按不含税租金收入（有效毛租金收入）计税",ROUND(C6*F19,0),IF(D19="按房产原值计税",ROUND(C51*F19*0.7,0),INDIRECT("'数据-取费表'!Aj"&amp;$G$1))))</f>
        <v>9488</v>
      </c>
      <c r="D19" s="2716" t="s">
        <v>4038</v>
      </c>
      <c r="E19" s="186" t="s">
        <v>697</v>
      </c>
      <c r="F19" s="2766">
        <f>IF(D19="按票据","——",IF(D19="按不含税租金收入（有效毛租金收入）计税",'数据-取费表'!B52,'数据-取费表'!B51))</f>
        <v>0.12</v>
      </c>
      <c r="G19" s="946"/>
      <c r="H19" s="2700" t="s">
        <v>393</v>
      </c>
      <c r="I19" s="2713" t="s">
        <v>3984</v>
      </c>
      <c r="J19" s="2702">
        <f ca="1">IF(K19="按不含税租金收入（有效毛租金收入）计税",ROUND(J6*M19,0),ROUND(C51*M19*0.7,0))</f>
        <v>5372</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3980</v>
      </c>
      <c r="C20" s="3026">
        <f ca="1">IF(AND(项目基本情况!B11="自然人",M56="住宅"),"——",ROUND(F20*F21,0))</f>
        <v>0</v>
      </c>
      <c r="D20" s="207" t="s">
        <v>716</v>
      </c>
      <c r="E20" s="186" t="s">
        <v>717</v>
      </c>
      <c r="F20" s="3421">
        <f>'数据-取费表'!B53</f>
        <v>0</v>
      </c>
      <c r="G20" s="936"/>
      <c r="H20" s="4094" t="s">
        <v>666</v>
      </c>
      <c r="I20" s="3928" t="s">
        <v>3980</v>
      </c>
      <c r="J20" s="3026">
        <f ca="1">ROUND(M20*M21,0)</f>
        <v>0</v>
      </c>
      <c r="K20" s="207" t="s">
        <v>716</v>
      </c>
      <c r="L20" s="186" t="s">
        <v>717</v>
      </c>
      <c r="M20" s="3439">
        <f>'数据-取费表'!B53</f>
        <v>0</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3198</v>
      </c>
      <c r="D22" s="1776" t="s">
        <v>724</v>
      </c>
      <c r="E22" s="186" t="s">
        <v>697</v>
      </c>
      <c r="F22" s="2768">
        <f ca="1">INDIRECT("'数据-取费表'!Ak"&amp;$G$1)</f>
        <v>5.0000000000000001E-3</v>
      </c>
      <c r="G22" s="946"/>
      <c r="H22" s="3862" t="s">
        <v>396</v>
      </c>
      <c r="I22" s="56" t="s">
        <v>723</v>
      </c>
      <c r="J22" s="3882">
        <f ca="1">ROUND(J35*M22,0)</f>
        <v>3198</v>
      </c>
      <c r="K22" s="1776" t="s">
        <v>724</v>
      </c>
      <c r="L22" s="186" t="s">
        <v>697</v>
      </c>
      <c r="M22" s="3904">
        <f ca="1">INDIRECT("'数据-取费表'!Ak"&amp;$G$1)</f>
        <v>5.0000000000000001E-3</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3830</v>
      </c>
      <c r="F23" s="3414">
        <f ca="1">C51</f>
        <v>639519</v>
      </c>
      <c r="G23" s="946"/>
      <c r="H23" s="209"/>
      <c r="I23" s="195"/>
      <c r="J23" s="3883"/>
      <c r="K23" s="3929"/>
      <c r="L23" s="2713" t="s">
        <v>3830</v>
      </c>
      <c r="M23" s="3441">
        <f ca="1">J35</f>
        <v>639519</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512</v>
      </c>
      <c r="D24" s="1776" t="s">
        <v>3448</v>
      </c>
      <c r="E24" s="186" t="s">
        <v>697</v>
      </c>
      <c r="F24" s="2768">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3831</v>
      </c>
      <c r="F25" s="3414">
        <f ca="1">C53</f>
        <v>511615</v>
      </c>
      <c r="G25" s="936"/>
      <c r="H25" s="209"/>
      <c r="I25" s="195"/>
      <c r="J25" s="3883"/>
      <c r="K25" s="3929"/>
      <c r="L25" s="3928" t="s">
        <v>3831</v>
      </c>
      <c r="M25" s="3441">
        <f ca="1">J37</f>
        <v>0</v>
      </c>
    </row>
    <row r="26" spans="1:37" s="947" customFormat="1" ht="18" customHeight="1" thickBot="1">
      <c r="A26" s="726" t="s">
        <v>669</v>
      </c>
      <c r="B26" s="727" t="s">
        <v>713</v>
      </c>
      <c r="C26" s="3028">
        <f ca="1">ROUND(C5*F26,0)</f>
        <v>792</v>
      </c>
      <c r="D26" s="729" t="s">
        <v>3876</v>
      </c>
      <c r="E26" s="727" t="s">
        <v>697</v>
      </c>
      <c r="F26" s="2831">
        <f ca="1">INDIRECT("'数据-取费表'!Am"&amp;$G$1)</f>
        <v>0.01</v>
      </c>
      <c r="G26" s="946"/>
      <c r="H26" s="726" t="s">
        <v>669</v>
      </c>
      <c r="I26" s="727" t="s">
        <v>713</v>
      </c>
      <c r="J26" s="3028">
        <f ca="1">ROUND(J5*M26,0)</f>
        <v>0</v>
      </c>
      <c r="K26" s="729" t="s">
        <v>3876</v>
      </c>
      <c r="L26" s="727" t="s">
        <v>697</v>
      </c>
      <c r="M26" s="3438">
        <f ca="1">INDIRECT("'数据-取费表'!Am"&amp;$G$1)</f>
        <v>0.01</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6">
        <f ca="1">C5-C13</f>
        <v>64362</v>
      </c>
      <c r="D27" s="4224" t="s">
        <v>3917</v>
      </c>
      <c r="E27" s="4013"/>
      <c r="F27" s="4014"/>
      <c r="G27" s="498"/>
      <c r="H27" s="716" t="s">
        <v>3304</v>
      </c>
      <c r="I27" s="731" t="s">
        <v>3934</v>
      </c>
      <c r="J27" s="3856">
        <f ca="1">J5-J13</f>
        <v>-8535</v>
      </c>
      <c r="K27" s="4224" t="s">
        <v>3917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5">
        <f ca="1">ROUND(C27*(1-((1+F30)/(1+F28))^F29)/(F28-F30),0)</f>
        <v>1310275</v>
      </c>
      <c r="D28" s="4016" t="s">
        <v>3935</v>
      </c>
      <c r="E28" s="2725" t="s">
        <v>3903</v>
      </c>
      <c r="F28" s="2768">
        <f ca="1">INDIRECT("'数据-取费表'!I"&amp;$G$1)</f>
        <v>5.5E-2</v>
      </c>
      <c r="G28" s="4004"/>
      <c r="H28" s="183" t="s">
        <v>3688</v>
      </c>
      <c r="I28" s="3916" t="s">
        <v>3822</v>
      </c>
      <c r="J28" s="3931">
        <f ca="1">IF(J5&lt;&gt;0,ROUND(J27*(1-((1+M30)/(1+M28))^M29)/(M28-M30),0),0)</f>
        <v>0</v>
      </c>
      <c r="K28" s="4016" t="s">
        <v>3935</v>
      </c>
      <c r="L28" s="4017" t="s">
        <v>3903</v>
      </c>
      <c r="M28" s="3435">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3906</v>
      </c>
      <c r="F29" s="2769">
        <f ca="1">IF(INDIRECT("'数据-取费表'!af"&amp;$G$1)=0,INDIRECT("'数据-取费表'!ae"&amp;$G$1),INDIRECT("'数据-取费表'!af"&amp;$G$1))</f>
        <v>36.950000000000003</v>
      </c>
      <c r="G29" s="4004"/>
      <c r="H29" s="188"/>
      <c r="I29" s="189"/>
      <c r="J29" s="3932"/>
      <c r="K29" s="4018"/>
      <c r="L29" s="2725" t="s">
        <v>3906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0.02</v>
      </c>
      <c r="G30" s="4004"/>
      <c r="H30" s="192"/>
      <c r="I30" s="193"/>
      <c r="J30" s="3933"/>
      <c r="K30" s="731"/>
      <c r="L30" s="2725" t="s">
        <v>3908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1428200</v>
      </c>
      <c r="D31" s="4019" t="s">
        <v>3692</v>
      </c>
      <c r="E31" s="4020" t="str">
        <f>IF(D31="其他类型公式—收益价值×（1+9%）","销项税率","征收率")</f>
        <v>销项税率</v>
      </c>
      <c r="F31" s="4050">
        <f>IF(D31="其他类型公式—收益价值×（1+9%）",9%,3%)</f>
        <v>0.09</v>
      </c>
      <c r="G31" s="498"/>
      <c r="H31" s="199" t="s">
        <v>3689</v>
      </c>
      <c r="I31" s="2725" t="s">
        <v>3910</v>
      </c>
      <c r="J31" s="2743">
        <f ca="1">ROUND(J28/(1+F28)^F29,0)</f>
        <v>0</v>
      </c>
      <c r="K31" s="2684" t="s">
        <v>3936</v>
      </c>
      <c r="L31" s="2725"/>
      <c r="M31" s="4128">
        <f ca="1">INDIRECT("'数据-取费表'!k"&amp;$G$1)</f>
        <v>109.4</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13055</v>
      </c>
      <c r="D32" s="4021" t="s">
        <v>3911</v>
      </c>
      <c r="E32" s="217" t="s">
        <v>3912</v>
      </c>
      <c r="F32" s="2770">
        <f ca="1">INDIRECT("'数据-取费表'!k"&amp;$G$1)</f>
        <v>109.4</v>
      </c>
      <c r="G32" s="498"/>
      <c r="H32" s="3834" t="s">
        <v>3691</v>
      </c>
      <c r="I32" s="3835" t="s">
        <v>3913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0.18695838912609586</v>
      </c>
      <c r="G33" s="936"/>
    </row>
    <row r="34" spans="1:37" s="118" customFormat="1" ht="18" customHeight="1" thickBot="1">
      <c r="A34" s="3997" t="s">
        <v>3937</v>
      </c>
      <c r="B34" s="3998" t="s">
        <v>3938</v>
      </c>
      <c r="C34" s="3999" t="s">
        <v>3828</v>
      </c>
      <c r="D34" s="3998" t="s">
        <v>3939</v>
      </c>
      <c r="E34" s="4000" t="s">
        <v>3940</v>
      </c>
      <c r="F34" s="4001"/>
      <c r="G34" s="4004"/>
      <c r="H34" s="3997" t="s">
        <v>3937</v>
      </c>
      <c r="I34" s="3998" t="s">
        <v>3938</v>
      </c>
      <c r="J34" s="3999" t="s">
        <v>3828</v>
      </c>
      <c r="K34" s="3998" t="s">
        <v>3939</v>
      </c>
      <c r="L34" s="4000" t="s">
        <v>3940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3413</v>
      </c>
      <c r="B35" s="2724" t="s">
        <v>3414</v>
      </c>
      <c r="C35" s="3416">
        <f ca="1">SUM(C36:C41)</f>
        <v>518227</v>
      </c>
      <c r="D35" s="2736" t="s">
        <v>3421</v>
      </c>
      <c r="E35" s="2732"/>
      <c r="F35" s="2733"/>
      <c r="G35" s="936"/>
      <c r="H35" s="2746" t="s">
        <v>3413</v>
      </c>
      <c r="I35" s="2749" t="s">
        <v>3453</v>
      </c>
      <c r="J35" s="2750">
        <f ca="1">C51</f>
        <v>639519</v>
      </c>
      <c r="K35" s="3201" t="s">
        <v>3449</v>
      </c>
      <c r="L35" s="2751"/>
      <c r="M35" s="3035"/>
    </row>
    <row r="36" spans="1:37" ht="18" customHeight="1">
      <c r="A36" s="2700" t="s">
        <v>391</v>
      </c>
      <c r="B36" s="2665" t="s">
        <v>692</v>
      </c>
      <c r="C36" s="2610">
        <f ca="1">ROUND(INDIRECT("'数据-取费表'!l"&amp;$G$1)*F32+'数据-取费表'!L14*INDIRECT("'数据-取费表'!S"&amp;$G$1),0)</f>
        <v>448540</v>
      </c>
      <c r="D36" s="900" t="s">
        <v>693</v>
      </c>
      <c r="E36" s="900"/>
      <c r="F36" s="215"/>
      <c r="G36" s="936"/>
      <c r="H36" s="2747" t="s">
        <v>396</v>
      </c>
      <c r="I36" s="2752" t="s">
        <v>3441</v>
      </c>
      <c r="J36" s="2650">
        <f ca="1">ROUND(J35*(1-M36),0)</f>
        <v>639519</v>
      </c>
      <c r="K36" s="186" t="s">
        <v>3444</v>
      </c>
      <c r="L36" s="2715" t="s">
        <v>3456</v>
      </c>
      <c r="M36" s="2768">
        <f ca="1">INDIRECT("'数据-取费表'!ad"&amp;$G$1)</f>
        <v>0</v>
      </c>
    </row>
    <row r="37" spans="1:37" ht="18" customHeight="1" thickBot="1">
      <c r="A37" s="2700" t="s">
        <v>3407</v>
      </c>
      <c r="B37" s="2665" t="s">
        <v>695</v>
      </c>
      <c r="C37" s="2702">
        <f ca="1">ROUND(C36*F37,0)</f>
        <v>26912</v>
      </c>
      <c r="D37" s="186" t="s">
        <v>696</v>
      </c>
      <c r="E37" s="186" t="s">
        <v>697</v>
      </c>
      <c r="F37" s="2766">
        <f>'数据-取费表'!B33</f>
        <v>0.06</v>
      </c>
      <c r="G37" s="936"/>
      <c r="H37" s="2748" t="s">
        <v>3432</v>
      </c>
      <c r="I37" s="2753" t="s">
        <v>3443</v>
      </c>
      <c r="J37" s="2754">
        <f ca="1">J35-J36</f>
        <v>0</v>
      </c>
      <c r="K37" s="2734" t="s">
        <v>3480</v>
      </c>
      <c r="L37" s="219"/>
      <c r="M37" s="2755"/>
    </row>
    <row r="38" spans="1:37" ht="18" customHeight="1">
      <c r="A38" s="2700" t="s">
        <v>666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ROUND(F39*(F32+INDIRECT("'数据-取费表'!S"&amp;$G$1)),0)</f>
        <v>38290</v>
      </c>
      <c r="D39" s="186" t="s">
        <v>702</v>
      </c>
      <c r="E39" s="186" t="s">
        <v>3883</v>
      </c>
      <c r="F39" s="3424">
        <f>'数据-取费表'!B35</f>
        <v>350</v>
      </c>
      <c r="G39" s="936"/>
    </row>
    <row r="40" spans="1:37" ht="18" customHeight="1">
      <c r="A40" s="2700" t="s">
        <v>668</v>
      </c>
      <c r="B40" s="2717" t="s">
        <v>3296</v>
      </c>
      <c r="C40" s="2702">
        <f ca="1">ROUND(C36*F40,0)</f>
        <v>4485</v>
      </c>
      <c r="D40" s="186" t="s">
        <v>696</v>
      </c>
      <c r="E40" s="186" t="s">
        <v>697</v>
      </c>
      <c r="F40" s="2766">
        <f>'数据-取费表'!B36</f>
        <v>0.01</v>
      </c>
      <c r="G40" s="936"/>
      <c r="H40" s="47"/>
      <c r="I40" s="47"/>
      <c r="J40" s="47"/>
      <c r="K40" s="1861"/>
      <c r="L40" s="47"/>
      <c r="M40" s="47"/>
    </row>
    <row r="41" spans="1:37" ht="18" customHeight="1">
      <c r="A41" s="2700" t="s">
        <v>668</v>
      </c>
      <c r="B41" s="2717" t="s">
        <v>3297</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10365</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3434</v>
      </c>
      <c r="E43" s="2725" t="s">
        <v>3435</v>
      </c>
      <c r="F43" s="2768">
        <f>'数据-取费表'!B39</f>
        <v>0.02</v>
      </c>
      <c r="G43" s="936"/>
      <c r="H43" s="47"/>
      <c r="I43" s="47"/>
      <c r="J43" s="47"/>
      <c r="K43" s="1861"/>
      <c r="L43" s="47"/>
      <c r="M43" s="47"/>
    </row>
    <row r="44" spans="1:37" ht="18" customHeight="1">
      <c r="A44" s="199" t="s">
        <v>3436</v>
      </c>
      <c r="B44" s="2728" t="s">
        <v>3373</v>
      </c>
      <c r="C44" s="3417" t="str">
        <f ca="1">C45&amp;"+"&amp;C46&amp;"V建"</f>
        <v>16545+0.0006V建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16545</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3315</v>
      </c>
      <c r="C47" s="3417" t="str">
        <f ca="1">C48&amp;"+"&amp;C49&amp;"V建"</f>
        <v>79289+0.003V建</v>
      </c>
      <c r="D47" s="2684" t="s">
        <v>3438</v>
      </c>
      <c r="E47" s="200"/>
      <c r="F47" s="2767"/>
      <c r="G47" s="936"/>
      <c r="H47" s="47"/>
      <c r="I47" s="47"/>
      <c r="J47" s="47"/>
      <c r="K47" s="1861"/>
      <c r="L47" s="47"/>
      <c r="M47" s="47"/>
    </row>
    <row r="48" spans="1:37" ht="18" customHeight="1">
      <c r="A48" s="2700" t="s">
        <v>391</v>
      </c>
      <c r="B48" s="186" t="s">
        <v>739</v>
      </c>
      <c r="C48" s="2702">
        <f ca="1">ROUND((C35+C42)*F48,0)</f>
        <v>79289</v>
      </c>
      <c r="D48" s="206" t="s">
        <v>740</v>
      </c>
      <c r="E48" s="186" t="s">
        <v>741</v>
      </c>
      <c r="F48" s="2768">
        <f ca="1">INDIRECT("'数据-取费表'!q"&amp;$G$1)</f>
        <v>0.15</v>
      </c>
      <c r="G48" s="936"/>
      <c r="H48" s="47"/>
      <c r="I48" s="47"/>
      <c r="J48" s="47"/>
      <c r="K48" s="1861"/>
      <c r="L48" s="47"/>
      <c r="M48" s="47"/>
    </row>
    <row r="49" spans="1:37" ht="18" customHeight="1">
      <c r="A49" s="2700" t="s">
        <v>393</v>
      </c>
      <c r="B49" s="186" t="s">
        <v>745</v>
      </c>
      <c r="C49" s="3415">
        <f ca="1">ROUND(F43*F48,4)</f>
        <v>3.0000000000000001E-3</v>
      </c>
      <c r="D49" s="206" t="s">
        <v>746</v>
      </c>
      <c r="E49" s="186"/>
      <c r="F49" s="2766"/>
      <c r="G49" s="936"/>
      <c r="H49" s="47"/>
      <c r="I49" s="47"/>
      <c r="J49" s="47"/>
      <c r="K49" s="1861"/>
      <c r="L49" s="47"/>
      <c r="M49" s="47"/>
    </row>
    <row r="50" spans="1:37" s="118" customFormat="1" ht="18" customHeight="1">
      <c r="A50" s="199" t="s">
        <v>3942</v>
      </c>
      <c r="B50" s="2725" t="s">
        <v>3425</v>
      </c>
      <c r="C50" s="2743">
        <f>ROUND(F50/(1+'数据-取费表'!C43),4)</f>
        <v>0</v>
      </c>
      <c r="D50" s="3984" t="s">
        <v>3882</v>
      </c>
      <c r="E50" s="2725"/>
      <c r="F50" s="2768"/>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3943</v>
      </c>
      <c r="B51" s="2725" t="s">
        <v>3944</v>
      </c>
      <c r="C51" s="2743">
        <f ca="1">ROUND((C35+C42+C45+C48)/(1-F43-C46-C49-C50),0)</f>
        <v>639519</v>
      </c>
      <c r="D51" s="2739" t="s">
        <v>3449</v>
      </c>
      <c r="E51" s="2725"/>
      <c r="F51" s="2768"/>
      <c r="K51" s="4053"/>
      <c r="Q51" s="4048"/>
    </row>
    <row r="52" spans="1:37" s="4004" customFormat="1" ht="18" customHeight="1">
      <c r="A52" s="2729" t="s">
        <v>3439</v>
      </c>
      <c r="B52" s="2728" t="s">
        <v>3441</v>
      </c>
      <c r="C52" s="2743">
        <f ca="1">ROUND(C51*(1-F52),0)</f>
        <v>127904</v>
      </c>
      <c r="D52" s="2725" t="s">
        <v>3945</v>
      </c>
      <c r="E52" s="2725" t="s">
        <v>3946</v>
      </c>
      <c r="F52" s="2768">
        <f ca="1">INDIRECT("'数据-取费表'!y"&amp;$G$1)</f>
        <v>0.8</v>
      </c>
      <c r="K52" s="4053"/>
      <c r="Q52" s="4048"/>
    </row>
    <row r="53" spans="1:37" s="4004" customFormat="1" ht="18" customHeight="1" thickBot="1">
      <c r="A53" s="2730" t="s">
        <v>3941</v>
      </c>
      <c r="B53" s="2738" t="s">
        <v>3447</v>
      </c>
      <c r="C53" s="2754">
        <f ca="1">C51-C52</f>
        <v>511615</v>
      </c>
      <c r="D53" s="2734" t="s">
        <v>3947</v>
      </c>
      <c r="E53" s="217"/>
      <c r="F53" s="2735"/>
      <c r="K53" s="4053"/>
      <c r="Q53" s="4048"/>
    </row>
    <row r="54" spans="1:37" s="936" customFormat="1" ht="18" customHeight="1" thickBot="1">
      <c r="A54" s="950"/>
      <c r="B54" s="950"/>
      <c r="C54" s="951"/>
      <c r="D54" s="950"/>
      <c r="E54" s="950"/>
      <c r="F54" s="950"/>
      <c r="I54" s="2756" t="s">
        <v>3457</v>
      </c>
      <c r="J54" s="494"/>
      <c r="O54" s="1965" t="s">
        <v>793</v>
      </c>
      <c r="P54" s="1009"/>
      <c r="Q54" s="3429"/>
      <c r="R54" s="1009"/>
    </row>
    <row r="55" spans="1:37" s="936" customFormat="1" ht="13.5" thickBot="1">
      <c r="A55" s="2473" t="s">
        <v>3976</v>
      </c>
      <c r="C55" s="2759">
        <f ca="1">IF(D2="含税",C83-C31,C80-C28)</f>
        <v>-1490908</v>
      </c>
      <c r="D55" s="956" t="str">
        <f>C2</f>
        <v>万元</v>
      </c>
      <c r="E55" s="950"/>
      <c r="F55" s="950"/>
      <c r="I55" s="957" t="s">
        <v>795</v>
      </c>
      <c r="J55" s="958"/>
      <c r="K55" s="959"/>
      <c r="L55" s="3900">
        <f ca="1">IF(M56="住宅",0,IF(L57&gt;J60,L69,J69))</f>
        <v>17675</v>
      </c>
      <c r="O55" s="4038" t="s">
        <v>1325</v>
      </c>
      <c r="P55" s="4039" t="s">
        <v>3918</v>
      </c>
      <c r="Q55" s="4059" t="s">
        <v>3919</v>
      </c>
      <c r="R55" s="4040" t="s">
        <v>3920</v>
      </c>
    </row>
    <row r="56" spans="1:37" s="936" customFormat="1" ht="13.5" thickBot="1">
      <c r="A56" s="4025" t="s">
        <v>3889</v>
      </c>
      <c r="B56" s="4026" t="s">
        <v>3890</v>
      </c>
      <c r="C56" s="3999" t="s">
        <v>3965</v>
      </c>
      <c r="D56" s="4026" t="s">
        <v>3891</v>
      </c>
      <c r="E56" s="4027" t="s">
        <v>3892</v>
      </c>
      <c r="F56" s="4054"/>
      <c r="G56" s="490"/>
      <c r="I56" s="964" t="s">
        <v>800</v>
      </c>
      <c r="J56" s="965" t="s">
        <v>4023</v>
      </c>
      <c r="K56" s="966" t="s">
        <v>801</v>
      </c>
      <c r="L56" s="3901">
        <f ca="1">INDIRECT("'数据-取费表'!d"&amp;$G$1)</f>
        <v>50</v>
      </c>
      <c r="M56" s="932" t="str">
        <f>IF(ISNUMBER(FIND("住宅",C1)),"住宅","非住宅")</f>
        <v>非住宅</v>
      </c>
      <c r="O56" s="4041" t="s">
        <v>397</v>
      </c>
      <c r="P56" s="4045" t="s">
        <v>3958</v>
      </c>
      <c r="Q56" s="4046">
        <f ca="1">C28+J31</f>
        <v>1310275</v>
      </c>
      <c r="R56" s="4043" t="s">
        <v>3922</v>
      </c>
    </row>
    <row r="57" spans="1:37" s="936" customFormat="1" ht="42.75" thickBot="1">
      <c r="A57" s="652" t="s">
        <v>432</v>
      </c>
      <c r="B57" s="184" t="s">
        <v>3914</v>
      </c>
      <c r="C57" s="4028">
        <f ca="1">C58+C62+C64</f>
        <v>0</v>
      </c>
      <c r="D57" s="4005" t="s">
        <v>3948</v>
      </c>
      <c r="E57" s="4029"/>
      <c r="F57" s="4055"/>
      <c r="G57" s="490"/>
      <c r="H57" s="491"/>
      <c r="I57" s="971" t="s">
        <v>804</v>
      </c>
      <c r="J57" s="972" t="s">
        <v>4039</v>
      </c>
      <c r="K57" s="973" t="s">
        <v>805</v>
      </c>
      <c r="L57" s="3890">
        <f ca="1">INDIRECT("'数据-取费表'!f"&amp;$G$1)</f>
        <v>36.950000000000003</v>
      </c>
      <c r="O57" s="4041" t="s">
        <v>398</v>
      </c>
      <c r="P57" s="4042" t="s">
        <v>3923</v>
      </c>
      <c r="Q57" s="4046">
        <f ca="1">J69</f>
        <v>17675</v>
      </c>
      <c r="R57" s="4043" t="s">
        <v>3924</v>
      </c>
    </row>
    <row r="58" spans="1:37" s="936" customFormat="1" ht="15" customHeight="1" thickBot="1">
      <c r="A58" s="3867" t="s">
        <v>3818</v>
      </c>
      <c r="B58" s="2714" t="s">
        <v>3805</v>
      </c>
      <c r="C58" s="2757">
        <f ca="1">C59-C61</f>
        <v>0</v>
      </c>
      <c r="D58" s="2715" t="s">
        <v>3809</v>
      </c>
      <c r="E58" s="2737" t="s">
        <v>3446</v>
      </c>
      <c r="F58" s="2760"/>
      <c r="H58" s="491"/>
      <c r="I58" s="971" t="s">
        <v>808</v>
      </c>
      <c r="J58" s="3888">
        <f>项目基本情况!G21</f>
        <v>2014</v>
      </c>
      <c r="K58" s="973" t="s">
        <v>809</v>
      </c>
      <c r="L58" s="3902"/>
      <c r="O58" s="977" t="s">
        <v>399</v>
      </c>
      <c r="P58" s="4061" t="s">
        <v>3959</v>
      </c>
      <c r="Q58" s="3430">
        <f ca="1">C51</f>
        <v>639519</v>
      </c>
      <c r="R58" s="970" t="s">
        <v>803</v>
      </c>
    </row>
    <row r="59" spans="1:37" s="936" customFormat="1" ht="15" customHeight="1" thickBot="1">
      <c r="A59" s="3874" t="s">
        <v>3806</v>
      </c>
      <c r="B59" s="4452" t="s">
        <v>3803</v>
      </c>
      <c r="C59" s="3915">
        <f ca="1">ROUND(F58*F60*F59,0)</f>
        <v>0</v>
      </c>
      <c r="D59" s="4455" t="s">
        <v>3479</v>
      </c>
      <c r="E59" s="698" t="s">
        <v>682</v>
      </c>
      <c r="F59" s="2761">
        <f ca="1">F7</f>
        <v>109.4</v>
      </c>
      <c r="H59" s="491"/>
      <c r="I59" s="971" t="s">
        <v>811</v>
      </c>
      <c r="J59" s="3906">
        <f>SUMPRODUCT((I72:I74=J56)*(J71:L71=J57)*(J72:L74))</f>
        <v>60</v>
      </c>
      <c r="K59" s="973" t="s">
        <v>812</v>
      </c>
      <c r="L59" s="3902"/>
      <c r="M59" s="979"/>
      <c r="O59" s="977" t="s">
        <v>400</v>
      </c>
      <c r="P59" s="969" t="s">
        <v>813</v>
      </c>
      <c r="Q59" s="3431">
        <f ca="1">J67</f>
        <v>0.4</v>
      </c>
      <c r="R59" s="970"/>
    </row>
    <row r="60" spans="1:37" s="936" customFormat="1" ht="15" customHeight="1" thickBot="1">
      <c r="A60" s="4127"/>
      <c r="B60" s="4453"/>
      <c r="C60" s="3855"/>
      <c r="D60" s="4455"/>
      <c r="E60" s="657" t="str">
        <f ca="1">IF(F60=1,"年",IF(F60=12,"月","天"))</f>
        <v>天</v>
      </c>
      <c r="F60" s="2762">
        <f ca="1">F8</f>
        <v>365</v>
      </c>
      <c r="I60" s="981" t="s">
        <v>814</v>
      </c>
      <c r="J60" s="3890">
        <f>IF(J58="",J59,J58+J59-YEAR('数据-取费表'!B2))</f>
        <v>48</v>
      </c>
      <c r="K60" s="982" t="s">
        <v>815</v>
      </c>
      <c r="L60" s="3879">
        <f ca="1">ROUND(-PV(INDIRECT("'数据-取费表'!h"&amp;$G$1),J60,(C27-C52*C88),0),0)</f>
        <v>990071</v>
      </c>
      <c r="M60" s="984"/>
      <c r="O60" s="977" t="s">
        <v>401</v>
      </c>
      <c r="P60" s="969" t="s">
        <v>816</v>
      </c>
      <c r="Q60" s="3431">
        <f>J61</f>
        <v>7.4999999999999997E-2</v>
      </c>
      <c r="R60" s="970"/>
    </row>
    <row r="61" spans="1:37" s="936" customFormat="1" ht="15" customHeight="1" thickBot="1">
      <c r="A61" s="3854" t="s">
        <v>3807</v>
      </c>
      <c r="B61" s="4089" t="s">
        <v>3804</v>
      </c>
      <c r="C61" s="2758">
        <f ca="1">ROUND(C59*F61,0)</f>
        <v>0</v>
      </c>
      <c r="D61" s="2715" t="s">
        <v>3808</v>
      </c>
      <c r="E61" s="657" t="s">
        <v>684</v>
      </c>
      <c r="F61" s="2763"/>
      <c r="I61" s="985" t="s">
        <v>817</v>
      </c>
      <c r="J61" s="3891">
        <v>7.4999999999999997E-2</v>
      </c>
      <c r="K61" s="985" t="s">
        <v>818</v>
      </c>
      <c r="L61" s="3905"/>
      <c r="O61" s="977" t="s">
        <v>402</v>
      </c>
      <c r="P61" s="969" t="s">
        <v>819</v>
      </c>
      <c r="Q61" s="3430">
        <f ca="1">J62</f>
        <v>36.950000000000003</v>
      </c>
      <c r="R61" s="970" t="s">
        <v>820</v>
      </c>
    </row>
    <row r="62" spans="1:37" s="936" customFormat="1" ht="24.75" thickBot="1">
      <c r="A62" s="3877" t="s">
        <v>3454</v>
      </c>
      <c r="B62" s="925" t="s">
        <v>685</v>
      </c>
      <c r="C62" s="2743">
        <f ca="1">ROUND(IF(F62="押一",C58/12*F11,IF(F62="押二",C58/12*2*F11,IF(F62="押三",C58/12*3*F11,C63*F11))),0)</f>
        <v>0</v>
      </c>
      <c r="D62" s="59" t="s">
        <v>2023</v>
      </c>
      <c r="E62" s="197" t="s">
        <v>686</v>
      </c>
      <c r="F62" s="2764"/>
      <c r="I62" s="987" t="s">
        <v>821</v>
      </c>
      <c r="J62" s="3892">
        <f ca="1">IF(M56="住宅",IF(D1="——",MAX(J60,L57),MAX(J60,L57-'数据-取费表'!B24)),IF(D1="——",MIN(J60,L57),MIN(J60,L57-'数据-取费表'!B24)))</f>
        <v>36.950000000000003</v>
      </c>
      <c r="K62" s="4450" t="s">
        <v>822</v>
      </c>
      <c r="L62" s="4451"/>
      <c r="O62" s="4041" t="s">
        <v>403</v>
      </c>
      <c r="P62" s="4045" t="s">
        <v>3960</v>
      </c>
      <c r="Q62" s="4046">
        <f ca="1">ROUND((Q56+Q57)*(1+F31),0)</f>
        <v>1447466</v>
      </c>
      <c r="R62" s="4043" t="s">
        <v>3962</v>
      </c>
    </row>
    <row r="63" spans="1:37" s="936" customFormat="1" ht="13.5"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2"/>
      <c r="R63" s="933"/>
    </row>
    <row r="64" spans="1:37" s="936" customFormat="1" ht="13.5" thickBot="1">
      <c r="A64" s="720" t="s">
        <v>431</v>
      </c>
      <c r="B64" s="921" t="s">
        <v>688</v>
      </c>
      <c r="C64" s="2744"/>
      <c r="D64" s="59"/>
      <c r="E64" s="926"/>
      <c r="F64" s="988"/>
      <c r="I64" s="991" t="s">
        <v>825</v>
      </c>
      <c r="J64" s="992">
        <f ca="1">ROUND(IF(J56="钢混",J66/J59,1-(1-2%)*(J59-J66)/J59),3)</f>
        <v>0.184</v>
      </c>
      <c r="K64" s="993" t="s">
        <v>826</v>
      </c>
      <c r="L64" s="994"/>
      <c r="O64" s="4038" t="s">
        <v>1325</v>
      </c>
      <c r="P64" s="4039" t="s">
        <v>3918</v>
      </c>
      <c r="Q64" s="4059" t="s">
        <v>3919</v>
      </c>
      <c r="R64" s="4040" t="s">
        <v>3920</v>
      </c>
    </row>
    <row r="65" spans="1:18" s="936" customFormat="1" ht="25.5" thickTop="1" thickBot="1">
      <c r="A65" s="199" t="s">
        <v>3949</v>
      </c>
      <c r="B65" s="634" t="s">
        <v>3931</v>
      </c>
      <c r="C65" s="2743">
        <f ca="1">ROUND(C66+C74+C76+C78,0)</f>
        <v>3672</v>
      </c>
      <c r="D65" s="634" t="s">
        <v>3950</v>
      </c>
      <c r="E65" s="4056"/>
      <c r="F65" s="638"/>
      <c r="I65" s="997" t="s">
        <v>827</v>
      </c>
      <c r="J65" s="998" t="s">
        <v>4005</v>
      </c>
      <c r="K65" s="971" t="s">
        <v>828</v>
      </c>
      <c r="L65" s="3890" t="str">
        <f ca="1">IF(L57&lt;J60,"——",L57-J62)</f>
        <v>——</v>
      </c>
      <c r="O65" s="4041" t="s">
        <v>397</v>
      </c>
      <c r="P65" s="4045" t="s">
        <v>3958</v>
      </c>
      <c r="Q65" s="4046">
        <f ca="1">C28+J31</f>
        <v>1310275</v>
      </c>
      <c r="R65" s="4043" t="s">
        <v>3922</v>
      </c>
    </row>
    <row r="66" spans="1:18" s="936" customFormat="1" ht="24.75" thickBot="1">
      <c r="A66" s="519" t="s">
        <v>392</v>
      </c>
      <c r="B66" s="2695" t="s">
        <v>3986</v>
      </c>
      <c r="C66" s="2702">
        <f ca="1">ROUND(IF(AND(项目基本情况!B11="自然人",项目基本情况!B10="北京市",M56="住宅"),C58*F66,C67+C71+C72),0)</f>
        <v>-38</v>
      </c>
      <c r="D66" s="639" t="s">
        <v>3451</v>
      </c>
      <c r="E66" s="639" t="str">
        <f>E14</f>
        <v/>
      </c>
      <c r="F66" s="3840" t="str">
        <f>IF(M56="非住宅","",IF(F58*F59*F60/12/(1+'数据-取费表'!F30)&gt;100000,4%,2.5%))</f>
        <v/>
      </c>
      <c r="I66" s="1003" t="s">
        <v>829</v>
      </c>
      <c r="J66" s="3896">
        <f ca="1">IF(OR(M56="住宅",J60&lt;L57,J65="是"),"——",J60-L57)</f>
        <v>11.049999999999997</v>
      </c>
      <c r="K66" s="971" t="s">
        <v>830</v>
      </c>
      <c r="L66" s="3903" t="str">
        <f ca="1">IF(L57&lt;J60,"——",IF(L64="比较法",L58,IF(L64="基准地价",L59,L60)))</f>
        <v>——</v>
      </c>
      <c r="O66" s="4041" t="s">
        <v>398</v>
      </c>
      <c r="P66" s="4042" t="s">
        <v>3925</v>
      </c>
      <c r="Q66" s="4046">
        <f ca="1">L69</f>
        <v>0</v>
      </c>
      <c r="R66" s="4043" t="s">
        <v>3926</v>
      </c>
    </row>
    <row r="67" spans="1:18" s="936" customFormat="1" ht="24.75" thickBot="1">
      <c r="A67" s="2700" t="s">
        <v>391</v>
      </c>
      <c r="B67" s="2713" t="s">
        <v>3978</v>
      </c>
      <c r="C67" s="2702">
        <f ca="1">C70</f>
        <v>-38</v>
      </c>
      <c r="D67" s="2715" t="s">
        <v>3977</v>
      </c>
      <c r="E67" s="4093"/>
      <c r="F67" s="4126"/>
      <c r="I67" s="1003" t="s">
        <v>832</v>
      </c>
      <c r="J67" s="3897">
        <f ca="1">IF(J64&lt;0.4,0.4,J64)</f>
        <v>0.4</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2702">
        <f ca="1">ROUND(C58*F68,0)</f>
        <v>0</v>
      </c>
      <c r="D68" s="995" t="s">
        <v>3878</v>
      </c>
      <c r="E68" s="2721" t="s">
        <v>3412</v>
      </c>
      <c r="F68" s="2766">
        <f>F16</f>
        <v>0.09</v>
      </c>
      <c r="I68" s="1003" t="s">
        <v>835</v>
      </c>
      <c r="J68" s="3898">
        <f ca="1">IF(OR(M56="住宅",J60&lt;L57,J65="是"),"——",ROUND(C51*J67,0))</f>
        <v>255808</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2702">
        <f ca="1">ROUND(C74*F68+((C76+C78)*F69),0)</f>
        <v>319</v>
      </c>
      <c r="D69" s="3981" t="s">
        <v>3872</v>
      </c>
      <c r="E69" s="2722"/>
      <c r="F69" s="2766">
        <f>F17</f>
        <v>0.06</v>
      </c>
      <c r="I69" s="1006" t="s">
        <v>837</v>
      </c>
      <c r="J69" s="3899">
        <f ca="1">IF(OR(M56="住宅",J60&lt;L57,J65="是"),"0",ROUND(J68/(1+J61)^J62,0))</f>
        <v>17675</v>
      </c>
      <c r="K69" s="1008" t="s">
        <v>838</v>
      </c>
      <c r="L69" s="3899">
        <f ca="1">IF(OR(M56="住宅",L57&lt;J60),0,ROUND(L66*(L67/L68-1),0))</f>
        <v>0</v>
      </c>
      <c r="O69" s="977" t="s">
        <v>401</v>
      </c>
      <c r="P69" s="969" t="s">
        <v>839</v>
      </c>
      <c r="Q69" s="3433" t="e">
        <f ca="1">L67</f>
        <v>#DIV/0!</v>
      </c>
      <c r="R69" s="970" t="s">
        <v>840</v>
      </c>
    </row>
    <row r="70" spans="1:18" s="936" customFormat="1" ht="13.5" thickBot="1">
      <c r="A70" s="2505" t="s">
        <v>3975</v>
      </c>
      <c r="B70" s="2717" t="s">
        <v>3974</v>
      </c>
      <c r="C70" s="2702">
        <f ca="1">ROUND((C68-C69)*F70,0)</f>
        <v>-38</v>
      </c>
      <c r="D70" s="2740" t="s">
        <v>3997</v>
      </c>
      <c r="E70" s="186" t="s">
        <v>3999</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13.5" thickBot="1">
      <c r="A71" s="2700" t="s">
        <v>766</v>
      </c>
      <c r="B71" s="2695" t="s">
        <v>3984</v>
      </c>
      <c r="C71" s="2702">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0.12</v>
      </c>
      <c r="I71" s="1010" t="s">
        <v>842</v>
      </c>
      <c r="J71" s="1011" t="s">
        <v>843</v>
      </c>
      <c r="K71" s="1011" t="s">
        <v>844</v>
      </c>
      <c r="L71" s="1011" t="s">
        <v>845</v>
      </c>
      <c r="M71" s="1012" t="s">
        <v>846</v>
      </c>
      <c r="O71" s="4041" t="s">
        <v>403</v>
      </c>
      <c r="P71" s="4045" t="s">
        <v>3961</v>
      </c>
      <c r="Q71" s="4046">
        <f ca="1">ROUND((Q65+Q66)*(1+F31),0)</f>
        <v>1428200</v>
      </c>
      <c r="R71" s="4043" t="s">
        <v>3962</v>
      </c>
    </row>
    <row r="72" spans="1:18" s="936" customFormat="1" ht="13.5" thickBot="1">
      <c r="A72" s="4094" t="s">
        <v>769</v>
      </c>
      <c r="B72" s="4087" t="s">
        <v>3980</v>
      </c>
      <c r="C72" s="3026">
        <f ca="1">IF(项目基本情况!B11="自然人","——",ROUND(F72*F73,0))</f>
        <v>0</v>
      </c>
      <c r="D72" s="641" t="s">
        <v>771</v>
      </c>
      <c r="E72" s="626" t="s">
        <v>717</v>
      </c>
      <c r="F72" s="3421">
        <f t="shared" si="0"/>
        <v>0</v>
      </c>
      <c r="I72" s="3425" t="s">
        <v>848</v>
      </c>
      <c r="J72" s="223">
        <v>70</v>
      </c>
      <c r="K72" s="223">
        <v>50</v>
      </c>
      <c r="L72" s="223">
        <v>80</v>
      </c>
      <c r="M72" s="1013">
        <v>0.02</v>
      </c>
      <c r="O72" s="953" t="s">
        <v>849</v>
      </c>
      <c r="P72" s="933"/>
      <c r="Q72" s="3432"/>
      <c r="R72" s="933"/>
    </row>
    <row r="73" spans="1:18" s="936" customFormat="1" ht="13.5" thickBot="1">
      <c r="A73" s="4095"/>
      <c r="B73" s="632"/>
      <c r="C73" s="3027"/>
      <c r="D73" s="642"/>
      <c r="E73" s="626" t="s">
        <v>721</v>
      </c>
      <c r="F73" s="3029">
        <f t="shared" ca="1" si="0"/>
        <v>0</v>
      </c>
      <c r="I73" s="3425" t="s">
        <v>850</v>
      </c>
      <c r="J73" s="223">
        <v>50</v>
      </c>
      <c r="K73" s="223">
        <v>35</v>
      </c>
      <c r="L73" s="223">
        <v>60</v>
      </c>
      <c r="M73" s="1012">
        <v>0</v>
      </c>
      <c r="O73" s="4038" t="s">
        <v>1325</v>
      </c>
      <c r="P73" s="4039" t="s">
        <v>3918</v>
      </c>
      <c r="Q73" s="4059" t="s">
        <v>3919</v>
      </c>
      <c r="R73" s="4040" t="s">
        <v>3920</v>
      </c>
    </row>
    <row r="74" spans="1:18" s="936" customFormat="1" ht="13.5" thickBot="1">
      <c r="A74" s="3871" t="s">
        <v>774</v>
      </c>
      <c r="B74" s="625" t="s">
        <v>775</v>
      </c>
      <c r="C74" s="3882">
        <f ca="1">ROUND(F74*F75,0)</f>
        <v>3198</v>
      </c>
      <c r="D74" s="3865" t="s">
        <v>724</v>
      </c>
      <c r="E74" s="2695" t="s">
        <v>3817</v>
      </c>
      <c r="F74" s="3879">
        <f ca="1">C51</f>
        <v>639519</v>
      </c>
      <c r="I74" s="3425" t="s">
        <v>851</v>
      </c>
      <c r="J74" s="223">
        <v>40</v>
      </c>
      <c r="K74" s="223">
        <v>30</v>
      </c>
      <c r="L74" s="223">
        <v>50</v>
      </c>
      <c r="M74" s="1013">
        <v>0.02</v>
      </c>
      <c r="O74" s="4041" t="s">
        <v>397</v>
      </c>
      <c r="P74" s="4042" t="s">
        <v>3921</v>
      </c>
      <c r="Q74" s="4044">
        <f ca="1">C28+J31</f>
        <v>1310275</v>
      </c>
      <c r="R74" s="4043" t="s">
        <v>3922</v>
      </c>
    </row>
    <row r="75" spans="1:18" s="936" customFormat="1" ht="15" thickBot="1">
      <c r="A75" s="3873"/>
      <c r="B75" s="632"/>
      <c r="C75" s="3883"/>
      <c r="D75" s="3866"/>
      <c r="E75" s="626" t="s">
        <v>697</v>
      </c>
      <c r="F75" s="2768">
        <f ca="1">F22</f>
        <v>5.0000000000000001E-3</v>
      </c>
      <c r="O75" s="4041" t="s">
        <v>398</v>
      </c>
      <c r="P75" s="4042" t="s">
        <v>3925</v>
      </c>
      <c r="Q75" s="4060">
        <f ca="1">L69</f>
        <v>0</v>
      </c>
      <c r="R75" s="4043" t="s">
        <v>3927</v>
      </c>
    </row>
    <row r="76" spans="1:18" s="936" customFormat="1" ht="13.5" thickBot="1">
      <c r="A76" s="3871" t="s">
        <v>777</v>
      </c>
      <c r="B76" s="625" t="s">
        <v>727</v>
      </c>
      <c r="C76" s="3882">
        <f ca="1">ROUND(F76*F77,0)</f>
        <v>512</v>
      </c>
      <c r="D76" s="3865" t="s">
        <v>3448</v>
      </c>
      <c r="E76" s="2695" t="s">
        <v>3447</v>
      </c>
      <c r="F76" s="3880">
        <f ca="1">C53</f>
        <v>511615</v>
      </c>
      <c r="O76" s="968"/>
      <c r="P76" s="969"/>
      <c r="Q76" s="3433"/>
      <c r="R76" s="970"/>
    </row>
    <row r="77" spans="1:18" s="936" customFormat="1" ht="16.5" thickBot="1">
      <c r="A77" s="3873"/>
      <c r="B77" s="632"/>
      <c r="C77" s="3883"/>
      <c r="D77" s="3866"/>
      <c r="E77" s="626" t="s">
        <v>697</v>
      </c>
      <c r="F77" s="2768">
        <f ca="1">F24</f>
        <v>1E-3</v>
      </c>
      <c r="O77" s="977" t="s">
        <v>399</v>
      </c>
      <c r="P77" s="969" t="s">
        <v>834</v>
      </c>
      <c r="Q77" s="3434">
        <f ca="1">L60</f>
        <v>990071</v>
      </c>
      <c r="R77" s="970" t="s">
        <v>854</v>
      </c>
    </row>
    <row r="78" spans="1:18" s="4004" customFormat="1" ht="13.5" thickBot="1">
      <c r="A78" s="519" t="s">
        <v>778</v>
      </c>
      <c r="B78" s="626" t="s">
        <v>713</v>
      </c>
      <c r="C78" s="2702">
        <f ca="1">ROUND(C57*F78,0)</f>
        <v>0</v>
      </c>
      <c r="D78" s="640" t="s">
        <v>3876</v>
      </c>
      <c r="E78" s="626" t="s">
        <v>697</v>
      </c>
      <c r="F78" s="2768">
        <f ca="1">F26</f>
        <v>0.01</v>
      </c>
      <c r="G78" s="936"/>
      <c r="H78" s="936"/>
      <c r="O78" s="977"/>
      <c r="P78" s="969"/>
      <c r="Q78" s="3434"/>
      <c r="R78" s="970"/>
    </row>
    <row r="79" spans="1:18" s="4004" customFormat="1" ht="16.5" thickBot="1">
      <c r="A79" s="633" t="s">
        <v>3951</v>
      </c>
      <c r="B79" s="643" t="s">
        <v>3899</v>
      </c>
      <c r="C79" s="2743">
        <f ca="1">C57-C65</f>
        <v>-3672</v>
      </c>
      <c r="D79" s="643" t="s">
        <v>3900</v>
      </c>
      <c r="E79" s="4030"/>
      <c r="F79" s="4031"/>
      <c r="O79" s="977" t="s">
        <v>400</v>
      </c>
      <c r="P79" s="1015" t="s">
        <v>3952</v>
      </c>
      <c r="Q79" s="3434">
        <f ca="1">ROUND(Q80-Q81*Q82,0)</f>
        <v>54769</v>
      </c>
      <c r="R79" s="970" t="s">
        <v>408</v>
      </c>
    </row>
    <row r="80" spans="1:18" s="4004" customFormat="1" ht="13.5" thickBot="1">
      <c r="A80" s="3202" t="s">
        <v>388</v>
      </c>
      <c r="B80" s="624" t="s">
        <v>3901</v>
      </c>
      <c r="C80" s="3915">
        <f ca="1">ROUND(C79*(1-((1+F82)/(1+F80))^F81)/(F80-F82),0)</f>
        <v>-57530</v>
      </c>
      <c r="D80" s="4032" t="s">
        <v>3902</v>
      </c>
      <c r="E80" s="634" t="s">
        <v>3903</v>
      </c>
      <c r="F80" s="2768">
        <f ca="1">F28</f>
        <v>5.5E-2</v>
      </c>
      <c r="O80" s="977" t="s">
        <v>405</v>
      </c>
      <c r="P80" s="1015" t="s">
        <v>3953</v>
      </c>
      <c r="Q80" s="3434">
        <f ca="1">C27</f>
        <v>64362</v>
      </c>
      <c r="R80" s="970" t="s">
        <v>803</v>
      </c>
    </row>
    <row r="81" spans="1:18" s="4004" customFormat="1" ht="13.5" thickBot="1">
      <c r="A81" s="3203"/>
      <c r="B81" s="628"/>
      <c r="C81" s="4096"/>
      <c r="D81" s="4033" t="s">
        <v>3907</v>
      </c>
      <c r="E81" s="634" t="s">
        <v>3906</v>
      </c>
      <c r="F81" s="2769">
        <f ca="1">F29</f>
        <v>36.950000000000003</v>
      </c>
      <c r="O81" s="977" t="s">
        <v>406</v>
      </c>
      <c r="P81" s="1015" t="s">
        <v>3954</v>
      </c>
      <c r="Q81" s="3434">
        <f ca="1">C52</f>
        <v>127904</v>
      </c>
      <c r="R81" s="970" t="s">
        <v>803</v>
      </c>
    </row>
    <row r="82" spans="1:18" s="4004" customFormat="1" ht="13.5" thickBot="1">
      <c r="A82" s="4057"/>
      <c r="B82" s="4058"/>
      <c r="C82" s="4058"/>
      <c r="D82" s="4034"/>
      <c r="E82" s="634" t="s">
        <v>3908</v>
      </c>
      <c r="F82" s="2763"/>
      <c r="O82" s="977" t="s">
        <v>407</v>
      </c>
      <c r="P82" s="1015" t="s">
        <v>3955</v>
      </c>
      <c r="Q82" s="3431">
        <f ca="1">C88</f>
        <v>7.4999999999999997E-2</v>
      </c>
      <c r="R82" s="970"/>
    </row>
    <row r="83" spans="1:18" s="4004" customFormat="1" ht="13.5" thickBot="1">
      <c r="A83" s="630"/>
      <c r="B83" s="2742" t="s">
        <v>3957</v>
      </c>
      <c r="C83" s="3856">
        <f ca="1">ROUND(C80*(1+F31),0)</f>
        <v>-62708</v>
      </c>
      <c r="D83" s="4226" t="str">
        <f>D31</f>
        <v>其他类型公式—收益价值×（1+9%）</v>
      </c>
      <c r="E83" s="1019"/>
      <c r="F83" s="4036"/>
      <c r="O83" s="977" t="s">
        <v>401</v>
      </c>
      <c r="P83" s="969" t="s">
        <v>3956</v>
      </c>
      <c r="Q83" s="3431">
        <f>L61</f>
        <v>0</v>
      </c>
      <c r="R83" s="970"/>
    </row>
    <row r="84" spans="1:18" ht="16.5" thickBot="1">
      <c r="A84" s="647" t="s">
        <v>389</v>
      </c>
      <c r="B84" s="648" t="s">
        <v>761</v>
      </c>
      <c r="C84" s="2754">
        <f ca="1">ROUND(C83/F84,0)</f>
        <v>-573</v>
      </c>
      <c r="D84" s="4037" t="s">
        <v>3911</v>
      </c>
      <c r="E84" s="648" t="s">
        <v>3912</v>
      </c>
      <c r="F84" s="2770">
        <f ca="1">F32</f>
        <v>109.4</v>
      </c>
      <c r="G84" s="4004"/>
      <c r="H84" s="4004"/>
      <c r="O84" s="977" t="s">
        <v>402</v>
      </c>
      <c r="P84" s="969" t="s">
        <v>839</v>
      </c>
      <c r="Q84" s="3433" t="e">
        <f ca="1">L67</f>
        <v>#DIV/0!</v>
      </c>
      <c r="R84" s="970" t="s">
        <v>840</v>
      </c>
    </row>
    <row r="85" spans="1:18" ht="13.5" thickBot="1">
      <c r="A85" s="936"/>
      <c r="B85" s="494"/>
      <c r="C85" s="494"/>
      <c r="D85" s="936"/>
      <c r="E85" s="936"/>
      <c r="F85" s="936"/>
      <c r="O85" s="977" t="s">
        <v>409</v>
      </c>
      <c r="P85" s="969" t="str">
        <f>K68</f>
        <v>建筑物剩余耐用年限下的土地年期修正系数Kn</v>
      </c>
      <c r="Q85" s="3433" t="e">
        <f ca="1">L68</f>
        <v>#DIV/0!</v>
      </c>
      <c r="R85" s="970" t="s">
        <v>841</v>
      </c>
    </row>
    <row r="86" spans="1:18" ht="13.5" thickBot="1">
      <c r="A86" s="936"/>
      <c r="B86" s="168" t="s">
        <v>859</v>
      </c>
      <c r="C86" s="1017"/>
      <c r="D86" s="936"/>
      <c r="E86" s="936"/>
      <c r="F86" s="936"/>
      <c r="K86" s="952"/>
      <c r="L86" s="936"/>
      <c r="O86" s="4041" t="s">
        <v>403</v>
      </c>
      <c r="P86" s="4045" t="s">
        <v>3961</v>
      </c>
      <c r="Q86" s="4044">
        <f ca="1">ROUND((Q74+Q75)*(1+F31),0)</f>
        <v>1428200</v>
      </c>
      <c r="R86" s="4043" t="s">
        <v>3962</v>
      </c>
    </row>
    <row r="87" spans="1:18">
      <c r="A87" s="936"/>
      <c r="B87" s="222" t="s">
        <v>780</v>
      </c>
      <c r="C87" s="2832">
        <f ca="1">ROUND(C53*C88,0)</f>
        <v>38371</v>
      </c>
      <c r="D87" s="936"/>
      <c r="E87" s="936"/>
      <c r="F87" s="936"/>
      <c r="I87" s="936"/>
      <c r="J87" s="936"/>
      <c r="K87" s="952"/>
      <c r="L87" s="936"/>
    </row>
    <row r="88" spans="1:18">
      <c r="B88" s="224" t="s">
        <v>781</v>
      </c>
      <c r="C88" s="2727">
        <f ca="1">INDIRECT("'数据-取费表'!j"&amp;$G$1)</f>
        <v>7.4999999999999997E-2</v>
      </c>
      <c r="I88" s="936"/>
      <c r="J88" s="936"/>
      <c r="K88" s="952"/>
      <c r="L88" s="936"/>
    </row>
    <row r="89" spans="1:18">
      <c r="B89" s="226" t="s">
        <v>782</v>
      </c>
      <c r="C89" s="227"/>
    </row>
    <row r="90" spans="1:18">
      <c r="B90" s="165" t="s">
        <v>783</v>
      </c>
      <c r="C90" s="228"/>
    </row>
    <row r="91" spans="1:18">
      <c r="B91" s="222" t="s">
        <v>784</v>
      </c>
      <c r="C91" s="2833">
        <f ca="1">1-C92</f>
        <v>0.40400000000000003</v>
      </c>
    </row>
    <row r="92" spans="1:18">
      <c r="B92" s="222" t="s">
        <v>785</v>
      </c>
      <c r="C92" s="2833">
        <f ca="1">ROUND(C87/C27,3)</f>
        <v>0.59599999999999997</v>
      </c>
    </row>
    <row r="93" spans="1:18">
      <c r="B93" s="165" t="s">
        <v>786</v>
      </c>
      <c r="C93" s="133"/>
    </row>
    <row r="94" spans="1:18">
      <c r="B94" s="168" t="s">
        <v>787</v>
      </c>
      <c r="C94" s="2834">
        <f ca="1">1-C95</f>
        <v>0.61499999999999999</v>
      </c>
    </row>
    <row r="95" spans="1:18">
      <c r="B95" s="168" t="s">
        <v>788</v>
      </c>
      <c r="C95" s="2833">
        <f ca="1">ROUND(C53/(C28+J31+L55),3)</f>
        <v>0.38500000000000001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1" t="s">
        <v>679</v>
      </c>
      <c r="C6" s="712">
        <f ca="1">ROUND(F6*F8*F7*(1-F9),0)</f>
        <v>0</v>
      </c>
      <c r="D6" s="56" t="s">
        <v>2016</v>
      </c>
      <c r="E6" s="186" t="s">
        <v>681</v>
      </c>
      <c r="F6" s="187">
        <f ca="1">INDIRECT("'数据-取费表'!u"&amp;$G$1)</f>
        <v>0</v>
      </c>
      <c r="G6" s="936"/>
      <c r="H6" s="707" t="s">
        <v>392</v>
      </c>
      <c r="I6" s="4521" t="s">
        <v>679</v>
      </c>
      <c r="J6" s="185">
        <f ca="1">ROUND(M6*M8*M7*(1-M9),0)</f>
        <v>0</v>
      </c>
      <c r="K6" s="928" t="s">
        <v>2017</v>
      </c>
      <c r="L6" s="186" t="s">
        <v>681</v>
      </c>
      <c r="M6" s="187">
        <f ca="1">INDIRECT("'数据-取费表'!z"&amp;$G$1)</f>
        <v>0</v>
      </c>
    </row>
    <row r="7" spans="1:37" ht="18" customHeight="1">
      <c r="A7" s="711"/>
      <c r="B7" s="4522"/>
      <c r="C7" s="713"/>
      <c r="D7" s="191"/>
      <c r="E7" s="714" t="s">
        <v>682</v>
      </c>
      <c r="F7" s="187">
        <f ca="1">IF(INDIRECT("'数据-取费表'!ah"&amp;$G$1)="",INDIRECT("'数据-取费表'!k"&amp;$G$1),INDIRECT("'数据-取费表'!ah"&amp;$G$1))</f>
        <v>0</v>
      </c>
      <c r="G7" s="936"/>
      <c r="H7" s="188"/>
      <c r="I7" s="4522"/>
      <c r="J7" s="190"/>
      <c r="K7" s="191"/>
      <c r="L7" s="186" t="s">
        <v>682</v>
      </c>
      <c r="M7" s="187">
        <f ca="1">F7</f>
        <v>0</v>
      </c>
    </row>
    <row r="8" spans="1:37" ht="18" customHeight="1">
      <c r="A8" s="188"/>
      <c r="B8" s="4522"/>
      <c r="C8" s="190"/>
      <c r="D8" s="191"/>
      <c r="E8" s="186" t="s">
        <v>683</v>
      </c>
      <c r="F8" s="187">
        <f ca="1">INDIRECT("'数据-取费表'!ai"&amp;$G$1)</f>
        <v>0</v>
      </c>
      <c r="G8" s="936"/>
      <c r="H8" s="188"/>
      <c r="I8" s="4522"/>
      <c r="J8" s="190"/>
      <c r="K8" s="191"/>
      <c r="L8" s="186" t="s">
        <v>683</v>
      </c>
      <c r="M8" s="187">
        <f ca="1">INDIRECT("'数据-取费表'!ai"&amp;$G$1)</f>
        <v>0</v>
      </c>
    </row>
    <row r="9" spans="1:37" ht="18" customHeight="1">
      <c r="A9" s="188"/>
      <c r="B9" s="4523"/>
      <c r="C9" s="190"/>
      <c r="D9" s="191"/>
      <c r="E9" s="186" t="s">
        <v>684</v>
      </c>
      <c r="F9" s="196">
        <f ca="1">INDIRECT("'数据-取费表'!w"&amp;$G$1)</f>
        <v>0</v>
      </c>
      <c r="G9" s="936"/>
      <c r="H9" s="188"/>
      <c r="I9" s="452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0.06</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350</v>
      </c>
      <c r="G17" s="946"/>
      <c r="H17" s="658" t="s">
        <v>392</v>
      </c>
      <c r="I17" s="186" t="s">
        <v>704</v>
      </c>
      <c r="J17" s="1693">
        <f ca="1">ROUND(IF(AND(项目基本情况!B11="自然人",项目基本情况!B10="北京市"),J6*M17/(1+'数据-取费表'!C43),J18+J19+J20),0)</f>
        <v>0</v>
      </c>
      <c r="K17" s="901" t="s">
        <v>705</v>
      </c>
      <c r="L17" s="900" t="s">
        <v>706</v>
      </c>
      <c r="M17" s="1692"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t="str">
        <f>IF(项目基本情况!B11="企业","——",IF(M47="住宅",IF(F6*F7*F8/12/(1+'数据-取费表'!F30)&gt;100000,4%,2.5%),IF(F6*F7*F8/12/(1+'数据-取费表'!F30)&gt;100000,12%,7%)))</f>
        <v>——</v>
      </c>
      <c r="G31" s="936"/>
      <c r="H31" s="2047" t="s">
        <v>2204</v>
      </c>
      <c r="I31" s="948"/>
      <c r="J31" s="949"/>
      <c r="K31" s="47"/>
      <c r="L31" s="1959"/>
      <c r="M31" s="1960"/>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8"/>
      <c r="I32" s="948"/>
      <c r="J32" s="949"/>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3225</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3241</v>
      </c>
      <c r="B45" s="950"/>
      <c r="C45" s="1020" t="e">
        <f ca="1">ROUND((C68-C40)/10000,4)</f>
        <v>#DIV/0!</v>
      </c>
      <c r="D45" s="2474"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450" t="s">
        <v>822</v>
      </c>
      <c r="L53" s="4451"/>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G65" sqref="G6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2327</v>
      </c>
      <c r="B1" s="2056"/>
      <c r="C1" s="2067"/>
      <c r="D1" s="2067"/>
      <c r="E1" s="2057"/>
      <c r="F1" s="2058"/>
      <c r="G1" s="2059"/>
      <c r="J1" s="2062" t="s">
        <v>2212</v>
      </c>
      <c r="K1" s="2063"/>
      <c r="L1" s="2063"/>
      <c r="M1" s="2063"/>
      <c r="N1" s="2063"/>
      <c r="O1" s="2063"/>
      <c r="P1" s="2063"/>
      <c r="Q1" s="2063"/>
      <c r="R1" s="2064"/>
      <c r="S1" s="2065"/>
      <c r="T1" s="2065"/>
      <c r="U1" s="2065"/>
    </row>
    <row r="2" spans="1:22" s="2076" customFormat="1" ht="13.15" customHeight="1">
      <c r="A2" s="937" t="s">
        <v>2213</v>
      </c>
      <c r="B2" s="3442" t="e">
        <f>IF(D2="——",C40,C40+E2)</f>
        <v>#DIV/0!</v>
      </c>
      <c r="C2" s="2067" t="s">
        <v>2214</v>
      </c>
      <c r="D2" s="2480" t="s">
        <v>3248</v>
      </c>
      <c r="E2" s="2481"/>
      <c r="F2" s="2069"/>
      <c r="G2" s="2070"/>
      <c r="H2" s="2071"/>
      <c r="I2" s="2072"/>
      <c r="J2" s="4524" t="s">
        <v>2215</v>
      </c>
      <c r="K2" s="4525"/>
      <c r="L2" s="2073" t="s">
        <v>2216</v>
      </c>
      <c r="M2" s="2073" t="s">
        <v>2217</v>
      </c>
      <c r="N2" s="2073" t="s">
        <v>2218</v>
      </c>
      <c r="O2" s="2073" t="s">
        <v>2219</v>
      </c>
      <c r="P2" s="2073" t="s">
        <v>2220</v>
      </c>
      <c r="Q2" s="2074" t="s">
        <v>2221</v>
      </c>
      <c r="R2" s="2075" t="s">
        <v>2222</v>
      </c>
      <c r="S2" s="2065"/>
      <c r="T2" s="2065"/>
      <c r="U2" s="2065"/>
      <c r="V2" s="2072"/>
    </row>
    <row r="3" spans="1:22" s="2076" customFormat="1" ht="13.15" customHeight="1">
      <c r="A3" s="2077" t="s">
        <v>2223</v>
      </c>
      <c r="B3" s="3443" t="e">
        <f>ROUND(B2*10000/B4,0)</f>
        <v>#DIV/0!</v>
      </c>
      <c r="C3" s="2067" t="s">
        <v>2224</v>
      </c>
      <c r="D3" s="2067"/>
      <c r="E3" s="2068"/>
      <c r="F3" s="2069"/>
      <c r="G3" s="2070"/>
      <c r="H3" s="2071"/>
      <c r="I3" s="2072"/>
      <c r="J3" s="4526" t="s">
        <v>2225</v>
      </c>
      <c r="K3" s="4527"/>
      <c r="L3" s="2078"/>
      <c r="M3" s="2078"/>
      <c r="N3" s="2078"/>
      <c r="O3" s="2078"/>
      <c r="P3" s="2078"/>
      <c r="Q3" s="2079"/>
      <c r="R3" s="2080">
        <f>SUM(L3:Q3)</f>
        <v>0</v>
      </c>
      <c r="S3" s="2065"/>
      <c r="T3" s="2065"/>
      <c r="U3" s="2065"/>
      <c r="V3" s="2072"/>
    </row>
    <row r="4" spans="1:22" s="2076" customFormat="1" ht="13.15" customHeight="1">
      <c r="A4" s="2081" t="s">
        <v>2226</v>
      </c>
      <c r="B4" s="2114"/>
      <c r="C4" s="2067"/>
      <c r="D4" s="2067"/>
      <c r="E4" s="2068"/>
      <c r="F4" s="2069"/>
      <c r="G4" s="2070"/>
      <c r="H4" s="2071"/>
      <c r="I4" s="2072"/>
      <c r="J4" s="4526" t="s">
        <v>2227</v>
      </c>
      <c r="K4" s="4527"/>
      <c r="L4" s="2083"/>
      <c r="M4" s="2083"/>
      <c r="N4" s="2083"/>
      <c r="O4" s="2083"/>
      <c r="P4" s="2083"/>
      <c r="Q4" s="2084"/>
      <c r="R4" s="2085">
        <f>SUM(L4:Q4)</f>
        <v>0</v>
      </c>
      <c r="S4" s="2065"/>
      <c r="T4" s="2065"/>
      <c r="U4" s="2065"/>
      <c r="V4" s="2072"/>
    </row>
    <row r="5" spans="1:22" s="2076" customFormat="1" ht="13.15" customHeight="1" thickBot="1">
      <c r="A5" s="2086" t="s">
        <v>2228</v>
      </c>
      <c r="B5" s="3444"/>
      <c r="C5" s="2067"/>
      <c r="D5" s="2087"/>
      <c r="E5" s="2069"/>
      <c r="F5" s="2069"/>
      <c r="G5" s="2070"/>
      <c r="H5" s="2071"/>
      <c r="I5" s="2072"/>
      <c r="J5" s="2088" t="s">
        <v>2229</v>
      </c>
      <c r="K5" s="2089"/>
      <c r="L5" s="2089"/>
      <c r="M5" s="2090"/>
      <c r="N5" s="2090"/>
      <c r="O5" s="2090"/>
      <c r="P5" s="2090"/>
      <c r="Q5" s="2090"/>
      <c r="R5" s="2075">
        <f>SUM(R14,R19,R24,R25,R27,R28)</f>
        <v>0</v>
      </c>
      <c r="S5" s="2065"/>
      <c r="T5" s="2065" t="s">
        <v>2230</v>
      </c>
      <c r="U5" s="2065" t="e">
        <f>ROUND(R5*10000/365/R3,1)</f>
        <v>#DIV/0!</v>
      </c>
      <c r="V5" s="2072"/>
    </row>
    <row r="6" spans="1:22" s="2076" customFormat="1" ht="13.15" customHeight="1" thickBot="1">
      <c r="A6" s="4528" t="s">
        <v>3801</v>
      </c>
      <c r="B6" s="4529"/>
      <c r="C6" s="4530"/>
      <c r="D6" s="3445"/>
      <c r="E6" s="3584"/>
      <c r="F6" s="2092"/>
      <c r="G6" s="2093"/>
      <c r="H6" s="2071"/>
      <c r="I6" s="2072"/>
      <c r="J6" s="4531">
        <v>1</v>
      </c>
      <c r="K6" s="4532" t="s">
        <v>2231</v>
      </c>
      <c r="L6" s="2094" t="s">
        <v>2232</v>
      </c>
      <c r="M6" s="2095" t="s">
        <v>2233</v>
      </c>
      <c r="N6" s="2095" t="s">
        <v>2234</v>
      </c>
      <c r="O6" s="2095" t="s">
        <v>2235</v>
      </c>
      <c r="P6" s="2095" t="s">
        <v>2236</v>
      </c>
      <c r="Q6" s="2095" t="s">
        <v>2237</v>
      </c>
      <c r="R6" s="2080" t="s">
        <v>2238</v>
      </c>
      <c r="S6" s="2065"/>
      <c r="T6" s="2065" t="s">
        <v>2239</v>
      </c>
      <c r="U6" s="2065"/>
      <c r="V6" s="2072"/>
    </row>
    <row r="7" spans="1:22" s="2076" customFormat="1" ht="13.15" customHeight="1">
      <c r="A7" s="2096" t="s">
        <v>2240</v>
      </c>
      <c r="B7" s="2097"/>
      <c r="C7" s="2098"/>
      <c r="D7" s="3446">
        <f>SUM(D9,D10,D11,D17,0)</f>
        <v>0</v>
      </c>
      <c r="E7" s="2099" t="e">
        <f>E9+E10+E11+E17</f>
        <v>#DIV/0!</v>
      </c>
      <c r="F7" s="2100"/>
      <c r="G7" s="2101"/>
      <c r="H7" s="2071"/>
      <c r="I7" s="2072"/>
      <c r="J7" s="4531"/>
      <c r="K7" s="4533"/>
      <c r="L7" s="2102" t="s">
        <v>2241</v>
      </c>
      <c r="M7" s="3682"/>
      <c r="N7" s="3681"/>
      <c r="O7" s="2114"/>
      <c r="P7" s="2114"/>
      <c r="Q7" s="3681">
        <v>365</v>
      </c>
      <c r="R7" s="3680">
        <f>ROUND(M7*N7*O7*P7*Q7/10000,0)</f>
        <v>0</v>
      </c>
      <c r="S7" s="2065"/>
      <c r="T7" s="2065" t="s">
        <v>2242</v>
      </c>
      <c r="U7" s="2065"/>
      <c r="V7" s="2072"/>
    </row>
    <row r="8" spans="1:22" s="2076" customFormat="1" ht="13.15" customHeight="1">
      <c r="A8" s="2106" t="s">
        <v>2243</v>
      </c>
      <c r="B8" s="4535" t="s">
        <v>2244</v>
      </c>
      <c r="C8" s="4536"/>
      <c r="D8" s="4069" t="s">
        <v>3966</v>
      </c>
      <c r="E8" s="2107" t="s">
        <v>2245</v>
      </c>
      <c r="F8" s="2108" t="s">
        <v>2246</v>
      </c>
      <c r="G8" s="2109"/>
      <c r="H8" s="2071"/>
      <c r="I8" s="2072"/>
      <c r="J8" s="4531"/>
      <c r="K8" s="4533"/>
      <c r="L8" s="2102" t="s">
        <v>2247</v>
      </c>
      <c r="M8" s="3682"/>
      <c r="N8" s="3681"/>
      <c r="O8" s="2114"/>
      <c r="P8" s="2114"/>
      <c r="Q8" s="3681">
        <v>365</v>
      </c>
      <c r="R8" s="3680">
        <f t="shared" ref="R8:R13" si="0">ROUND(M8*N8*O8*P8*Q8/10000,0)</f>
        <v>0</v>
      </c>
      <c r="S8" s="2065"/>
      <c r="T8" s="2065" t="s">
        <v>2248</v>
      </c>
      <c r="U8" s="2065"/>
      <c r="V8" s="2072"/>
    </row>
    <row r="9" spans="1:22" s="2076" customFormat="1" ht="13.15" customHeight="1">
      <c r="A9" s="2106">
        <v>1</v>
      </c>
      <c r="B9" s="4535" t="s">
        <v>2249</v>
      </c>
      <c r="C9" s="4536"/>
      <c r="D9" s="3447">
        <f>ROUND(D6*E9,0)</f>
        <v>0</v>
      </c>
      <c r="E9" s="3448"/>
      <c r="F9" s="2110" t="s">
        <v>2250</v>
      </c>
      <c r="G9" s="2093"/>
      <c r="H9" s="2071"/>
      <c r="I9" s="2072"/>
      <c r="J9" s="4531"/>
      <c r="K9" s="4533"/>
      <c r="L9" s="2102" t="s">
        <v>2251</v>
      </c>
      <c r="M9" s="3682"/>
      <c r="N9" s="3681"/>
      <c r="O9" s="2114"/>
      <c r="P9" s="2114"/>
      <c r="Q9" s="3681">
        <v>365</v>
      </c>
      <c r="R9" s="3680">
        <f t="shared" si="0"/>
        <v>0</v>
      </c>
      <c r="S9" s="2065"/>
      <c r="T9" s="2065"/>
      <c r="U9" s="2065"/>
      <c r="V9" s="2072"/>
    </row>
    <row r="10" spans="1:22" s="2076" customFormat="1" ht="13.15" customHeight="1">
      <c r="A10" s="2106">
        <v>2</v>
      </c>
      <c r="B10" s="4535" t="s">
        <v>2252</v>
      </c>
      <c r="C10" s="4536"/>
      <c r="D10" s="3447">
        <f>ROUND(D6*E10,0)</f>
        <v>0</v>
      </c>
      <c r="E10" s="3448"/>
      <c r="F10" s="3579" t="s">
        <v>3726</v>
      </c>
      <c r="G10" s="2093"/>
      <c r="H10" s="2071"/>
      <c r="I10" s="2072"/>
      <c r="J10" s="4531"/>
      <c r="K10" s="4533"/>
      <c r="L10" s="2102" t="s">
        <v>2253</v>
      </c>
      <c r="M10" s="3682"/>
      <c r="N10" s="3681"/>
      <c r="O10" s="2114"/>
      <c r="P10" s="2114"/>
      <c r="Q10" s="3681">
        <v>365</v>
      </c>
      <c r="R10" s="3680">
        <f t="shared" si="0"/>
        <v>0</v>
      </c>
      <c r="S10" s="2065"/>
      <c r="T10" s="2065"/>
      <c r="U10" s="2065"/>
      <c r="V10" s="2072"/>
    </row>
    <row r="11" spans="1:22" s="2076" customFormat="1" ht="13.15" customHeight="1">
      <c r="A11" s="2106">
        <v>3</v>
      </c>
      <c r="B11" s="4535" t="s">
        <v>2254</v>
      </c>
      <c r="C11" s="4536"/>
      <c r="D11" s="3447">
        <f>D12+D14+D15+D16</f>
        <v>0</v>
      </c>
      <c r="E11" s="3449" t="e">
        <f>D11/D6</f>
        <v>#DIV/0!</v>
      </c>
      <c r="F11" s="2108"/>
      <c r="G11" s="2109"/>
      <c r="H11" s="2071"/>
      <c r="I11" s="2072"/>
      <c r="J11" s="4531"/>
      <c r="K11" s="4533"/>
      <c r="L11" s="2102" t="s">
        <v>2255</v>
      </c>
      <c r="M11" s="3682"/>
      <c r="N11" s="3681"/>
      <c r="O11" s="2114"/>
      <c r="P11" s="2114"/>
      <c r="Q11" s="3681">
        <v>365</v>
      </c>
      <c r="R11" s="3680">
        <f t="shared" si="0"/>
        <v>0</v>
      </c>
      <c r="S11" s="2065"/>
      <c r="T11" s="2065"/>
      <c r="U11" s="2065"/>
      <c r="V11" s="2072"/>
    </row>
    <row r="12" spans="1:22" s="2076" customFormat="1" ht="13.15" customHeight="1">
      <c r="A12" s="2111" t="s">
        <v>2256</v>
      </c>
      <c r="B12" s="4537" t="s">
        <v>2257</v>
      </c>
      <c r="C12" s="4538"/>
      <c r="D12" s="3450">
        <f>ROUND(D13*1.2%*(1-30%),0)</f>
        <v>0</v>
      </c>
      <c r="E12" s="3451">
        <v>1.2E-2</v>
      </c>
      <c r="F12" s="2108" t="s">
        <v>2258</v>
      </c>
      <c r="G12" s="2109"/>
      <c r="H12" s="2071"/>
      <c r="I12" s="2072"/>
      <c r="J12" s="4531"/>
      <c r="K12" s="4533"/>
      <c r="L12" s="2102" t="s">
        <v>2259</v>
      </c>
      <c r="M12" s="3682"/>
      <c r="N12" s="3681"/>
      <c r="O12" s="2114"/>
      <c r="P12" s="2114"/>
      <c r="Q12" s="3681">
        <v>365</v>
      </c>
      <c r="R12" s="3680">
        <f t="shared" si="0"/>
        <v>0</v>
      </c>
      <c r="S12" s="2065"/>
      <c r="T12" s="2065"/>
      <c r="U12" s="2065"/>
      <c r="V12" s="2072"/>
    </row>
    <row r="13" spans="1:22" s="2076" customFormat="1" ht="13.15" customHeight="1">
      <c r="A13" s="2111"/>
      <c r="B13" s="2112"/>
      <c r="C13" s="2113" t="s">
        <v>2260</v>
      </c>
      <c r="D13" s="3452"/>
      <c r="E13" s="2115"/>
      <c r="F13" s="2108"/>
      <c r="G13" s="2109"/>
      <c r="H13" s="2071"/>
      <c r="I13" s="2072"/>
      <c r="J13" s="4531"/>
      <c r="K13" s="4533"/>
      <c r="L13" s="2102" t="s">
        <v>2261</v>
      </c>
      <c r="M13" s="3682"/>
      <c r="N13" s="3681"/>
      <c r="O13" s="2114"/>
      <c r="P13" s="2114"/>
      <c r="Q13" s="3681">
        <v>365</v>
      </c>
      <c r="R13" s="3680">
        <f t="shared" si="0"/>
        <v>0</v>
      </c>
      <c r="S13" s="2065"/>
      <c r="T13" s="2065"/>
      <c r="U13" s="2065"/>
      <c r="V13" s="2072"/>
    </row>
    <row r="14" spans="1:22" s="2076" customFormat="1" ht="13.15" customHeight="1">
      <c r="A14" s="2111" t="s">
        <v>2262</v>
      </c>
      <c r="B14" s="4537" t="s">
        <v>2263</v>
      </c>
      <c r="C14" s="4538"/>
      <c r="D14" s="3450">
        <f>ROUND(E14*B5/10000,0)</f>
        <v>0</v>
      </c>
      <c r="E14" s="3453"/>
      <c r="F14" s="2108" t="s">
        <v>2264</v>
      </c>
      <c r="G14" s="2109"/>
      <c r="H14" s="2071"/>
      <c r="I14" s="2072"/>
      <c r="J14" s="4531"/>
      <c r="K14" s="4534"/>
      <c r="L14" s="2116" t="s">
        <v>2265</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2266</v>
      </c>
      <c r="B15" s="4539" t="s">
        <v>3798</v>
      </c>
      <c r="C15" s="4538"/>
      <c r="D15" s="3450">
        <f>IF(F15="酒店",E48*(1+E15),IF(F15="购物中心",E67*(1+E15),IF(F15="按比例计算-酒店",E46,E65)))</f>
        <v>0</v>
      </c>
      <c r="E15" s="3451">
        <f>'数据-取费表'!B44</f>
        <v>0.12000000000000001</v>
      </c>
      <c r="F15" s="3582" t="s">
        <v>3858</v>
      </c>
      <c r="G15" s="3583"/>
      <c r="H15" s="2071"/>
      <c r="I15" s="2072"/>
      <c r="J15" s="4531">
        <v>2</v>
      </c>
      <c r="K15" s="4532" t="s">
        <v>2267</v>
      </c>
      <c r="L15" s="2102" t="s">
        <v>2268</v>
      </c>
      <c r="M15" s="2103" t="s">
        <v>2269</v>
      </c>
      <c r="N15" s="2103" t="s">
        <v>2270</v>
      </c>
      <c r="O15" s="2104" t="s">
        <v>2271</v>
      </c>
      <c r="P15" s="2104" t="s">
        <v>2237</v>
      </c>
      <c r="Q15" s="2082" t="s">
        <v>2272</v>
      </c>
      <c r="R15" s="2120" t="s">
        <v>2238</v>
      </c>
      <c r="S15" s="2065"/>
      <c r="T15" s="2065"/>
      <c r="U15" s="2065"/>
      <c r="V15" s="2072"/>
    </row>
    <row r="16" spans="1:22" s="2076" customFormat="1" ht="13.15" customHeight="1">
      <c r="A16" s="2111" t="s">
        <v>2273</v>
      </c>
      <c r="B16" s="4537" t="s">
        <v>2274</v>
      </c>
      <c r="C16" s="4538"/>
      <c r="D16" s="3454">
        <f>D6*E16</f>
        <v>0</v>
      </c>
      <c r="E16" s="3455"/>
      <c r="F16" s="2110" t="s">
        <v>2275</v>
      </c>
      <c r="G16" s="2093"/>
      <c r="H16" s="2071"/>
      <c r="I16" s="2072"/>
      <c r="J16" s="4531"/>
      <c r="K16" s="4533"/>
      <c r="L16" s="2102" t="s">
        <v>2276</v>
      </c>
      <c r="M16" s="3682"/>
      <c r="N16" s="3682"/>
      <c r="O16" s="2114"/>
      <c r="P16" s="3681">
        <v>365</v>
      </c>
      <c r="Q16" s="3681"/>
      <c r="R16" s="3680">
        <f>ROUND(M16*N16*O16*P16/10000,0)</f>
        <v>0</v>
      </c>
      <c r="S16" s="2065"/>
      <c r="T16" s="2065"/>
      <c r="U16" s="2065"/>
      <c r="V16" s="2072"/>
    </row>
    <row r="17" spans="1:22" s="2076" customFormat="1" ht="13.15" customHeight="1" thickBot="1">
      <c r="A17" s="2121">
        <v>4</v>
      </c>
      <c r="B17" s="4540" t="s">
        <v>2277</v>
      </c>
      <c r="C17" s="4541"/>
      <c r="D17" s="3456">
        <f>ROUND(D6*E17,0)</f>
        <v>0</v>
      </c>
      <c r="E17" s="3457"/>
      <c r="F17" s="3580" t="s">
        <v>3727</v>
      </c>
      <c r="G17" s="2093"/>
      <c r="H17" s="2071"/>
      <c r="I17" s="2072"/>
      <c r="J17" s="4531"/>
      <c r="K17" s="4533"/>
      <c r="L17" s="2102" t="s">
        <v>2278</v>
      </c>
      <c r="M17" s="3682"/>
      <c r="N17" s="3682"/>
      <c r="O17" s="2114"/>
      <c r="P17" s="3681">
        <v>365</v>
      </c>
      <c r="Q17" s="3681"/>
      <c r="R17" s="3680">
        <f>ROUND(M17*N17*O17*P17/10000,0)</f>
        <v>0</v>
      </c>
      <c r="S17" s="2065"/>
      <c r="T17" s="2065"/>
      <c r="U17" s="2065"/>
      <c r="V17" s="2072"/>
    </row>
    <row r="18" spans="1:22" s="2076" customFormat="1" ht="13.15" customHeight="1" thickBot="1">
      <c r="A18" s="2096" t="s">
        <v>2279</v>
      </c>
      <c r="B18" s="2097"/>
      <c r="C18" s="2097"/>
      <c r="D18" s="3458">
        <f>ROUND(D6*E18,0)</f>
        <v>0</v>
      </c>
      <c r="E18" s="3459"/>
      <c r="F18" s="2122" t="s">
        <v>2280</v>
      </c>
      <c r="G18" s="2093"/>
      <c r="H18" s="2071"/>
      <c r="I18" s="2072"/>
      <c r="J18" s="4531"/>
      <c r="K18" s="4533"/>
      <c r="L18" s="2102" t="s">
        <v>2281</v>
      </c>
      <c r="M18" s="3682"/>
      <c r="N18" s="3682"/>
      <c r="O18" s="2114"/>
      <c r="P18" s="3681">
        <v>365</v>
      </c>
      <c r="Q18" s="3681"/>
      <c r="R18" s="3680">
        <f>ROUND(M18*N18*O18*P18/10000,0)</f>
        <v>0</v>
      </c>
      <c r="S18" s="2065"/>
      <c r="T18" s="2065"/>
      <c r="U18" s="2065"/>
      <c r="V18" s="2072"/>
    </row>
    <row r="19" spans="1:22" s="2076" customFormat="1" ht="13.15" customHeight="1" thickBot="1">
      <c r="A19" s="2123" t="s">
        <v>2282</v>
      </c>
      <c r="B19" s="2091"/>
      <c r="C19" s="2091"/>
      <c r="D19" s="2091"/>
      <c r="E19" s="2091"/>
      <c r="F19" s="2092"/>
      <c r="G19" s="2109"/>
      <c r="H19" s="2071"/>
      <c r="I19" s="2072"/>
      <c r="J19" s="4531"/>
      <c r="K19" s="4534"/>
      <c r="L19" s="2116" t="s">
        <v>2265</v>
      </c>
      <c r="M19" s="2117"/>
      <c r="N19" s="2117">
        <f>SUM(N16:N18)</f>
        <v>0</v>
      </c>
      <c r="O19" s="2118"/>
      <c r="P19" s="2124" t="s">
        <v>2326</v>
      </c>
      <c r="Q19" s="2104">
        <v>0</v>
      </c>
      <c r="R19" s="3478">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31">
        <v>3</v>
      </c>
      <c r="K20" s="4532" t="s">
        <v>2283</v>
      </c>
      <c r="L20" s="2102" t="s">
        <v>2284</v>
      </c>
      <c r="M20" s="2103" t="s">
        <v>2285</v>
      </c>
      <c r="N20" s="2126" t="s">
        <v>2286</v>
      </c>
      <c r="O20" s="2104" t="s">
        <v>2287</v>
      </c>
      <c r="P20" s="2105" t="s">
        <v>2288</v>
      </c>
      <c r="Q20" s="2082" t="s">
        <v>2289</v>
      </c>
      <c r="R20" s="2120" t="s">
        <v>2290</v>
      </c>
      <c r="S20" s="2065"/>
      <c r="T20" s="2065"/>
      <c r="U20" s="2065"/>
      <c r="V20" s="2072"/>
    </row>
    <row r="21" spans="1:22" s="2076" customFormat="1" ht="13.15" customHeight="1">
      <c r="A21" s="2096"/>
      <c r="B21" s="2097"/>
      <c r="C21" s="2127" t="s">
        <v>2291</v>
      </c>
      <c r="D21" s="2128" t="s">
        <v>2292</v>
      </c>
      <c r="E21" s="2129" t="s">
        <v>2293</v>
      </c>
      <c r="F21" s="2125"/>
      <c r="G21" s="2109"/>
      <c r="H21" s="2071"/>
      <c r="I21" s="2072"/>
      <c r="J21" s="4531"/>
      <c r="K21" s="4533"/>
      <c r="L21" s="2102" t="s">
        <v>2294</v>
      </c>
      <c r="M21" s="3682"/>
      <c r="N21" s="3682"/>
      <c r="O21" s="2114"/>
      <c r="P21" s="3681">
        <v>365</v>
      </c>
      <c r="Q21" s="3681"/>
      <c r="R21" s="3683">
        <f>ROUND(M21*N21*O21*P21/10000,0)</f>
        <v>0</v>
      </c>
      <c r="S21" s="2065"/>
      <c r="T21" s="2065"/>
      <c r="U21" s="2065"/>
      <c r="V21" s="2072"/>
    </row>
    <row r="22" spans="1:22" s="2076" customFormat="1" ht="13.15" customHeight="1">
      <c r="A22" s="2096"/>
      <c r="B22" s="2097"/>
      <c r="C22" s="2130" t="s">
        <v>2295</v>
      </c>
      <c r="D22" s="2131" t="s">
        <v>2296</v>
      </c>
      <c r="E22" s="2132" t="s">
        <v>2297</v>
      </c>
      <c r="F22" s="2125"/>
      <c r="G22" s="2065"/>
      <c r="H22" s="2071"/>
      <c r="I22" s="2072"/>
      <c r="J22" s="4531"/>
      <c r="K22" s="4533"/>
      <c r="L22" s="2102" t="s">
        <v>2298</v>
      </c>
      <c r="M22" s="3682"/>
      <c r="N22" s="3682"/>
      <c r="O22" s="2114"/>
      <c r="P22" s="3681">
        <v>365</v>
      </c>
      <c r="Q22" s="3681"/>
      <c r="R22" s="3683">
        <f>ROUND(M22*N22*O22*P22/10000,0)</f>
        <v>0</v>
      </c>
      <c r="S22" s="2065"/>
      <c r="T22" s="2065"/>
      <c r="U22" s="2065"/>
      <c r="V22" s="2072"/>
    </row>
    <row r="23" spans="1:22" s="2076" customFormat="1" ht="13.15" customHeight="1">
      <c r="A23" s="2133">
        <v>1</v>
      </c>
      <c r="B23" s="2134" t="s">
        <v>2299</v>
      </c>
      <c r="C23" s="2139">
        <f>D6</f>
        <v>0</v>
      </c>
      <c r="D23" s="3474">
        <f>C23*(1+D24)</f>
        <v>0</v>
      </c>
      <c r="E23" s="3475">
        <f>D23*(1+E24)</f>
        <v>0</v>
      </c>
      <c r="F23" s="2135"/>
      <c r="G23" s="2136"/>
      <c r="H23" s="2071"/>
      <c r="I23" s="2072"/>
      <c r="J23" s="4531"/>
      <c r="K23" s="4533"/>
      <c r="L23" s="2102" t="s">
        <v>2300</v>
      </c>
      <c r="M23" s="3682"/>
      <c r="N23" s="3682"/>
      <c r="O23" s="2114"/>
      <c r="P23" s="3681">
        <v>365</v>
      </c>
      <c r="Q23" s="3681"/>
      <c r="R23" s="3683">
        <f>ROUND(M23*N23*O23*P23/10000,0)</f>
        <v>0</v>
      </c>
      <c r="S23" s="2065"/>
      <c r="T23" s="2065"/>
      <c r="U23" s="2065"/>
      <c r="V23" s="2072"/>
    </row>
    <row r="24" spans="1:22" s="2076" customFormat="1" ht="13.15" customHeight="1">
      <c r="A24" s="2137"/>
      <c r="B24" s="2138" t="s">
        <v>2301</v>
      </c>
      <c r="C24" s="2139"/>
      <c r="D24" s="2140"/>
      <c r="E24" s="2141"/>
      <c r="F24" s="2142"/>
      <c r="G24" s="2136"/>
      <c r="H24" s="2071"/>
      <c r="I24" s="2072"/>
      <c r="J24" s="4531"/>
      <c r="K24" s="4534"/>
      <c r="L24" s="2116" t="s">
        <v>2265</v>
      </c>
      <c r="M24" s="2117">
        <f>SUM(M21:M23)</f>
        <v>0</v>
      </c>
      <c r="N24" s="2117"/>
      <c r="O24" s="2118"/>
      <c r="P24" s="2124" t="s">
        <v>2326</v>
      </c>
      <c r="Q24" s="2104">
        <v>0</v>
      </c>
      <c r="R24" s="3684">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2302</v>
      </c>
      <c r="L25" s="2145"/>
      <c r="M25" s="2145"/>
      <c r="N25" s="2145"/>
      <c r="O25" s="2145"/>
      <c r="P25" s="2146"/>
      <c r="Q25" s="2147">
        <v>0</v>
      </c>
      <c r="R25" s="3684">
        <f>ROUND(R14*Q25,0)</f>
        <v>0</v>
      </c>
      <c r="S25" s="2065"/>
      <c r="T25" s="2065"/>
      <c r="U25" s="2065"/>
      <c r="V25" s="2148"/>
    </row>
    <row r="26" spans="1:22" s="2149" customFormat="1" ht="13.15" customHeight="1">
      <c r="A26" s="2133">
        <v>2</v>
      </c>
      <c r="B26" s="2134" t="s">
        <v>2303</v>
      </c>
      <c r="C26" s="2139">
        <f>D7</f>
        <v>0</v>
      </c>
      <c r="D26" s="3460">
        <f>D23*D27</f>
        <v>0</v>
      </c>
      <c r="E26" s="3461">
        <f>E23*E27</f>
        <v>0</v>
      </c>
      <c r="F26" s="2135"/>
      <c r="G26" s="2136"/>
      <c r="H26" s="2071"/>
      <c r="I26" s="2072"/>
      <c r="J26" s="4542">
        <v>5</v>
      </c>
      <c r="K26" s="2150" t="s">
        <v>2304</v>
      </c>
      <c r="L26" s="2151"/>
      <c r="M26" s="2152"/>
      <c r="N26" s="2153" t="s">
        <v>2305</v>
      </c>
      <c r="O26" s="2153" t="s">
        <v>2306</v>
      </c>
      <c r="P26" s="2154" t="s">
        <v>2307</v>
      </c>
      <c r="Q26" s="2154" t="s">
        <v>2308</v>
      </c>
      <c r="R26" s="2080" t="s">
        <v>2238</v>
      </c>
      <c r="S26" s="2109"/>
      <c r="T26" s="2109"/>
      <c r="U26" s="2109"/>
      <c r="V26" s="2148"/>
    </row>
    <row r="27" spans="1:22" s="2076" customFormat="1" ht="13.15" customHeight="1">
      <c r="A27" s="2137"/>
      <c r="B27" s="2138" t="s">
        <v>2309</v>
      </c>
      <c r="C27" s="2155" t="e">
        <f>E7</f>
        <v>#DIV/0!</v>
      </c>
      <c r="D27" s="2140"/>
      <c r="E27" s="2141"/>
      <c r="F27" s="2142"/>
      <c r="G27" s="2136"/>
      <c r="H27" s="2156"/>
      <c r="I27" s="2148"/>
      <c r="J27" s="4543"/>
      <c r="K27" s="2157"/>
      <c r="L27" s="2158"/>
      <c r="M27" s="2159"/>
      <c r="N27" s="3479"/>
      <c r="O27" s="3479"/>
      <c r="P27" s="3479"/>
      <c r="Q27" s="3479"/>
      <c r="R27" s="3684">
        <f>ROUND(O27*N27*P27*(1-Q27)/10000,0)</f>
        <v>0</v>
      </c>
      <c r="S27" s="2065"/>
      <c r="T27" s="2065"/>
      <c r="U27" s="2065"/>
      <c r="V27" s="2072"/>
    </row>
    <row r="28" spans="1:22" s="2149" customFormat="1" ht="13.15" customHeight="1" thickBot="1">
      <c r="A28" s="2137"/>
      <c r="B28" s="2138"/>
      <c r="C28" s="2155"/>
      <c r="D28" s="2140"/>
      <c r="E28" s="2141" t="s">
        <v>2310</v>
      </c>
      <c r="F28" s="2142"/>
      <c r="G28" s="2065"/>
      <c r="H28" s="2156"/>
      <c r="I28" s="2148"/>
      <c r="J28" s="2160">
        <v>6</v>
      </c>
      <c r="K28" s="2161" t="s">
        <v>2311</v>
      </c>
      <c r="L28" s="2162" t="s">
        <v>2312</v>
      </c>
      <c r="M28" s="3481"/>
      <c r="N28" s="2162" t="s">
        <v>2313</v>
      </c>
      <c r="O28" s="2164"/>
      <c r="P28" s="2162" t="s">
        <v>2314</v>
      </c>
      <c r="Q28" s="2165">
        <v>1.4999999999999999E-2</v>
      </c>
      <c r="R28" s="3480"/>
      <c r="S28" s="2065"/>
      <c r="T28" s="2065"/>
      <c r="U28" s="2065"/>
      <c r="V28" s="2148"/>
    </row>
    <row r="29" spans="1:22" s="2149" customFormat="1" ht="13.15" customHeight="1">
      <c r="A29" s="2133">
        <v>3</v>
      </c>
      <c r="B29" s="2134" t="s">
        <v>2315</v>
      </c>
      <c r="C29" s="2139">
        <f>C23*C30</f>
        <v>0</v>
      </c>
      <c r="D29" s="3460">
        <f>D23*C30</f>
        <v>0</v>
      </c>
      <c r="E29" s="3461">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2309</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2316</v>
      </c>
      <c r="K31" s="2063"/>
      <c r="L31" s="2063"/>
      <c r="M31" s="2063"/>
      <c r="N31" s="2063"/>
      <c r="O31" s="2063"/>
      <c r="P31" s="2063"/>
      <c r="Q31" s="2063"/>
      <c r="R31" s="2064"/>
      <c r="S31" s="2065"/>
      <c r="T31" s="2065"/>
      <c r="U31" s="2065"/>
      <c r="V31" s="2148"/>
    </row>
    <row r="32" spans="1:22" s="2149" customFormat="1" ht="13.15" customHeight="1">
      <c r="A32" s="2133">
        <v>4</v>
      </c>
      <c r="B32" s="2134" t="s">
        <v>2317</v>
      </c>
      <c r="C32" s="2139">
        <f>C23-C26-C29</f>
        <v>0</v>
      </c>
      <c r="D32" s="3460">
        <f>D23-D26-D29</f>
        <v>0</v>
      </c>
      <c r="E32" s="3461">
        <f>E23-E26-E29</f>
        <v>0</v>
      </c>
      <c r="F32" s="2135"/>
      <c r="G32" s="2065"/>
      <c r="H32" s="2071"/>
      <c r="I32" s="2072"/>
      <c r="J32" s="4524" t="s">
        <v>2215</v>
      </c>
      <c r="K32" s="4525"/>
      <c r="L32" s="2073" t="s">
        <v>2216</v>
      </c>
      <c r="M32" s="2073" t="s">
        <v>2217</v>
      </c>
      <c r="N32" s="2073" t="s">
        <v>2218</v>
      </c>
      <c r="O32" s="2073" t="s">
        <v>2219</v>
      </c>
      <c r="P32" s="2073" t="s">
        <v>2220</v>
      </c>
      <c r="Q32" s="2074" t="s">
        <v>2221</v>
      </c>
      <c r="R32" s="2168" t="s">
        <v>2222</v>
      </c>
      <c r="S32" s="2065"/>
      <c r="T32" s="2065"/>
      <c r="U32" s="2065"/>
      <c r="V32" s="2148"/>
    </row>
    <row r="33" spans="1:23" s="2076" customFormat="1" ht="13.15" customHeight="1">
      <c r="A33" s="2133"/>
      <c r="B33" s="2134"/>
      <c r="C33" s="2139"/>
      <c r="D33" s="3462"/>
      <c r="E33" s="3463"/>
      <c r="F33" s="2135"/>
      <c r="G33" s="2065"/>
      <c r="H33" s="2156"/>
      <c r="I33" s="2148"/>
      <c r="J33" s="4526" t="s">
        <v>2225</v>
      </c>
      <c r="K33" s="4527"/>
      <c r="L33" s="3482"/>
      <c r="M33" s="3482"/>
      <c r="N33" s="3482"/>
      <c r="O33" s="3482"/>
      <c r="P33" s="3482"/>
      <c r="Q33" s="3483"/>
      <c r="R33" s="3484">
        <f>SUM(L33:Q33)</f>
        <v>0</v>
      </c>
      <c r="S33" s="2065"/>
      <c r="T33" s="2065"/>
      <c r="U33" s="2065"/>
      <c r="V33" s="2072"/>
    </row>
    <row r="34" spans="1:23" s="2076" customFormat="1" ht="13.15" customHeight="1">
      <c r="A34" s="2133">
        <v>5</v>
      </c>
      <c r="B34" s="2134" t="s">
        <v>2318</v>
      </c>
      <c r="C34" s="3464"/>
      <c r="D34" s="3465"/>
      <c r="E34" s="3466"/>
      <c r="F34" s="2135"/>
      <c r="G34" s="2065"/>
      <c r="H34" s="2156"/>
      <c r="I34" s="2148"/>
      <c r="J34" s="4526" t="s">
        <v>2227</v>
      </c>
      <c r="K34" s="4527"/>
      <c r="L34" s="3485"/>
      <c r="M34" s="3485"/>
      <c r="N34" s="3485"/>
      <c r="O34" s="3485"/>
      <c r="P34" s="3485"/>
      <c r="Q34" s="3486"/>
      <c r="R34" s="3487">
        <f>SUM(L34:Q34)</f>
        <v>0</v>
      </c>
      <c r="S34" s="2065"/>
      <c r="T34" s="2065"/>
      <c r="U34" s="2065" t="e">
        <f>ROUND(R35*10000/365/R33,1)</f>
        <v>#DIV/0!</v>
      </c>
      <c r="V34" s="2072"/>
    </row>
    <row r="35" spans="1:23" s="2076" customFormat="1" ht="13.15" customHeight="1">
      <c r="A35" s="2133">
        <v>6</v>
      </c>
      <c r="B35" s="2134" t="s">
        <v>2319</v>
      </c>
      <c r="C35" s="2167"/>
      <c r="D35" s="2140"/>
      <c r="E35" s="2141"/>
      <c r="F35" s="2135"/>
      <c r="G35" s="2169"/>
      <c r="H35" s="2071"/>
      <c r="I35" s="2148"/>
      <c r="J35" s="2088" t="s">
        <v>2229</v>
      </c>
      <c r="K35" s="2089"/>
      <c r="L35" s="2089"/>
      <c r="M35" s="2090"/>
      <c r="N35" s="2090"/>
      <c r="O35" s="2090"/>
      <c r="P35" s="2090"/>
      <c r="Q35" s="2090"/>
      <c r="R35" s="2170">
        <f>R40+R41+R43</f>
        <v>0</v>
      </c>
      <c r="S35" s="2065"/>
      <c r="T35" s="2065" t="s">
        <v>2230</v>
      </c>
      <c r="U35" s="2065"/>
      <c r="V35" s="2072"/>
    </row>
    <row r="36" spans="1:23" s="2076" customFormat="1" ht="13.15" customHeight="1" thickBot="1">
      <c r="A36" s="2133">
        <v>7</v>
      </c>
      <c r="B36" s="2171" t="s">
        <v>2320</v>
      </c>
      <c r="C36" s="3467"/>
      <c r="D36" s="3468"/>
      <c r="E36" s="3469"/>
      <c r="F36" s="2172">
        <f>C36+D36+E36</f>
        <v>0</v>
      </c>
      <c r="G36" s="2065"/>
      <c r="H36" s="2071"/>
      <c r="I36" s="2072"/>
      <c r="J36" s="4531">
        <v>1</v>
      </c>
      <c r="K36" s="4532" t="s">
        <v>2321</v>
      </c>
      <c r="L36" s="2094"/>
      <c r="M36" s="2095"/>
      <c r="N36" s="2095"/>
      <c r="O36" s="2095"/>
      <c r="P36" s="2095"/>
      <c r="Q36" s="2095"/>
      <c r="R36" s="2080" t="s">
        <v>2238</v>
      </c>
      <c r="S36" s="2065"/>
      <c r="T36" s="2065" t="s">
        <v>2239</v>
      </c>
      <c r="U36" s="2065"/>
      <c r="V36" s="2072"/>
    </row>
    <row r="37" spans="1:23" s="2076" customFormat="1" ht="13.15" customHeight="1">
      <c r="A37" s="2133"/>
      <c r="B37" s="2134"/>
      <c r="C37" s="2138"/>
      <c r="D37" s="2138"/>
      <c r="E37" s="2138"/>
      <c r="F37" s="2135"/>
      <c r="G37" s="2065"/>
      <c r="H37" s="2071"/>
      <c r="I37" s="2072"/>
      <c r="J37" s="4531"/>
      <c r="K37" s="4533"/>
      <c r="L37" s="3488"/>
      <c r="M37" s="3476"/>
      <c r="N37" s="2114"/>
      <c r="O37" s="2114"/>
      <c r="P37" s="2114"/>
      <c r="Q37" s="2114"/>
      <c r="R37" s="3477"/>
      <c r="S37" s="2065"/>
      <c r="T37" s="2065" t="s">
        <v>2242</v>
      </c>
      <c r="U37" s="2065"/>
      <c r="V37" s="2072"/>
    </row>
    <row r="38" spans="1:23" s="2076" customFormat="1" ht="13.15" customHeight="1">
      <c r="A38" s="2133">
        <v>8</v>
      </c>
      <c r="B38" s="2134"/>
      <c r="C38" s="3447" t="e">
        <f>ROUND(C32*(1-((1+C35)/(1+C34))^C36)/(C34-C35),0)</f>
        <v>#DIV/0!</v>
      </c>
      <c r="D38" s="3447">
        <f>IF(D23=0,0,ROUND(D32*(1-((1+D35)/(1+D34))^D36)/(D34-D35),0))</f>
        <v>0</v>
      </c>
      <c r="E38" s="3447">
        <f>IF(E23=0,0,ROUND(E32*(1-((1+E35)/(1+E34))^E36)/(E34-E35),0))</f>
        <v>0</v>
      </c>
      <c r="F38" s="2135"/>
      <c r="G38" s="2065"/>
      <c r="H38" s="2071"/>
      <c r="I38" s="2072"/>
      <c r="J38" s="4531"/>
      <c r="K38" s="4533"/>
      <c r="L38" s="3488"/>
      <c r="M38" s="3476"/>
      <c r="N38" s="2114"/>
      <c r="O38" s="2114"/>
      <c r="P38" s="2114"/>
      <c r="Q38" s="2114"/>
      <c r="R38" s="3477"/>
      <c r="S38" s="2065"/>
      <c r="T38" s="2065" t="s">
        <v>2248</v>
      </c>
      <c r="U38" s="2065"/>
      <c r="V38" s="2072"/>
    </row>
    <row r="39" spans="1:23" s="2076" customFormat="1" ht="13.15" customHeight="1">
      <c r="A39" s="2133">
        <v>9</v>
      </c>
      <c r="B39" s="2134" t="s">
        <v>2322</v>
      </c>
      <c r="C39" s="3450" t="e">
        <f>C38</f>
        <v>#DIV/0!</v>
      </c>
      <c r="D39" s="3450">
        <f>IF(D23=0,0,D38/(1+D34)^C36)</f>
        <v>0</v>
      </c>
      <c r="E39" s="3450">
        <f>IF(E23=0,0,E38/(1+E34)^(C36+D36))</f>
        <v>0</v>
      </c>
      <c r="F39" s="2135"/>
      <c r="G39" s="2072"/>
      <c r="H39" s="2071"/>
      <c r="I39" s="2072"/>
      <c r="J39" s="4531"/>
      <c r="K39" s="4533"/>
      <c r="L39" s="3488"/>
      <c r="M39" s="3476"/>
      <c r="N39" s="2114"/>
      <c r="O39" s="2114"/>
      <c r="P39" s="2114"/>
      <c r="Q39" s="2114"/>
      <c r="R39" s="3477"/>
      <c r="S39" s="2065"/>
      <c r="T39" s="2065"/>
      <c r="U39" s="2065"/>
      <c r="V39" s="2072"/>
    </row>
    <row r="40" spans="1:23" s="2076" customFormat="1" ht="13.15" customHeight="1">
      <c r="A40" s="2173">
        <v>10</v>
      </c>
      <c r="B40" s="2134" t="s">
        <v>2323</v>
      </c>
      <c r="C40" s="3470" t="e">
        <f>C39+D39+E39</f>
        <v>#DIV/0!</v>
      </c>
      <c r="D40" s="3471"/>
      <c r="E40" s="3471"/>
      <c r="F40" s="2174"/>
      <c r="G40" s="2065"/>
      <c r="H40" s="2071"/>
      <c r="I40" s="2072"/>
      <c r="J40" s="4531"/>
      <c r="K40" s="4534"/>
      <c r="L40" s="2116" t="s">
        <v>2265</v>
      </c>
      <c r="M40" s="2117"/>
      <c r="N40" s="2117"/>
      <c r="O40" s="2118"/>
      <c r="P40" s="2118"/>
      <c r="Q40" s="3489"/>
      <c r="R40" s="3685">
        <f>SUM(R37:R39)</f>
        <v>0</v>
      </c>
      <c r="S40" s="2065"/>
      <c r="T40" s="2065"/>
      <c r="U40" s="2065"/>
      <c r="V40" s="2072"/>
    </row>
    <row r="41" spans="1:23" s="2076" customFormat="1" ht="13.15" customHeight="1" thickBot="1">
      <c r="A41" s="2175">
        <v>11</v>
      </c>
      <c r="B41" s="2176" t="s">
        <v>2324</v>
      </c>
      <c r="C41" s="3472" t="e">
        <f>ROUND(C40*10000/B4,0)</f>
        <v>#DIV/0!</v>
      </c>
      <c r="D41" s="3473"/>
      <c r="E41" s="3473"/>
      <c r="F41" s="2177"/>
      <c r="G41" s="2071"/>
      <c r="H41" s="2071"/>
      <c r="I41" s="2072"/>
      <c r="J41" s="2143">
        <v>2</v>
      </c>
      <c r="K41" s="2144" t="s">
        <v>2302</v>
      </c>
      <c r="L41" s="2145"/>
      <c r="M41" s="2145"/>
      <c r="N41" s="2145"/>
      <c r="O41" s="2145"/>
      <c r="P41" s="2146"/>
      <c r="Q41" s="3476"/>
      <c r="R41" s="3684">
        <f>ROUND(R40*Q41,0)</f>
        <v>0</v>
      </c>
      <c r="S41" s="2065"/>
      <c r="T41" s="2065"/>
      <c r="U41" s="2109"/>
      <c r="V41" s="2072"/>
    </row>
    <row r="42" spans="1:23" s="2076" customFormat="1" ht="13.15" customHeight="1">
      <c r="G42" s="2071"/>
      <c r="H42" s="2071"/>
      <c r="I42" s="2072"/>
      <c r="J42" s="4542">
        <v>3</v>
      </c>
      <c r="K42" s="2150" t="s">
        <v>2304</v>
      </c>
      <c r="L42" s="2151"/>
      <c r="M42" s="2152"/>
      <c r="N42" s="2153" t="s">
        <v>2305</v>
      </c>
      <c r="O42" s="2153" t="s">
        <v>2306</v>
      </c>
      <c r="P42" s="2154" t="s">
        <v>2307</v>
      </c>
      <c r="Q42" s="2154" t="s">
        <v>2308</v>
      </c>
      <c r="R42" s="2080" t="s">
        <v>2238</v>
      </c>
      <c r="S42" s="2109"/>
      <c r="T42" s="2109"/>
      <c r="U42" s="2065"/>
      <c r="V42" s="2072"/>
    </row>
    <row r="43" spans="1:23" ht="13.15" customHeight="1">
      <c r="A43" s="2076"/>
      <c r="B43" s="2076"/>
      <c r="C43" s="2076"/>
      <c r="D43" s="2076"/>
      <c r="E43" s="2076"/>
      <c r="F43" s="2076"/>
      <c r="G43" s="2071"/>
      <c r="H43" s="2071"/>
      <c r="I43" s="2060"/>
      <c r="J43" s="4543"/>
      <c r="K43" s="2157"/>
      <c r="L43" s="2158"/>
      <c r="M43" s="2159"/>
      <c r="N43" s="3476"/>
      <c r="O43" s="3476"/>
      <c r="P43" s="3476"/>
      <c r="Q43" s="3476"/>
      <c r="R43" s="3684">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2311</v>
      </c>
      <c r="L44" s="2180" t="s">
        <v>2312</v>
      </c>
      <c r="M44" s="3481"/>
      <c r="N44" s="2180" t="s">
        <v>2313</v>
      </c>
      <c r="O44" s="2163"/>
      <c r="P44" s="2180" t="s">
        <v>2314</v>
      </c>
      <c r="Q44" s="2165">
        <v>1.4999999999999999E-2</v>
      </c>
      <c r="R44" s="3480"/>
    </row>
    <row r="45" spans="1:23" ht="13.15" customHeight="1" thickBot="1">
      <c r="A45" s="2076"/>
      <c r="B45" s="2076"/>
      <c r="C45" s="2076"/>
      <c r="D45" s="2076"/>
      <c r="E45" s="2076"/>
      <c r="F45" s="2076"/>
      <c r="G45" s="2071"/>
      <c r="H45" s="2071"/>
    </row>
    <row r="46" spans="1:23" ht="15">
      <c r="A46" s="2076"/>
      <c r="B46" s="2076"/>
      <c r="C46" s="3589" t="s">
        <v>3728</v>
      </c>
      <c r="D46" s="3590" t="s">
        <v>3799</v>
      </c>
      <c r="E46" s="3962">
        <f>ROUND(D6*G46,0)</f>
        <v>0</v>
      </c>
      <c r="F46" s="3601" t="s">
        <v>3788</v>
      </c>
      <c r="G46" s="3963">
        <v>0.05</v>
      </c>
      <c r="H46" s="2076"/>
      <c r="I46" s="2179"/>
    </row>
    <row r="47" spans="1:23" ht="13.15" customHeight="1">
      <c r="A47" s="2076"/>
      <c r="B47" s="2076"/>
      <c r="C47" s="3591" t="s">
        <v>3729</v>
      </c>
      <c r="D47" s="3592" t="s">
        <v>3730</v>
      </c>
      <c r="E47" s="4070" t="s">
        <v>3967</v>
      </c>
      <c r="F47" s="3602" t="s">
        <v>3731</v>
      </c>
      <c r="G47" s="3603" t="s">
        <v>3732</v>
      </c>
      <c r="H47" s="2066"/>
      <c r="I47" s="2179"/>
    </row>
    <row r="48" spans="1:23" ht="13.15" customHeight="1">
      <c r="C48" s="3593">
        <v>1</v>
      </c>
      <c r="D48" s="3592" t="s">
        <v>3733</v>
      </c>
      <c r="E48" s="3613">
        <f>E49-E54</f>
        <v>0</v>
      </c>
      <c r="F48" s="3592"/>
      <c r="G48" s="3603"/>
      <c r="H48" s="2066"/>
      <c r="I48" s="2179"/>
    </row>
    <row r="49" spans="1:9" ht="13.15" customHeight="1">
      <c r="C49" s="3593">
        <v>2</v>
      </c>
      <c r="D49" s="3592" t="s">
        <v>3734</v>
      </c>
      <c r="E49" s="3613">
        <f>SUM(E50:E53)</f>
        <v>0</v>
      </c>
      <c r="F49" s="3592"/>
      <c r="G49" s="3957"/>
      <c r="H49" s="2066"/>
      <c r="I49" s="2179"/>
    </row>
    <row r="50" spans="1:9" ht="13.15" customHeight="1">
      <c r="C50" s="3594" t="s">
        <v>3750</v>
      </c>
      <c r="D50" s="3595" t="s">
        <v>3735</v>
      </c>
      <c r="E50" s="3614">
        <f>R14*G50/(1+G50)</f>
        <v>0</v>
      </c>
      <c r="F50" s="3604" t="s">
        <v>3751</v>
      </c>
      <c r="G50" s="3958">
        <v>0.06</v>
      </c>
      <c r="H50" s="2066"/>
      <c r="I50" s="2179"/>
    </row>
    <row r="51" spans="1:9" ht="13.15" customHeight="1">
      <c r="C51" s="3594" t="s">
        <v>3752</v>
      </c>
      <c r="D51" s="3595" t="s">
        <v>3736</v>
      </c>
      <c r="E51" s="3614">
        <f>R19*G51/(1+G51)</f>
        <v>0</v>
      </c>
      <c r="F51" s="3604" t="s">
        <v>3753</v>
      </c>
      <c r="G51" s="3958">
        <v>0.06</v>
      </c>
      <c r="H51" s="2066"/>
      <c r="I51" s="2179"/>
    </row>
    <row r="52" spans="1:9" ht="13.15" customHeight="1">
      <c r="C52" s="3594" t="s">
        <v>3754</v>
      </c>
      <c r="D52" s="3595" t="s">
        <v>3737</v>
      </c>
      <c r="E52" s="3614">
        <f>R24*G52/(1+R24)</f>
        <v>0</v>
      </c>
      <c r="F52" s="3604" t="s">
        <v>3738</v>
      </c>
      <c r="G52" s="3958">
        <v>0.09</v>
      </c>
      <c r="H52" s="2066"/>
      <c r="I52" s="2179"/>
    </row>
    <row r="53" spans="1:9" ht="13.15" customHeight="1">
      <c r="C53" s="3594" t="s">
        <v>3755</v>
      </c>
      <c r="D53" s="3595" t="s">
        <v>3739</v>
      </c>
      <c r="E53" s="3614">
        <f>R27*G53/(1+G53)</f>
        <v>0</v>
      </c>
      <c r="F53" s="3604" t="s">
        <v>3738</v>
      </c>
      <c r="G53" s="3958">
        <v>0.09</v>
      </c>
      <c r="H53" s="2066"/>
      <c r="I53" s="2179"/>
    </row>
    <row r="54" spans="1:9" ht="13.15" customHeight="1">
      <c r="A54" s="2066" t="s">
        <v>3783</v>
      </c>
      <c r="B54" s="2179"/>
      <c r="C54" s="3593">
        <v>3</v>
      </c>
      <c r="D54" s="3592" t="s">
        <v>3740</v>
      </c>
      <c r="E54" s="3613">
        <f>E55+E56+E60</f>
        <v>0</v>
      </c>
      <c r="F54" s="3592"/>
      <c r="G54" s="3957"/>
      <c r="H54" s="2066"/>
      <c r="I54" s="2179"/>
    </row>
    <row r="55" spans="1:9" ht="13.15" customHeight="1">
      <c r="A55" s="3585">
        <v>0.05</v>
      </c>
      <c r="B55" s="3586" t="s">
        <v>3787</v>
      </c>
      <c r="C55" s="3594" t="s">
        <v>3750</v>
      </c>
      <c r="D55" s="3595" t="s">
        <v>3741</v>
      </c>
      <c r="E55" s="3614">
        <f>D9*G55/(1+G55)</f>
        <v>0</v>
      </c>
      <c r="F55" s="3606" t="s">
        <v>3789</v>
      </c>
      <c r="G55" s="3958">
        <v>0.13</v>
      </c>
      <c r="H55" s="2066"/>
      <c r="I55" s="2179"/>
    </row>
    <row r="56" spans="1:9" ht="13.15" customHeight="1">
      <c r="A56" s="3585">
        <f>SUM(A57:A59)</f>
        <v>0.39</v>
      </c>
      <c r="B56" s="3586"/>
      <c r="C56" s="3594" t="s">
        <v>3752</v>
      </c>
      <c r="D56" s="3595" t="s">
        <v>3742</v>
      </c>
      <c r="E56" s="3614">
        <f>SUM(E57:E59)</f>
        <v>0</v>
      </c>
      <c r="F56" s="3604"/>
      <c r="G56" s="3607"/>
      <c r="H56" s="2066" t="s">
        <v>3796</v>
      </c>
      <c r="I56" s="2066" t="s">
        <v>3797</v>
      </c>
    </row>
    <row r="57" spans="1:9" ht="13.15" customHeight="1">
      <c r="A57" s="3585">
        <v>0.25</v>
      </c>
      <c r="B57" s="3586" t="s">
        <v>3784</v>
      </c>
      <c r="C57" s="3596" t="s">
        <v>3743</v>
      </c>
      <c r="D57" s="3597" t="s">
        <v>3744</v>
      </c>
      <c r="E57" s="3615">
        <v>0</v>
      </c>
      <c r="F57" s="3608"/>
      <c r="G57" s="3609" t="s">
        <v>3745</v>
      </c>
      <c r="H57" s="3581">
        <v>0.65</v>
      </c>
      <c r="I57" s="3587">
        <f>A57/SUM(A57:A59)</f>
        <v>0.64102564102564097</v>
      </c>
    </row>
    <row r="58" spans="1:9" ht="13.15" customHeight="1">
      <c r="A58" s="3585">
        <v>0.06</v>
      </c>
      <c r="B58" s="3586" t="s">
        <v>3785</v>
      </c>
      <c r="C58" s="3596" t="s">
        <v>3746</v>
      </c>
      <c r="D58" s="3598" t="s">
        <v>3791</v>
      </c>
      <c r="E58" s="3615">
        <f>D10*H58*G58/(1+G58)</f>
        <v>0</v>
      </c>
      <c r="F58" s="3608" t="s">
        <v>3756</v>
      </c>
      <c r="G58" s="3959">
        <v>0.09</v>
      </c>
      <c r="H58" s="3581">
        <v>0.15</v>
      </c>
      <c r="I58" s="3587">
        <f>A58/SUM(A57:A59)</f>
        <v>0.15384615384615383</v>
      </c>
    </row>
    <row r="59" spans="1:9" ht="13.15" customHeight="1">
      <c r="A59" s="3585">
        <v>0.08</v>
      </c>
      <c r="B59" s="3586" t="s">
        <v>3786</v>
      </c>
      <c r="C59" s="3596" t="s">
        <v>3747</v>
      </c>
      <c r="D59" s="3597" t="s">
        <v>3757</v>
      </c>
      <c r="E59" s="3615">
        <f>D10*H59*G59/(1+G59)</f>
        <v>0</v>
      </c>
      <c r="F59" s="3608" t="s">
        <v>3758</v>
      </c>
      <c r="G59" s="3959">
        <v>0.06</v>
      </c>
      <c r="H59" s="3581">
        <v>0.2</v>
      </c>
      <c r="I59" s="3587">
        <f>1-I57-I58</f>
        <v>0.2051282051282052</v>
      </c>
    </row>
    <row r="60" spans="1:9" ht="13.15" customHeight="1">
      <c r="A60" s="3585">
        <f>SUM(A61:A62)</f>
        <v>0.1</v>
      </c>
      <c r="B60" s="3586"/>
      <c r="C60" s="3594" t="s">
        <v>3754</v>
      </c>
      <c r="D60" s="3595" t="s">
        <v>3759</v>
      </c>
      <c r="E60" s="3614">
        <f>SUM(E61:E62)</f>
        <v>0</v>
      </c>
      <c r="F60" s="3604"/>
      <c r="G60" s="3960"/>
      <c r="I60" s="2179"/>
    </row>
    <row r="61" spans="1:9" ht="13.15" customHeight="1">
      <c r="A61" s="3585">
        <v>0.05</v>
      </c>
      <c r="B61" s="3586" t="s">
        <v>3787</v>
      </c>
      <c r="C61" s="3596" t="s">
        <v>3760</v>
      </c>
      <c r="D61" s="3597" t="s">
        <v>3761</v>
      </c>
      <c r="E61" s="3615">
        <f>D17*H61*G61/(1+G61)</f>
        <v>0</v>
      </c>
      <c r="F61" s="3608" t="s">
        <v>3758</v>
      </c>
      <c r="G61" s="3959">
        <v>0.06</v>
      </c>
      <c r="H61" s="3581">
        <v>0.5</v>
      </c>
      <c r="I61" s="2179"/>
    </row>
    <row r="62" spans="1:9" ht="13.15" customHeight="1" thickBot="1">
      <c r="A62" s="3585">
        <v>0.05</v>
      </c>
      <c r="B62" s="3586" t="s">
        <v>3788</v>
      </c>
      <c r="C62" s="3599" t="s">
        <v>3746</v>
      </c>
      <c r="D62" s="3600" t="s">
        <v>3762</v>
      </c>
      <c r="E62" s="3616">
        <f>D17*H62*G62/(1+G62)</f>
        <v>0</v>
      </c>
      <c r="F62" s="3611" t="s">
        <v>3763</v>
      </c>
      <c r="G62" s="3961">
        <v>0.09</v>
      </c>
      <c r="H62" s="3581">
        <v>0.5</v>
      </c>
      <c r="I62" s="2179"/>
    </row>
    <row r="63" spans="1:9" ht="13.15" customHeight="1">
      <c r="A63" s="3585">
        <f>A55+A56+A60</f>
        <v>0.54</v>
      </c>
      <c r="B63" s="3586"/>
      <c r="C63" s="2179"/>
      <c r="D63" s="3586"/>
      <c r="E63" s="3586"/>
      <c r="F63" s="2179"/>
      <c r="G63" s="2179"/>
      <c r="H63" s="2066"/>
      <c r="I63" s="2066"/>
    </row>
    <row r="64" spans="1:9" ht="13.15" customHeight="1" thickBot="1">
      <c r="C64" s="2179"/>
      <c r="D64" s="2179"/>
      <c r="E64" s="2179"/>
      <c r="F64" s="2179"/>
      <c r="G64" s="2179"/>
      <c r="H64" s="2066"/>
      <c r="I64" s="2179"/>
    </row>
    <row r="65" spans="1:9" ht="15">
      <c r="C65" s="3589" t="s">
        <v>3764</v>
      </c>
      <c r="D65" s="3590" t="s">
        <v>3799</v>
      </c>
      <c r="E65" s="3962">
        <f>ROUND(D6*G65,0)</f>
        <v>0</v>
      </c>
      <c r="F65" s="3601" t="s">
        <v>3800</v>
      </c>
      <c r="G65" s="3963">
        <v>0.03</v>
      </c>
      <c r="H65" s="2066"/>
      <c r="I65" s="2179"/>
    </row>
    <row r="66" spans="1:9" ht="12.75">
      <c r="C66" s="3591" t="s">
        <v>3765</v>
      </c>
      <c r="D66" s="3592" t="s">
        <v>3766</v>
      </c>
      <c r="E66" s="4070" t="s">
        <v>3967</v>
      </c>
      <c r="F66" s="3602" t="s">
        <v>3767</v>
      </c>
      <c r="G66" s="3603" t="s">
        <v>3768</v>
      </c>
      <c r="H66" s="2066"/>
      <c r="I66" s="2179"/>
    </row>
    <row r="67" spans="1:9" ht="12">
      <c r="C67" s="3593">
        <v>1</v>
      </c>
      <c r="D67" s="3592" t="s">
        <v>3769</v>
      </c>
      <c r="E67" s="3617">
        <f>E68-E73</f>
        <v>0</v>
      </c>
      <c r="F67" s="3592"/>
      <c r="G67" s="3603"/>
      <c r="H67" s="2066"/>
      <c r="I67" s="2179"/>
    </row>
    <row r="68" spans="1:9" ht="13.15" customHeight="1">
      <c r="C68" s="3618">
        <v>2</v>
      </c>
      <c r="D68" s="3592" t="s">
        <v>3770</v>
      </c>
      <c r="E68" s="3617">
        <f>SUM(E69:E70)</f>
        <v>0</v>
      </c>
      <c r="F68" s="3592"/>
      <c r="G68" s="3603"/>
      <c r="H68" s="2066"/>
      <c r="I68" s="2179"/>
    </row>
    <row r="69" spans="1:9" ht="13.15" customHeight="1">
      <c r="C69" s="3594" t="s">
        <v>3771</v>
      </c>
      <c r="D69" s="3595" t="s">
        <v>3772</v>
      </c>
      <c r="E69" s="3595"/>
      <c r="F69" s="3604" t="s">
        <v>3773</v>
      </c>
      <c r="G69" s="3605">
        <v>0.09</v>
      </c>
      <c r="H69" s="2066"/>
      <c r="I69" s="2179"/>
    </row>
    <row r="70" spans="1:9" ht="13.15" customHeight="1">
      <c r="C70" s="3594" t="s">
        <v>3752</v>
      </c>
      <c r="D70" s="3595" t="s">
        <v>3774</v>
      </c>
      <c r="E70" s="3595"/>
      <c r="F70" s="3604" t="s">
        <v>3775</v>
      </c>
      <c r="G70" s="3605">
        <v>0.06</v>
      </c>
      <c r="H70" s="2066"/>
      <c r="I70" s="2179"/>
    </row>
    <row r="71" spans="1:9" ht="13.15" customHeight="1">
      <c r="A71" s="2066" t="s">
        <v>3790</v>
      </c>
      <c r="C71" s="3618">
        <v>3</v>
      </c>
      <c r="D71" s="3592" t="s">
        <v>3776</v>
      </c>
      <c r="E71" s="3617">
        <f>E72+E77</f>
        <v>0</v>
      </c>
      <c r="F71" s="3592"/>
      <c r="G71" s="3603"/>
      <c r="H71" s="2066"/>
      <c r="I71" s="2179"/>
    </row>
    <row r="72" spans="1:9" ht="13.15" customHeight="1">
      <c r="A72" s="3585">
        <v>0.05</v>
      </c>
      <c r="B72" s="3588"/>
      <c r="C72" s="3594" t="s">
        <v>3771</v>
      </c>
      <c r="D72" s="3595" t="s">
        <v>3777</v>
      </c>
      <c r="E72" s="3595">
        <f>D9*G72/(1+G72)</f>
        <v>0</v>
      </c>
      <c r="F72" s="3606" t="s">
        <v>3789</v>
      </c>
      <c r="G72" s="3605">
        <v>0.13</v>
      </c>
      <c r="H72" s="2066"/>
      <c r="I72" s="2179"/>
    </row>
    <row r="73" spans="1:9" ht="13.15" customHeight="1">
      <c r="A73" s="3585">
        <f>SUM(A74:A76)</f>
        <v>0.2</v>
      </c>
      <c r="B73" s="3588"/>
      <c r="C73" s="3594" t="s">
        <v>3752</v>
      </c>
      <c r="D73" s="3595" t="s">
        <v>3778</v>
      </c>
      <c r="E73" s="3595">
        <f>SUM(E74:E76)</f>
        <v>0</v>
      </c>
      <c r="F73" s="3604"/>
      <c r="G73" s="3607"/>
      <c r="H73" s="2066" t="s">
        <v>3796</v>
      </c>
      <c r="I73" s="2066" t="s">
        <v>3797</v>
      </c>
    </row>
    <row r="74" spans="1:9" ht="13.15" customHeight="1">
      <c r="A74" s="3585">
        <v>0.05</v>
      </c>
      <c r="B74" s="3588" t="s">
        <v>3794</v>
      </c>
      <c r="C74" s="3619" t="s">
        <v>3779</v>
      </c>
      <c r="D74" s="3597" t="s">
        <v>3780</v>
      </c>
      <c r="E74" s="3597">
        <v>0</v>
      </c>
      <c r="F74" s="3608"/>
      <c r="G74" s="3609" t="s">
        <v>3781</v>
      </c>
      <c r="H74" s="3581">
        <v>0.25</v>
      </c>
      <c r="I74" s="3587">
        <f>A74/SUM(A74:A76)</f>
        <v>0.25</v>
      </c>
    </row>
    <row r="75" spans="1:9" ht="13.15" customHeight="1">
      <c r="A75" s="3585">
        <v>0.1</v>
      </c>
      <c r="B75" s="3588" t="s">
        <v>3792</v>
      </c>
      <c r="C75" s="3619" t="s">
        <v>3748</v>
      </c>
      <c r="D75" s="3598" t="s">
        <v>3791</v>
      </c>
      <c r="E75" s="3597">
        <f>D10*H75*G75/(1+G75)</f>
        <v>0</v>
      </c>
      <c r="F75" s="3608" t="s">
        <v>3782</v>
      </c>
      <c r="G75" s="3610">
        <v>0.09</v>
      </c>
      <c r="H75" s="3581">
        <v>0.5</v>
      </c>
      <c r="I75" s="3587">
        <f>A75/SUM(A74:A76)</f>
        <v>0.5</v>
      </c>
    </row>
    <row r="76" spans="1:9" ht="13.15" customHeight="1">
      <c r="A76" s="3585">
        <v>0.05</v>
      </c>
      <c r="B76" s="3588" t="s">
        <v>3795</v>
      </c>
      <c r="C76" s="3619" t="s">
        <v>3749</v>
      </c>
      <c r="D76" s="3597" t="s">
        <v>3757</v>
      </c>
      <c r="E76" s="3597">
        <f>D10*H76*G76/(1+G76)</f>
        <v>0</v>
      </c>
      <c r="F76" s="3608" t="s">
        <v>3758</v>
      </c>
      <c r="G76" s="3610">
        <v>0.06</v>
      </c>
      <c r="H76" s="3581">
        <v>0.25</v>
      </c>
      <c r="I76" s="3587">
        <f>1-I74-I75</f>
        <v>0.25</v>
      </c>
    </row>
    <row r="77" spans="1:9" ht="13.15" customHeight="1">
      <c r="A77" s="3585">
        <f>SUM(A78:A79)</f>
        <v>0.1</v>
      </c>
      <c r="B77" s="3588"/>
      <c r="C77" s="3594" t="s">
        <v>3754</v>
      </c>
      <c r="D77" s="3595" t="s">
        <v>3759</v>
      </c>
      <c r="E77" s="3595">
        <f>SUM(E78:E79)</f>
        <v>0</v>
      </c>
      <c r="F77" s="3604"/>
      <c r="G77" s="3607"/>
      <c r="I77" s="2179"/>
    </row>
    <row r="78" spans="1:9" ht="13.15" customHeight="1">
      <c r="A78" s="3585">
        <v>0.05</v>
      </c>
      <c r="B78" s="3588" t="s">
        <v>3785</v>
      </c>
      <c r="C78" s="3619" t="s">
        <v>3779</v>
      </c>
      <c r="D78" s="3597" t="s">
        <v>3761</v>
      </c>
      <c r="E78" s="3597">
        <f>D17*H78*G78/(1+G78)</f>
        <v>0</v>
      </c>
      <c r="F78" s="3608" t="s">
        <v>3758</v>
      </c>
      <c r="G78" s="3610">
        <v>0.06</v>
      </c>
      <c r="H78" s="3581">
        <v>0.5</v>
      </c>
      <c r="I78" s="2179"/>
    </row>
    <row r="79" spans="1:9" ht="13.15" customHeight="1" thickBot="1">
      <c r="A79" s="3585">
        <v>0.05</v>
      </c>
      <c r="B79" s="3588" t="s">
        <v>3793</v>
      </c>
      <c r="C79" s="3620" t="s">
        <v>3748</v>
      </c>
      <c r="D79" s="3600" t="s">
        <v>3762</v>
      </c>
      <c r="E79" s="3600">
        <f>D17*H79*G79/(1+G79)</f>
        <v>0</v>
      </c>
      <c r="F79" s="3611" t="s">
        <v>3763</v>
      </c>
      <c r="G79" s="3612">
        <v>0.09</v>
      </c>
      <c r="H79" s="3581">
        <v>0.5</v>
      </c>
      <c r="I79" s="2179"/>
    </row>
    <row r="80" spans="1:9" ht="13.15" customHeight="1">
      <c r="A80" s="3585">
        <f>A72+A73+A77</f>
        <v>0.35</v>
      </c>
      <c r="B80" s="3588"/>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65" sqref="G6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144.7466</v>
      </c>
      <c r="C2" s="1348" t="s">
        <v>1561</v>
      </c>
      <c r="D2" s="1349" t="s">
        <v>1562</v>
      </c>
      <c r="E2" s="2879">
        <f>SUM(E6:E13)</f>
        <v>109.4</v>
      </c>
      <c r="F2" s="1967"/>
      <c r="G2" s="1033"/>
      <c r="H2" s="1033"/>
      <c r="I2" s="1033"/>
      <c r="J2" s="1033"/>
      <c r="K2" s="1033"/>
      <c r="L2" s="1033"/>
      <c r="M2" s="1033"/>
      <c r="N2" s="1033"/>
      <c r="O2" s="1033"/>
      <c r="P2" s="1033"/>
      <c r="Q2" s="1033"/>
      <c r="R2" s="1033"/>
      <c r="S2" s="1033"/>
    </row>
    <row r="3" spans="1:22" ht="15.75">
      <c r="A3" s="1347" t="s">
        <v>672</v>
      </c>
      <c r="B3" s="2878">
        <f ca="1">ROUND(B2*10000/E2,0)</f>
        <v>13231</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44" t="s">
        <v>1564</v>
      </c>
      <c r="C5" s="4545"/>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2">
        <f ca="1">IF(F6="是",'数据-取费表'!AO6,0)</f>
        <v>144.7466</v>
      </c>
      <c r="C6" s="1348" t="s">
        <v>1561</v>
      </c>
      <c r="D6" s="1967"/>
      <c r="E6" s="2880">
        <f>IF(OR(A6=0,F6="否"),0,'数据-取费表'!K6+'数据-取费表'!S6)</f>
        <v>109.4</v>
      </c>
      <c r="F6" s="1351" t="s">
        <v>1567</v>
      </c>
      <c r="G6" s="1033"/>
      <c r="H6" s="1033"/>
      <c r="I6" s="1033"/>
      <c r="J6" s="1033"/>
      <c r="K6" s="1033"/>
      <c r="L6" s="1033"/>
      <c r="M6" s="1033"/>
      <c r="N6" s="1033"/>
      <c r="O6" s="1033"/>
      <c r="P6" s="1033"/>
      <c r="Q6" s="1033"/>
      <c r="R6" s="1033"/>
      <c r="S6" s="1033"/>
    </row>
    <row r="7" spans="1:22">
      <c r="A7" s="1883">
        <f>'数据-取费表'!AN7</f>
        <v>0</v>
      </c>
      <c r="B7" s="3632" t="e">
        <f ca="1">IF(F7="是",'数据-取费表'!AO7,0)</f>
        <v>#REF!</v>
      </c>
      <c r="C7" s="1348" t="s">
        <v>1561</v>
      </c>
      <c r="D7" s="1967"/>
      <c r="E7" s="2880">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2" t="e">
        <f ca="1">IF(F8="是",'数据-取费表'!AO8,0)</f>
        <v>#REF!</v>
      </c>
      <c r="C8" s="1348" t="s">
        <v>1561</v>
      </c>
      <c r="D8" s="1967"/>
      <c r="E8" s="2880">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2" t="e">
        <f ca="1">IF(F9="是",'数据-取费表'!AO9,0)</f>
        <v>#REF!</v>
      </c>
      <c r="C9" s="1348" t="s">
        <v>1561</v>
      </c>
      <c r="D9" s="1967"/>
      <c r="E9" s="2880">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2" t="e">
        <f ca="1">IF(F10="是",'数据-取费表'!AO10,0)</f>
        <v>#REF!</v>
      </c>
      <c r="C10" s="1348" t="s">
        <v>1561</v>
      </c>
      <c r="D10" s="1967"/>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2" t="e">
        <f ca="1">IF(F11="是",'数据-取费表'!AO11,0)</f>
        <v>#REF!</v>
      </c>
      <c r="C11" s="1348" t="s">
        <v>1561</v>
      </c>
      <c r="D11" s="1967"/>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2" t="e">
        <f ca="1">IF(F12="是",'数据-取费表'!AO12,0)</f>
        <v>#REF!</v>
      </c>
      <c r="C12" s="1348" t="s">
        <v>1561</v>
      </c>
      <c r="D12" s="1967"/>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2" t="e">
        <f ca="1">IF(F13="是",'数据-取费表'!AO13,0)</f>
        <v>#REF!</v>
      </c>
      <c r="C13" s="1352" t="s">
        <v>1561</v>
      </c>
      <c r="D13" s="1969"/>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9" t="s">
        <v>1994</v>
      </c>
      <c r="D1" s="4550"/>
      <c r="E1" s="4550"/>
      <c r="F1" s="4550"/>
      <c r="G1" s="4550"/>
      <c r="H1" s="4550"/>
      <c r="I1" s="4550"/>
      <c r="J1" s="4550"/>
      <c r="K1" s="4550"/>
      <c r="L1" s="4550"/>
      <c r="M1" s="4550"/>
      <c r="N1" s="4550"/>
      <c r="O1" s="4550"/>
      <c r="P1" s="4550"/>
      <c r="Q1" s="4550"/>
      <c r="R1" s="4550"/>
      <c r="S1" s="455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5"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5" t="e">
        <f ca="1">IF(D20="——",S22,S22-F20)</f>
        <v>#REF!</v>
      </c>
      <c r="C20" s="60"/>
      <c r="D20" s="1579"/>
      <c r="E20" s="898"/>
      <c r="F20" s="3184"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5"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6" t="s">
        <v>25</v>
      </c>
      <c r="D22" s="4547"/>
      <c r="E22" s="4547"/>
      <c r="F22" s="4547"/>
      <c r="G22" s="4547"/>
      <c r="H22" s="4547"/>
      <c r="I22" s="4547"/>
      <c r="J22" s="4547"/>
      <c r="K22" s="4547"/>
      <c r="L22" s="4547"/>
      <c r="M22" s="4547"/>
      <c r="N22" s="4547"/>
      <c r="O22" s="4547"/>
      <c r="P22" s="4547"/>
      <c r="Q22" s="4548"/>
      <c r="R22" s="2665" t="e">
        <f>ROUND(S22*10000/B22,0)</f>
        <v>#DIV/0!</v>
      </c>
      <c r="S22" s="2665">
        <f>SUM(S24:S10000)</f>
        <v>0</v>
      </c>
    </row>
    <row r="23" spans="1:45" s="7" customFormat="1" ht="24">
      <c r="A23" s="6" t="s">
        <v>2010</v>
      </c>
      <c r="B23" s="3179"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2015</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5">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5">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5">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5">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5">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5">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5">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5">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5">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5">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5">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5">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5">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5">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5">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5">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5">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5">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5">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5">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5">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5">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5">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5">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5">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5">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5">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5">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5">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5">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5">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5">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5">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5">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5">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5">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5">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5">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5">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5">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5">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5">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5">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5">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5">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5">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5">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5">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5">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5">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5">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5">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5">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5">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5">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5">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5">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5">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5">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5">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5">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5">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5">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5">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5">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5">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5">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5">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5">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5">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5">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5">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5">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5">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5">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5">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5">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5">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5">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5">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5">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5">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5">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5">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5">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5">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5">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5">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5">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5">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5">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5">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5">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5">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5">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5">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5">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5">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5">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5">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5">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5">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5">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5">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5">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5">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5">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5">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5">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5">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5">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5">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5">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5">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5">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5">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5">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5">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5">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5">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5">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5">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5">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5">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5">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5">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5">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5">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5">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5">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5">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5">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5">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5">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5">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5">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5">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5">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5">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5">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5">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5">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5">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5">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5">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5">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5">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5">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5">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5">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5">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5">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5">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5">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5">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5">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5">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5">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5">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5">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5">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5">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5">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5">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5">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5">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5">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5">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5">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5">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5">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5">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5">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5">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5">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5">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5">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5">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5">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5">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5">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5">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5">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5">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5">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5">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5">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5">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5">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5">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5">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5">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5">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5">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5">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5">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5">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5">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5">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5">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5">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5">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5">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5">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5">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5">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5">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5">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5">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5">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5">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5">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5">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5">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5">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5">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5">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5">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5">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5">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5">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5">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5">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5">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5">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5">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5">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5">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5">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5">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5">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5">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5">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5">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5">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5">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5">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5">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5">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5">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5">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5">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5">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5">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5">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5">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5">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5">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5">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5">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5">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5">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5">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5">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5">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5">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5">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5">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5">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5">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5">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5">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5">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5">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5">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5">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5">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5">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5">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5">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5">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5">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5">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5">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5">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5">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5">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5">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5">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5">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5">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5">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5">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5">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5">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5">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5">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5">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5">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5">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5">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5">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5">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5">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5">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5">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5">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5">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5">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5">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5">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5">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5">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5">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5">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5">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5">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5">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5">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5">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5">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5">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5">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5">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5">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5">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5">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5">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5">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5">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5">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5">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5">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5">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5">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5">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5">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5">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5">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5">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5">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5">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5">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5">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5">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5">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5">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5">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5">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5">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5">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5">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5">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5">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5">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5">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5">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5">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5">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5">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5">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5">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5">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5">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5">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5">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5">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5">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5">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5">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5">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5">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5">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5">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5">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5">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5">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5">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5">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5">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5">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5">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5">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5">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5">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5">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5">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5">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5">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5">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5">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5">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5">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5">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5">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5">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5">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5">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5">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5">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5">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5">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5">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5">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5">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5">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5">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5">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5">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5">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5">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5">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5">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5">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5">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5">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5">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5">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5">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5">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5">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5">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5">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5">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5">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5">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5">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5">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5">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5">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5">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5">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5">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5">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5">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5">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5">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5">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5">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5">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5">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5">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5">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5">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5">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5">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5">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5">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5">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5">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5">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5">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5">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5">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5">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5">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5">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5">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5">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5">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5">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5">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5">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5">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5">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5">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5">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5">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5">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5">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5">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5">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5">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5">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5">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5">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5">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5">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5">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5">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5">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5">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5">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5">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5">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5">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5">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5">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5">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5">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5">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5">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5">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5">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5">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5">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5">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5">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5">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5">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5">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5">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5">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5">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5">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5">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5">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5">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5">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5">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0</v>
      </c>
      <c r="C2" s="2785"/>
      <c r="D2" s="3719" t="b">
        <f>IF(E1="项目模式",IF(E2="——",ROUND(C49*D3/10000,0),ROUND(C49*D3/10000,0)-F2),IF(E1="单套模式",IF(E2="——",ROUND(C49*D3/10000,4),ROUND(C49*D3/10000,4)-F2)))</f>
        <v>0</v>
      </c>
      <c r="E2" s="2792"/>
      <c r="F2" s="3720"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0</v>
      </c>
      <c r="C3" s="234" t="s">
        <v>1575</v>
      </c>
      <c r="D3" s="2882">
        <f>IF(D1="",'数据-汇总表'!E3,SUMIF('数据-汇总表'!$C19:$C33,D1,'数据-汇总表'!$E19:$E33))</f>
        <v>109.4</v>
      </c>
      <c r="E3" s="3205"/>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63" t="s">
        <v>1577</v>
      </c>
      <c r="D4" s="4564"/>
      <c r="E4" s="4565" t="s">
        <v>1578</v>
      </c>
      <c r="F4" s="4566"/>
      <c r="G4" s="4563" t="s">
        <v>1579</v>
      </c>
      <c r="H4" s="4564"/>
      <c r="I4" s="4563" t="s">
        <v>1580</v>
      </c>
      <c r="J4" s="4564"/>
      <c r="K4" s="2810" t="s">
        <v>1581</v>
      </c>
      <c r="L4" s="1974"/>
      <c r="M4" s="1975"/>
      <c r="N4" s="1975"/>
      <c r="O4" s="1975"/>
      <c r="P4" s="4567" t="s">
        <v>1582</v>
      </c>
      <c r="Q4" s="4568"/>
      <c r="R4" s="4553" t="s">
        <v>1578</v>
      </c>
      <c r="S4" s="4554"/>
      <c r="T4" s="4553" t="s">
        <v>1579</v>
      </c>
      <c r="U4" s="4554"/>
      <c r="V4" s="4495" t="s">
        <v>1580</v>
      </c>
      <c r="W4" s="4495"/>
      <c r="X4" s="910"/>
      <c r="Y4" s="4572" t="s">
        <v>1582</v>
      </c>
      <c r="Z4" s="4573"/>
      <c r="AA4" s="4552" t="s">
        <v>1578</v>
      </c>
      <c r="AB4" s="4552" t="s">
        <v>1579</v>
      </c>
      <c r="AC4" s="4552" t="s">
        <v>1580</v>
      </c>
    </row>
    <row r="5" spans="1:29" ht="15">
      <c r="A5" s="238"/>
      <c r="B5" s="239"/>
      <c r="C5" s="4557" t="s">
        <v>1583</v>
      </c>
      <c r="D5" s="4558"/>
      <c r="E5" s="4555" t="s">
        <v>1584</v>
      </c>
      <c r="F5" s="4556"/>
      <c r="G5" s="4557" t="s">
        <v>1585</v>
      </c>
      <c r="H5" s="4558"/>
      <c r="I5" s="4557" t="s">
        <v>1586</v>
      </c>
      <c r="J5" s="4558"/>
      <c r="K5" s="2811"/>
      <c r="L5" s="1974"/>
      <c r="M5" s="1975"/>
      <c r="N5" s="1975"/>
      <c r="O5" s="1975"/>
      <c r="P5" s="4569"/>
      <c r="Q5" s="4489"/>
      <c r="R5" s="4469"/>
      <c r="S5" s="4470"/>
      <c r="T5" s="4469"/>
      <c r="U5" s="4470"/>
      <c r="V5" s="4495"/>
      <c r="W5" s="4495"/>
      <c r="X5" s="910"/>
      <c r="Y5" s="4500"/>
      <c r="Z5" s="4501"/>
      <c r="AA5" s="4463"/>
      <c r="AB5" s="4463"/>
      <c r="AC5" s="4463"/>
    </row>
    <row r="6" spans="1:29" ht="15.75" thickBot="1">
      <c r="A6" s="240"/>
      <c r="B6" s="241"/>
      <c r="C6" s="4559" t="s">
        <v>1587</v>
      </c>
      <c r="D6" s="4560"/>
      <c r="E6" s="4561" t="s">
        <v>1587</v>
      </c>
      <c r="F6" s="4562"/>
      <c r="G6" s="4559" t="s">
        <v>1587</v>
      </c>
      <c r="H6" s="4560"/>
      <c r="I6" s="4559" t="s">
        <v>1587</v>
      </c>
      <c r="J6" s="4560"/>
      <c r="K6" s="2811" t="s">
        <v>1588</v>
      </c>
      <c r="L6" s="1974"/>
      <c r="M6" s="1975"/>
      <c r="N6" s="1975"/>
      <c r="O6" s="1975"/>
      <c r="P6" s="4570"/>
      <c r="Q6" s="4491"/>
      <c r="R6" s="4469"/>
      <c r="S6" s="4470"/>
      <c r="T6" s="4492"/>
      <c r="U6" s="4493"/>
      <c r="V6" s="4495"/>
      <c r="W6" s="4495"/>
      <c r="X6" s="910"/>
      <c r="Y6" s="4502"/>
      <c r="Z6" s="4503"/>
      <c r="AA6" s="4464"/>
      <c r="AB6" s="4464"/>
      <c r="AC6" s="4464"/>
    </row>
    <row r="7" spans="1:29" s="46" customFormat="1" ht="15.75" thickBot="1">
      <c r="A7" s="242" t="s">
        <v>1589</v>
      </c>
      <c r="B7" s="243"/>
      <c r="C7" s="2812">
        <f>'数据-取费表'!B2</f>
        <v>46051</v>
      </c>
      <c r="D7" s="2887">
        <v>100</v>
      </c>
      <c r="E7" s="2841"/>
      <c r="F7" s="3721">
        <f>SUMIF(58:58,YEAR(E7)&amp;"-"&amp;MONTH(E7),59:59)</f>
        <v>0</v>
      </c>
      <c r="G7" s="2841"/>
      <c r="H7" s="3733">
        <f>SUMIF(58:58,YEAR(G7)&amp;"-"&amp;MONTH(G7),59:59)</f>
        <v>0</v>
      </c>
      <c r="I7" s="2841"/>
      <c r="J7" s="3733">
        <f>SUMIF(58:58,YEAR(I7)&amp;"-"&amp;MONTH(I7),59:59)</f>
        <v>0</v>
      </c>
      <c r="K7" s="2803"/>
      <c r="L7" s="1976"/>
      <c r="M7" s="1929"/>
      <c r="N7" s="1929"/>
      <c r="O7" s="1929"/>
      <c r="P7" s="4571" t="s">
        <v>1590</v>
      </c>
      <c r="Q7" s="4504"/>
      <c r="R7" s="3637" t="s">
        <v>18</v>
      </c>
      <c r="S7" s="3157">
        <f t="shared" ref="S7:S15" si="0">F7</f>
        <v>0</v>
      </c>
      <c r="T7" s="3637" t="s">
        <v>18</v>
      </c>
      <c r="U7" s="3157">
        <f t="shared" ref="U7:U15" si="1">H7</f>
        <v>0</v>
      </c>
      <c r="V7" s="3637" t="s">
        <v>18</v>
      </c>
      <c r="W7" s="3157">
        <f t="shared" ref="W7:W15" si="2">J7</f>
        <v>0</v>
      </c>
      <c r="X7" s="482"/>
      <c r="Y7" s="4465" t="s">
        <v>1590</v>
      </c>
      <c r="Z7" s="4466"/>
      <c r="AA7" s="28" t="e">
        <f>D7/F7</f>
        <v>#DIV/0!</v>
      </c>
      <c r="AB7" s="28" t="e">
        <f>D7/H7</f>
        <v>#DIV/0!</v>
      </c>
      <c r="AC7" s="28" t="e">
        <f>D7/J7</f>
        <v>#DIV/0!</v>
      </c>
    </row>
    <row r="8" spans="1:29" s="46" customFormat="1" ht="15.75" thickBot="1">
      <c r="A8" s="242" t="s">
        <v>1591</v>
      </c>
      <c r="B8" s="243"/>
      <c r="C8" s="2813"/>
      <c r="D8" s="2887">
        <v>100</v>
      </c>
      <c r="E8" s="2866"/>
      <c r="F8" s="3721">
        <f>SUMIF(61:61,E8,62:62)-SUMIF(61:61,C8,62:62)+100</f>
        <v>100</v>
      </c>
      <c r="G8" s="2813"/>
      <c r="H8" s="3733">
        <f>SUMIF(61:61,G8,62:62)-SUMIF(61:61,C8,62:62)+100</f>
        <v>100</v>
      </c>
      <c r="I8" s="2866"/>
      <c r="J8" s="3733">
        <f>SUMIF(61:61,I8,62:62)-SUMIF(61:61,C8,62:62)+100</f>
        <v>100</v>
      </c>
      <c r="K8" s="2803"/>
      <c r="L8" s="1976"/>
      <c r="M8" s="1929"/>
      <c r="N8" s="1929"/>
      <c r="O8" s="1929"/>
      <c r="P8" s="4571" t="s">
        <v>1593</v>
      </c>
      <c r="Q8" s="4497"/>
      <c r="R8" s="3637" t="s">
        <v>18</v>
      </c>
      <c r="S8" s="3157">
        <f t="shared" si="0"/>
        <v>100</v>
      </c>
      <c r="T8" s="3637" t="s">
        <v>18</v>
      </c>
      <c r="U8" s="3157">
        <f t="shared" si="1"/>
        <v>100</v>
      </c>
      <c r="V8" s="3637" t="s">
        <v>18</v>
      </c>
      <c r="W8" s="3157">
        <f t="shared" si="2"/>
        <v>100</v>
      </c>
      <c r="X8" s="482"/>
      <c r="Y8" s="4465" t="s">
        <v>1593</v>
      </c>
      <c r="Z8" s="4466"/>
      <c r="AA8" s="28">
        <f t="shared" ref="AA8:AA19" si="3">D8/F8</f>
        <v>1</v>
      </c>
      <c r="AB8" s="28">
        <f t="shared" ref="AB8:AB19" si="4">D8/H8</f>
        <v>1</v>
      </c>
      <c r="AC8" s="28">
        <f t="shared" ref="AC8:AC19" si="5">D8/J8</f>
        <v>1</v>
      </c>
    </row>
    <row r="9" spans="1:29" s="46" customFormat="1">
      <c r="A9" s="247" t="s">
        <v>1594</v>
      </c>
      <c r="B9" s="2793" t="s">
        <v>1595</v>
      </c>
      <c r="C9" s="2814"/>
      <c r="D9" s="2888">
        <v>100</v>
      </c>
      <c r="E9" s="2842"/>
      <c r="F9" s="3722">
        <f>SUMIF(63:63,E9,64:64)-SUMIF(63:63,C9,64:64)+100</f>
        <v>100</v>
      </c>
      <c r="G9" s="2871"/>
      <c r="H9" s="3734">
        <f>SUMIF(63:63,G9,64:64)-SUMIF(63:63,C9,64:64)+100</f>
        <v>100</v>
      </c>
      <c r="I9" s="2871"/>
      <c r="J9" s="3734">
        <f>SUMIF(63:63,I9,64:64)-SUMIF(63:63,C9,64:64)+100</f>
        <v>100</v>
      </c>
      <c r="K9" s="2803"/>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04"/>
      <c r="L11" s="1979"/>
      <c r="M11" s="1975"/>
      <c r="N11" s="1975"/>
      <c r="O11" s="1975"/>
      <c r="P11" s="4477"/>
      <c r="Q11" s="1698" t="str">
        <f t="shared" si="6"/>
        <v>容积率</v>
      </c>
      <c r="R11" s="3637" t="s">
        <v>16</v>
      </c>
      <c r="S11" s="3157">
        <f t="shared" si="0"/>
        <v>100</v>
      </c>
      <c r="T11" s="3637" t="s">
        <v>16</v>
      </c>
      <c r="U11" s="3157">
        <f t="shared" si="1"/>
        <v>100</v>
      </c>
      <c r="V11" s="3637" t="s">
        <v>16</v>
      </c>
      <c r="W11" s="3157">
        <f t="shared" si="2"/>
        <v>100</v>
      </c>
      <c r="X11" s="482"/>
      <c r="Y11" s="4478"/>
      <c r="Z11" s="28" t="str">
        <f t="shared" si="7"/>
        <v>容积率</v>
      </c>
      <c r="AA11" s="28">
        <f t="shared" si="3"/>
        <v>1</v>
      </c>
      <c r="AB11" s="28">
        <f t="shared" si="4"/>
        <v>1</v>
      </c>
      <c r="AC11" s="28">
        <f t="shared" si="5"/>
        <v>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6"/>
      <c r="M12" s="1929"/>
      <c r="N12" s="1929"/>
      <c r="O12" s="1929"/>
      <c r="P12" s="4477"/>
      <c r="Q12" s="1698">
        <f t="shared" si="6"/>
        <v>111</v>
      </c>
      <c r="R12" s="3637" t="s">
        <v>16</v>
      </c>
      <c r="S12" s="3157">
        <f t="shared" si="0"/>
        <v>100</v>
      </c>
      <c r="T12" s="3637" t="s">
        <v>16</v>
      </c>
      <c r="U12" s="3157">
        <f t="shared" si="1"/>
        <v>100</v>
      </c>
      <c r="V12" s="3637" t="s">
        <v>16</v>
      </c>
      <c r="W12" s="3157">
        <f t="shared" si="2"/>
        <v>100</v>
      </c>
      <c r="X12" s="482"/>
      <c r="Y12" s="4478"/>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0"/>
      <c r="M13" s="1975"/>
      <c r="N13" s="1975"/>
      <c r="O13" s="1975"/>
      <c r="P13" s="4477"/>
      <c r="Q13" s="1698">
        <f t="shared" si="6"/>
        <v>111</v>
      </c>
      <c r="R13" s="3637" t="s">
        <v>16</v>
      </c>
      <c r="S13" s="3157">
        <f t="shared" si="0"/>
        <v>100</v>
      </c>
      <c r="T13" s="3637" t="s">
        <v>16</v>
      </c>
      <c r="U13" s="3157">
        <f t="shared" si="1"/>
        <v>100</v>
      </c>
      <c r="V13" s="3637" t="s">
        <v>16</v>
      </c>
      <c r="W13" s="3157">
        <f t="shared" si="2"/>
        <v>100</v>
      </c>
      <c r="X13" s="482"/>
      <c r="Y13" s="4478"/>
      <c r="Z13" s="28">
        <f t="shared" si="7"/>
        <v>111</v>
      </c>
      <c r="AA13" s="28">
        <f t="shared" si="3"/>
        <v>1</v>
      </c>
      <c r="AB13" s="28">
        <f t="shared" si="4"/>
        <v>1</v>
      </c>
      <c r="AC13" s="28">
        <f t="shared" si="5"/>
        <v>1</v>
      </c>
    </row>
    <row r="14" spans="1:29" ht="15.75"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0"/>
      <c r="M14" s="1975"/>
      <c r="N14" s="1975"/>
      <c r="O14" s="1975"/>
      <c r="P14" s="4477"/>
      <c r="Q14" s="1698">
        <f t="shared" si="6"/>
        <v>111</v>
      </c>
      <c r="R14" s="3637" t="s">
        <v>16</v>
      </c>
      <c r="S14" s="3157">
        <f t="shared" si="0"/>
        <v>100</v>
      </c>
      <c r="T14" s="3637" t="s">
        <v>16</v>
      </c>
      <c r="U14" s="3157">
        <f t="shared" si="1"/>
        <v>100</v>
      </c>
      <c r="V14" s="3637" t="s">
        <v>16</v>
      </c>
      <c r="W14" s="3157">
        <f t="shared" si="2"/>
        <v>100</v>
      </c>
      <c r="X14" s="482"/>
      <c r="Y14" s="4478"/>
      <c r="Z14" s="28">
        <f t="shared" si="7"/>
        <v>111</v>
      </c>
      <c r="AA14" s="28">
        <f t="shared" si="3"/>
        <v>1</v>
      </c>
      <c r="AB14" s="28">
        <f t="shared" si="4"/>
        <v>1</v>
      </c>
      <c r="AC14" s="28">
        <f t="shared" si="5"/>
        <v>1</v>
      </c>
    </row>
    <row r="15" spans="1:29" ht="85.5">
      <c r="A15" s="262" t="s">
        <v>1600</v>
      </c>
      <c r="B15" s="2796" t="s">
        <v>1235</v>
      </c>
      <c r="C15" s="2820" t="str">
        <f>估价对象房地状况!C3</f>
        <v>估价对象周边居住用地比例、居住小区规模和社区发展完善程度，综合评价居住社区成熟度一般</v>
      </c>
      <c r="D15" s="2893">
        <v>100</v>
      </c>
      <c r="E15" s="2851"/>
      <c r="F15" s="3725">
        <f>SUMIF(76:76,E16,77:77)-SUMIF(76:76,C16,77:77)+100</f>
        <v>100</v>
      </c>
      <c r="G15" s="2845"/>
      <c r="H15" s="3725">
        <f>SUMIF(76:76,G16,77:77)-SUMIF(76:76,C16,77:77)+100</f>
        <v>100</v>
      </c>
      <c r="I15" s="2845"/>
      <c r="J15" s="3725">
        <f>SUMIF(76:76,I16,77:77)-SUMIF(76:76,C16,77:77)+100</f>
        <v>100</v>
      </c>
      <c r="K15" s="2806"/>
      <c r="L15" s="1980"/>
      <c r="M15" s="1975"/>
      <c r="N15" s="1975"/>
      <c r="O15" s="1975"/>
      <c r="P15" s="4505" t="s">
        <v>1601</v>
      </c>
      <c r="Q15" s="1507" t="str">
        <f t="shared" si="6"/>
        <v>居住社区成熟度</v>
      </c>
      <c r="R15" s="3739" t="s">
        <v>16</v>
      </c>
      <c r="S15" s="3158">
        <f t="shared" si="0"/>
        <v>100</v>
      </c>
      <c r="T15" s="3739" t="s">
        <v>16</v>
      </c>
      <c r="U15" s="3158">
        <f t="shared" si="1"/>
        <v>100</v>
      </c>
      <c r="V15" s="3739" t="s">
        <v>16</v>
      </c>
      <c r="W15" s="3158">
        <f t="shared" si="2"/>
        <v>100</v>
      </c>
      <c r="X15" s="910"/>
      <c r="Y15" s="4507" t="s">
        <v>1601</v>
      </c>
      <c r="Z15" s="908" t="str">
        <f t="shared" si="7"/>
        <v>居住社区成熟度</v>
      </c>
      <c r="AA15" s="908">
        <f t="shared" si="3"/>
        <v>1</v>
      </c>
      <c r="AB15" s="908">
        <f t="shared" si="4"/>
        <v>1</v>
      </c>
      <c r="AC15" s="908">
        <f t="shared" si="5"/>
        <v>1</v>
      </c>
    </row>
    <row r="16" spans="1:29" ht="15">
      <c r="A16" s="254"/>
      <c r="B16" s="2797"/>
      <c r="C16" s="2821"/>
      <c r="D16" s="2894"/>
      <c r="E16" s="2855"/>
      <c r="F16" s="3726"/>
      <c r="G16" s="2849"/>
      <c r="H16" s="3727"/>
      <c r="I16" s="2849"/>
      <c r="J16" s="3726"/>
      <c r="K16" s="2807"/>
      <c r="L16" s="1980"/>
      <c r="M16" s="1975"/>
      <c r="N16" s="1975"/>
      <c r="O16" s="1975"/>
      <c r="P16" s="4506"/>
      <c r="Q16" s="1507"/>
      <c r="R16" s="3739"/>
      <c r="S16" s="3158"/>
      <c r="T16" s="3739"/>
      <c r="U16" s="3158"/>
      <c r="V16" s="3739"/>
      <c r="W16" s="3158"/>
      <c r="X16" s="910"/>
      <c r="Y16" s="4508"/>
      <c r="Z16" s="908"/>
      <c r="AA16" s="908">
        <v>1</v>
      </c>
      <c r="AB16" s="908">
        <v>1</v>
      </c>
      <c r="AC16" s="908">
        <v>1</v>
      </c>
    </row>
    <row r="17" spans="1:29" ht="71.25">
      <c r="A17" s="254"/>
      <c r="B17" s="2798" t="s">
        <v>1237</v>
      </c>
      <c r="C17" s="2822" t="str">
        <f>估价对象房地状况!C6</f>
        <v>估价对象周边道路状况、公共交通通达情况、停车便捷程度，综合评价交通便捷度较好</v>
      </c>
      <c r="D17" s="2895">
        <v>100</v>
      </c>
      <c r="E17" s="2852"/>
      <c r="F17" s="3727">
        <f>SUMIF(78:78,E18,79:79)-SUMIF(78:78,C18,79:79)+100</f>
        <v>100</v>
      </c>
      <c r="G17" s="2846"/>
      <c r="H17" s="3728">
        <f>SUMIF(78:78,G18,79:79)-SUMIF(78:78,C18,79:79)+100</f>
        <v>100</v>
      </c>
      <c r="I17" s="2846"/>
      <c r="J17" s="3728">
        <f>SUMIF(78:78,I18,79:79)-SUMIF(78:78,C18,79:79)+100</f>
        <v>100</v>
      </c>
      <c r="K17" s="2806"/>
      <c r="L17" s="1980"/>
      <c r="M17" s="1975"/>
      <c r="N17" s="1975"/>
      <c r="O17" s="1975"/>
      <c r="P17" s="4506"/>
      <c r="Q17" s="1507" t="str">
        <f>B17</f>
        <v>交通便捷度</v>
      </c>
      <c r="R17" s="3739" t="s">
        <v>16</v>
      </c>
      <c r="S17" s="3158">
        <f>F17</f>
        <v>100</v>
      </c>
      <c r="T17" s="3739" t="s">
        <v>16</v>
      </c>
      <c r="U17" s="3158">
        <f>H17</f>
        <v>100</v>
      </c>
      <c r="V17" s="3739" t="s">
        <v>16</v>
      </c>
      <c r="W17" s="3158">
        <f>J17</f>
        <v>100</v>
      </c>
      <c r="X17" s="910"/>
      <c r="Y17" s="4508"/>
      <c r="Z17" s="908" t="str">
        <f>Q17</f>
        <v>交通便捷度</v>
      </c>
      <c r="AA17" s="908">
        <f t="shared" si="3"/>
        <v>1</v>
      </c>
      <c r="AB17" s="908">
        <f t="shared" si="4"/>
        <v>1</v>
      </c>
      <c r="AC17" s="908">
        <f t="shared" si="5"/>
        <v>1</v>
      </c>
    </row>
    <row r="18" spans="1:29" ht="15">
      <c r="A18" s="254"/>
      <c r="B18" s="2799"/>
      <c r="C18" s="2823"/>
      <c r="D18" s="2895"/>
      <c r="E18" s="2853"/>
      <c r="F18" s="3727"/>
      <c r="G18" s="2847"/>
      <c r="H18" s="3726"/>
      <c r="I18" s="2847"/>
      <c r="J18" s="3726"/>
      <c r="K18" s="2807"/>
      <c r="L18" s="1980"/>
      <c r="M18" s="1975"/>
      <c r="N18" s="1975"/>
      <c r="O18" s="1975"/>
      <c r="P18" s="4506"/>
      <c r="Q18" s="1507"/>
      <c r="R18" s="3739"/>
      <c r="S18" s="3158"/>
      <c r="T18" s="3739"/>
      <c r="U18" s="3158"/>
      <c r="V18" s="3739"/>
      <c r="W18" s="3158"/>
      <c r="X18" s="910"/>
      <c r="Y18" s="4508"/>
      <c r="Z18" s="908"/>
      <c r="AA18" s="908">
        <v>1</v>
      </c>
      <c r="AB18" s="908">
        <v>1</v>
      </c>
      <c r="AC18" s="908">
        <v>1</v>
      </c>
    </row>
    <row r="19" spans="1:29" ht="42.75">
      <c r="A19" s="254"/>
      <c r="B19" s="2798" t="s">
        <v>1236</v>
      </c>
      <c r="C19" s="2822" t="str">
        <f>估价对象房地状况!C7</f>
        <v>估价对象所在区域公共配套设施齐备情况</v>
      </c>
      <c r="D19" s="2896">
        <v>100</v>
      </c>
      <c r="E19" s="2854"/>
      <c r="F19" s="3728">
        <f>SUMIF(80:80,E20,81:81)-SUMIF(80:80,C20,81:81)+100</f>
        <v>100</v>
      </c>
      <c r="G19" s="2848"/>
      <c r="H19" s="3727">
        <f>SUMIF(80:80,G20,81:81)-SUMIF(80:80,C20,81:81)+100</f>
        <v>100</v>
      </c>
      <c r="I19" s="2848"/>
      <c r="J19" s="3727">
        <f>SUMIF(80:80,I20,81:81)-SUMIF(80:80,C20,81:81)+100</f>
        <v>100</v>
      </c>
      <c r="K19" s="2806"/>
      <c r="L19" s="1980"/>
      <c r="M19" s="1975"/>
      <c r="N19" s="1975"/>
      <c r="O19" s="1975"/>
      <c r="P19" s="4506"/>
      <c r="Q19" s="1507" t="str">
        <f>B19</f>
        <v>公共配套设施</v>
      </c>
      <c r="R19" s="3739" t="s">
        <v>16</v>
      </c>
      <c r="S19" s="3158">
        <f>F19</f>
        <v>100</v>
      </c>
      <c r="T19" s="3739" t="s">
        <v>16</v>
      </c>
      <c r="U19" s="3158">
        <f>H19</f>
        <v>100</v>
      </c>
      <c r="V19" s="3739" t="s">
        <v>16</v>
      </c>
      <c r="W19" s="3158">
        <f>J19</f>
        <v>100</v>
      </c>
      <c r="X19" s="910"/>
      <c r="Y19" s="4508"/>
      <c r="Z19" s="908" t="str">
        <f>Q19</f>
        <v>公共配套设施</v>
      </c>
      <c r="AA19" s="908">
        <f t="shared" si="3"/>
        <v>1</v>
      </c>
      <c r="AB19" s="908">
        <f t="shared" si="4"/>
        <v>1</v>
      </c>
      <c r="AC19" s="908">
        <f t="shared" si="5"/>
        <v>1</v>
      </c>
    </row>
    <row r="20" spans="1:29" ht="15">
      <c r="A20" s="254"/>
      <c r="B20" s="2799"/>
      <c r="C20" s="2821"/>
      <c r="D20" s="2894"/>
      <c r="E20" s="2855"/>
      <c r="F20" s="3726"/>
      <c r="G20" s="2849"/>
      <c r="H20" s="3726"/>
      <c r="I20" s="2849"/>
      <c r="J20" s="3726"/>
      <c r="K20" s="2807"/>
      <c r="L20" s="1980"/>
      <c r="M20" s="1975"/>
      <c r="N20" s="1975"/>
      <c r="O20" s="1975"/>
      <c r="P20" s="4506"/>
      <c r="Q20" s="1507"/>
      <c r="R20" s="3739"/>
      <c r="S20" s="3158"/>
      <c r="T20" s="3739"/>
      <c r="U20" s="3158"/>
      <c r="V20" s="3739"/>
      <c r="W20" s="3158"/>
      <c r="X20" s="910"/>
      <c r="Y20" s="4508"/>
      <c r="Z20" s="908"/>
      <c r="AA20" s="908">
        <v>1</v>
      </c>
      <c r="AB20" s="908">
        <v>1</v>
      </c>
      <c r="AC20" s="908">
        <v>1</v>
      </c>
    </row>
    <row r="21" spans="1:29" ht="28.5">
      <c r="A21" s="254"/>
      <c r="B21" s="2800" t="s">
        <v>1238</v>
      </c>
      <c r="C21" s="2822" t="str">
        <f>估价对象房地状况!C8</f>
        <v>估价对象所在区域基础设施水平</v>
      </c>
      <c r="D21" s="2895">
        <v>100</v>
      </c>
      <c r="E21" s="2854"/>
      <c r="F21" s="3728">
        <f>SUMIF(82:82,E22,83:83)-SUMIF(82:82,C22,83:83)+100</f>
        <v>100</v>
      </c>
      <c r="G21" s="2848"/>
      <c r="H21" s="3727">
        <f>SUMIF(82:82,G22,83:83)-SUMIF(82:82,C22,83:83)+100</f>
        <v>100</v>
      </c>
      <c r="I21" s="2848"/>
      <c r="J21" s="3727">
        <f>SUMIF(82:82,I22,83:83)-SUMIF(82:82,C22,83:83)+100</f>
        <v>100</v>
      </c>
      <c r="K21" s="2806"/>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26"/>
      <c r="G22" s="2872"/>
      <c r="H22" s="3726"/>
      <c r="I22" s="2821"/>
      <c r="J22" s="3726"/>
      <c r="K22" s="2808"/>
      <c r="L22" s="1980"/>
      <c r="M22" s="1975"/>
      <c r="N22" s="1975"/>
      <c r="O22" s="1975"/>
      <c r="P22" s="4506"/>
      <c r="Q22" s="1507"/>
      <c r="R22" s="3739"/>
      <c r="S22" s="3158"/>
      <c r="T22" s="3739"/>
      <c r="U22" s="3158"/>
      <c r="V22" s="3739"/>
      <c r="W22" s="3158"/>
      <c r="X22" s="910"/>
      <c r="Y22" s="4508"/>
      <c r="Z22" s="908"/>
      <c r="AA22" s="908">
        <v>1</v>
      </c>
      <c r="AB22" s="908">
        <v>1</v>
      </c>
      <c r="AC22" s="908">
        <v>1</v>
      </c>
    </row>
    <row r="23" spans="1:29" ht="42.75">
      <c r="A23" s="254"/>
      <c r="B23" s="2798" t="s">
        <v>1239</v>
      </c>
      <c r="C23" s="2822" t="str">
        <f>估价对象房地状况!C9</f>
        <v>区域自然环境：；人文环境；综合评价环境状况一般</v>
      </c>
      <c r="D23" s="2895">
        <v>100</v>
      </c>
      <c r="E23" s="2852"/>
      <c r="F23" s="3727">
        <f>SUMIF(84:84,E24,85:85)-SUMIF(84:84,C24,85:85)+100</f>
        <v>100</v>
      </c>
      <c r="G23" s="2846"/>
      <c r="H23" s="3727">
        <f>SUMIF(84:84,G24,85:85)-SUMIF(84:84,C24,85:85)+100</f>
        <v>100</v>
      </c>
      <c r="I23" s="2846"/>
      <c r="J23" s="3727">
        <f>SUMIF(84:84,I24,85:85)-SUMIF(84:84,C24,85:85)+100</f>
        <v>100</v>
      </c>
      <c r="K23" s="2806"/>
      <c r="L23" s="1980"/>
      <c r="M23" s="1975"/>
      <c r="N23" s="1975"/>
      <c r="O23" s="1975"/>
      <c r="P23" s="4506"/>
      <c r="Q23" s="1507" t="str">
        <f>B23</f>
        <v>自然及人文环境</v>
      </c>
      <c r="R23" s="3739" t="s">
        <v>16</v>
      </c>
      <c r="S23" s="3158">
        <f>F23</f>
        <v>100</v>
      </c>
      <c r="T23" s="3739" t="s">
        <v>16</v>
      </c>
      <c r="U23" s="3158">
        <f>H23</f>
        <v>100</v>
      </c>
      <c r="V23" s="3739" t="s">
        <v>16</v>
      </c>
      <c r="W23" s="3158">
        <f>J23</f>
        <v>100</v>
      </c>
      <c r="X23" s="910"/>
      <c r="Y23" s="4508"/>
      <c r="Z23" s="908" t="str">
        <f>Q23</f>
        <v>自然及人文环境</v>
      </c>
      <c r="AA23" s="908">
        <f>D23/F23</f>
        <v>1</v>
      </c>
      <c r="AB23" s="908">
        <f>D23/H23</f>
        <v>1</v>
      </c>
      <c r="AC23" s="908">
        <f>D23/J23</f>
        <v>1</v>
      </c>
    </row>
    <row r="24" spans="1:29" ht="15">
      <c r="A24" s="254"/>
      <c r="B24" s="2799"/>
      <c r="C24" s="2821"/>
      <c r="D24" s="2894"/>
      <c r="E24" s="2855"/>
      <c r="F24" s="3726"/>
      <c r="G24" s="2849"/>
      <c r="H24" s="3726"/>
      <c r="I24" s="2849"/>
      <c r="J24" s="3726"/>
      <c r="K24" s="2807"/>
      <c r="L24" s="1980"/>
      <c r="M24" s="1975"/>
      <c r="N24" s="1975"/>
      <c r="O24" s="1975"/>
      <c r="P24" s="4506"/>
      <c r="Q24" s="1507"/>
      <c r="R24" s="3739"/>
      <c r="S24" s="3158"/>
      <c r="T24" s="3739"/>
      <c r="U24" s="3158"/>
      <c r="V24" s="3739"/>
      <c r="W24" s="3158"/>
      <c r="X24" s="910"/>
      <c r="Y24" s="4508"/>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0"/>
      <c r="M25" s="1975"/>
      <c r="N25" s="1975"/>
      <c r="O25" s="1975"/>
      <c r="P25" s="4506"/>
      <c r="Q25" s="1507"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508"/>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0"/>
      <c r="M26" s="1975"/>
      <c r="N26" s="1975"/>
      <c r="O26" s="1975"/>
      <c r="P26" s="4506"/>
      <c r="Q26" s="1507" t="str">
        <f t="shared" si="11"/>
        <v>朝向</v>
      </c>
      <c r="R26" s="3739" t="s">
        <v>16</v>
      </c>
      <c r="S26" s="3158">
        <f t="shared" si="12"/>
        <v>100</v>
      </c>
      <c r="T26" s="3739" t="s">
        <v>16</v>
      </c>
      <c r="U26" s="3158">
        <f t="shared" si="13"/>
        <v>100</v>
      </c>
      <c r="V26" s="3739" t="s">
        <v>16</v>
      </c>
      <c r="W26" s="3158">
        <f t="shared" si="14"/>
        <v>100</v>
      </c>
      <c r="X26" s="910"/>
      <c r="Y26" s="4508"/>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6"/>
      <c r="M27" s="1929"/>
      <c r="N27" s="1929"/>
      <c r="O27" s="1929"/>
      <c r="P27" s="4506"/>
      <c r="Q27" s="1698">
        <f t="shared" si="11"/>
        <v>111</v>
      </c>
      <c r="R27" s="3637" t="s">
        <v>16</v>
      </c>
      <c r="S27" s="3157">
        <f t="shared" si="12"/>
        <v>100</v>
      </c>
      <c r="T27" s="3637" t="s">
        <v>16</v>
      </c>
      <c r="U27" s="3157">
        <f t="shared" si="13"/>
        <v>100</v>
      </c>
      <c r="V27" s="3637" t="s">
        <v>16</v>
      </c>
      <c r="W27" s="3157">
        <f t="shared" si="14"/>
        <v>100</v>
      </c>
      <c r="X27" s="482"/>
      <c r="Y27" s="4508"/>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0"/>
      <c r="M28" s="1975"/>
      <c r="N28" s="1975"/>
      <c r="O28" s="1975"/>
      <c r="P28" s="4506"/>
      <c r="Q28" s="1507">
        <f t="shared" si="11"/>
        <v>111</v>
      </c>
      <c r="R28" s="3739" t="s">
        <v>16</v>
      </c>
      <c r="S28" s="3158">
        <f t="shared" si="12"/>
        <v>100</v>
      </c>
      <c r="T28" s="3739" t="s">
        <v>16</v>
      </c>
      <c r="U28" s="3158">
        <f t="shared" si="13"/>
        <v>100</v>
      </c>
      <c r="V28" s="3739" t="s">
        <v>16</v>
      </c>
      <c r="W28" s="3158">
        <f t="shared" si="14"/>
        <v>100</v>
      </c>
      <c r="X28" s="910"/>
      <c r="Y28" s="4508"/>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0"/>
      <c r="M29" s="1975"/>
      <c r="N29" s="1975"/>
      <c r="O29" s="1975"/>
      <c r="P29" s="4506"/>
      <c r="Q29" s="1507">
        <f t="shared" si="11"/>
        <v>111</v>
      </c>
      <c r="R29" s="3739" t="s">
        <v>16</v>
      </c>
      <c r="S29" s="3158">
        <f t="shared" si="12"/>
        <v>100</v>
      </c>
      <c r="T29" s="3739" t="s">
        <v>16</v>
      </c>
      <c r="U29" s="3158">
        <f t="shared" si="13"/>
        <v>100</v>
      </c>
      <c r="V29" s="3739" t="s">
        <v>16</v>
      </c>
      <c r="W29" s="3158">
        <f t="shared" si="14"/>
        <v>100</v>
      </c>
      <c r="X29" s="910"/>
      <c r="Y29" s="4508"/>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0"/>
      <c r="M30" s="1975"/>
      <c r="N30" s="1975"/>
      <c r="O30" s="1975"/>
      <c r="P30" s="4506"/>
      <c r="Q30" s="1507">
        <f t="shared" si="11"/>
        <v>111</v>
      </c>
      <c r="R30" s="3739" t="s">
        <v>16</v>
      </c>
      <c r="S30" s="3158">
        <f t="shared" si="12"/>
        <v>100</v>
      </c>
      <c r="T30" s="3739" t="s">
        <v>16</v>
      </c>
      <c r="U30" s="3158">
        <f t="shared" si="13"/>
        <v>100</v>
      </c>
      <c r="V30" s="3739" t="s">
        <v>16</v>
      </c>
      <c r="W30" s="3158">
        <f t="shared" si="14"/>
        <v>100</v>
      </c>
      <c r="X30" s="910"/>
      <c r="Y30" s="4508"/>
      <c r="Z30" s="908">
        <f t="shared" si="18"/>
        <v>111</v>
      </c>
      <c r="AA30" s="908">
        <f t="shared" si="15"/>
        <v>1</v>
      </c>
      <c r="AB30" s="908">
        <f t="shared" si="16"/>
        <v>1</v>
      </c>
      <c r="AC30" s="908">
        <f t="shared" si="17"/>
        <v>1</v>
      </c>
    </row>
    <row r="31" spans="1:29" ht="15.75"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0"/>
      <c r="M31" s="1975"/>
      <c r="N31" s="1975"/>
      <c r="O31" s="1975"/>
      <c r="P31" s="4506"/>
      <c r="Q31" s="1507">
        <f t="shared" si="11"/>
        <v>111</v>
      </c>
      <c r="R31" s="3739" t="s">
        <v>16</v>
      </c>
      <c r="S31" s="3158">
        <f t="shared" si="12"/>
        <v>100</v>
      </c>
      <c r="T31" s="3739" t="s">
        <v>16</v>
      </c>
      <c r="U31" s="3158">
        <f t="shared" si="13"/>
        <v>100</v>
      </c>
      <c r="V31" s="3739" t="s">
        <v>16</v>
      </c>
      <c r="W31" s="3158">
        <f t="shared" si="14"/>
        <v>100</v>
      </c>
      <c r="X31" s="910"/>
      <c r="Y31" s="4508"/>
      <c r="Z31" s="908">
        <f t="shared" si="18"/>
        <v>111</v>
      </c>
      <c r="AA31" s="908">
        <f t="shared" si="15"/>
        <v>1</v>
      </c>
      <c r="AB31" s="908">
        <f t="shared" si="16"/>
        <v>1</v>
      </c>
      <c r="AC31" s="908">
        <f t="shared" si="17"/>
        <v>1</v>
      </c>
    </row>
    <row r="32" spans="1:29" ht="15">
      <c r="A32" s="262" t="s">
        <v>1604</v>
      </c>
      <c r="B32" s="2793" t="s">
        <v>1605</v>
      </c>
      <c r="C32" s="2825"/>
      <c r="D32" s="2898">
        <v>100</v>
      </c>
      <c r="E32" s="2868"/>
      <c r="F32" s="3732">
        <f>SUMIF(100:100,E32,101:101)-SUMIF(100:100,C32,101:101)+100</f>
        <v>100</v>
      </c>
      <c r="G32" s="2825"/>
      <c r="H32" s="3736">
        <f>SUMIF(100:100,G32,101:101)-SUMIF(100:100,C32,101:101)+100</f>
        <v>100</v>
      </c>
      <c r="I32" s="2868"/>
      <c r="J32" s="3729">
        <f>SUMIF(100:100,I32,101:101)-SUMIF(100:100,C32,101:101)+100</f>
        <v>100</v>
      </c>
      <c r="K32" s="2804"/>
      <c r="L32" s="1980"/>
      <c r="M32" s="1975"/>
      <c r="N32" s="1975"/>
      <c r="O32" s="1975"/>
      <c r="P32" s="4509" t="s">
        <v>1606</v>
      </c>
      <c r="Q32" s="1507" t="str">
        <f t="shared" si="11"/>
        <v>建筑类型</v>
      </c>
      <c r="R32" s="3739" t="s">
        <v>16</v>
      </c>
      <c r="S32" s="3158">
        <f t="shared" si="12"/>
        <v>100</v>
      </c>
      <c r="T32" s="3739" t="s">
        <v>16</v>
      </c>
      <c r="U32" s="3158">
        <f t="shared" si="13"/>
        <v>100</v>
      </c>
      <c r="V32" s="3739" t="s">
        <v>16</v>
      </c>
      <c r="W32" s="3158">
        <f t="shared" si="14"/>
        <v>100</v>
      </c>
      <c r="X32" s="910"/>
      <c r="Y32" s="4512" t="s">
        <v>1606</v>
      </c>
      <c r="Z32" s="908" t="str">
        <f t="shared" si="18"/>
        <v>建筑类型</v>
      </c>
      <c r="AA32" s="908">
        <f t="shared" si="15"/>
        <v>1</v>
      </c>
      <c r="AB32" s="908">
        <f t="shared" si="16"/>
        <v>1</v>
      </c>
      <c r="AC32" s="908">
        <f t="shared" si="17"/>
        <v>1</v>
      </c>
    </row>
    <row r="33" spans="1:29" s="279" customFormat="1" ht="15">
      <c r="A33" s="277"/>
      <c r="B33" s="2790" t="s">
        <v>1607</v>
      </c>
      <c r="C33" s="2883"/>
      <c r="D33" s="2889">
        <v>100</v>
      </c>
      <c r="E33" s="2843"/>
      <c r="F33" s="3723" t="e">
        <f>LOOKUP(E33,103:103,104:104)-LOOKUP(C33,103:103,104:104)+100</f>
        <v>#N/A</v>
      </c>
      <c r="G33" s="2815"/>
      <c r="H33" s="3735" t="e">
        <f>LOOKUP(G33,103:103,104:104)-LOOKUP(C33,103:103,104:104)+100</f>
        <v>#N/A</v>
      </c>
      <c r="I33" s="2843"/>
      <c r="J33" s="3735" t="e">
        <f>LOOKUP(I33,103:103,104:104)-LOOKUP(C33,103:103,104:104)+100</f>
        <v>#N/A</v>
      </c>
      <c r="K33" s="2805"/>
      <c r="L33" s="1979"/>
      <c r="M33" s="1981"/>
      <c r="N33" s="1981"/>
      <c r="O33" s="1981"/>
      <c r="P33" s="4510"/>
      <c r="Q33" s="2865" t="str">
        <f t="shared" si="11"/>
        <v>项目建筑规模</v>
      </c>
      <c r="R33" s="3740" t="s">
        <v>16</v>
      </c>
      <c r="S33" s="3159" t="e">
        <f t="shared" si="12"/>
        <v>#N/A</v>
      </c>
      <c r="T33" s="3740" t="s">
        <v>16</v>
      </c>
      <c r="U33" s="3159" t="e">
        <f t="shared" si="13"/>
        <v>#N/A</v>
      </c>
      <c r="V33" s="3740" t="s">
        <v>16</v>
      </c>
      <c r="W33" s="3159" t="e">
        <f t="shared" si="14"/>
        <v>#N/A</v>
      </c>
      <c r="X33" s="484"/>
      <c r="Y33" s="4512"/>
      <c r="Z33" s="485" t="str">
        <f t="shared" si="18"/>
        <v>项目建筑规模</v>
      </c>
      <c r="AA33" s="908" t="e">
        <f t="shared" si="15"/>
        <v>#N/A</v>
      </c>
      <c r="AB33" s="908" t="e">
        <f t="shared" si="16"/>
        <v>#N/A</v>
      </c>
      <c r="AC33" s="908" t="e">
        <f t="shared" si="17"/>
        <v>#N/A</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0"/>
      <c r="M34" s="1975"/>
      <c r="N34" s="1975"/>
      <c r="O34" s="1975"/>
      <c r="P34" s="4510"/>
      <c r="Q34" s="1507" t="str">
        <f t="shared" si="11"/>
        <v>建筑结构</v>
      </c>
      <c r="R34" s="3739" t="s">
        <v>16</v>
      </c>
      <c r="S34" s="3158">
        <f t="shared" si="12"/>
        <v>100</v>
      </c>
      <c r="T34" s="3739" t="s">
        <v>16</v>
      </c>
      <c r="U34" s="3158">
        <f t="shared" si="13"/>
        <v>100</v>
      </c>
      <c r="V34" s="3739" t="s">
        <v>16</v>
      </c>
      <c r="W34" s="3158">
        <f t="shared" si="14"/>
        <v>100</v>
      </c>
      <c r="X34" s="910"/>
      <c r="Y34" s="4512"/>
      <c r="Z34" s="908" t="str">
        <f t="shared" si="18"/>
        <v>建筑结构</v>
      </c>
      <c r="AA34" s="908">
        <f t="shared" si="15"/>
        <v>1</v>
      </c>
      <c r="AB34" s="908">
        <f t="shared" si="16"/>
        <v>1</v>
      </c>
      <c r="AC34" s="908">
        <f t="shared" si="17"/>
        <v>1</v>
      </c>
    </row>
    <row r="35" spans="1:29" ht="15">
      <c r="A35" s="280"/>
      <c r="B35" s="2790" t="s">
        <v>1609</v>
      </c>
      <c r="C35" s="2827"/>
      <c r="D35" s="2891">
        <v>100</v>
      </c>
      <c r="E35" s="2870"/>
      <c r="F35" s="3732">
        <f>SUMIF(107:107,E35,108:108)-SUMIF(107:107,C35,108:108)+100</f>
        <v>100</v>
      </c>
      <c r="G35" s="2827"/>
      <c r="H35" s="3729">
        <f>SUMIF(107:107,G35,108:108)-SUMIF(107:107,C35,108:108)+100</f>
        <v>100</v>
      </c>
      <c r="I35" s="2870"/>
      <c r="J35" s="3729">
        <f>SUMIF(107:107,I35,108:108)-SUMIF(107:107,C35,108:108)+100</f>
        <v>100</v>
      </c>
      <c r="K35" s="2804"/>
      <c r="L35" s="1980"/>
      <c r="M35" s="1975"/>
      <c r="N35" s="1975"/>
      <c r="O35" s="1975"/>
      <c r="P35" s="4510"/>
      <c r="Q35" s="1507" t="str">
        <f t="shared" si="11"/>
        <v>建筑品质</v>
      </c>
      <c r="R35" s="3739" t="s">
        <v>16</v>
      </c>
      <c r="S35" s="3158">
        <f t="shared" si="12"/>
        <v>100</v>
      </c>
      <c r="T35" s="3739" t="s">
        <v>16</v>
      </c>
      <c r="U35" s="3158">
        <f t="shared" si="13"/>
        <v>100</v>
      </c>
      <c r="V35" s="3739" t="s">
        <v>16</v>
      </c>
      <c r="W35" s="3158">
        <f t="shared" si="14"/>
        <v>100</v>
      </c>
      <c r="X35" s="910"/>
      <c r="Y35" s="4512"/>
      <c r="Z35" s="908" t="str">
        <f t="shared" si="18"/>
        <v>建筑品质</v>
      </c>
      <c r="AA35" s="908">
        <f t="shared" si="15"/>
        <v>1</v>
      </c>
      <c r="AB35" s="908">
        <f t="shared" si="16"/>
        <v>1</v>
      </c>
      <c r="AC35" s="908">
        <f t="shared" si="17"/>
        <v>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0"/>
      <c r="M36" s="1975"/>
      <c r="N36" s="1975"/>
      <c r="O36" s="1975"/>
      <c r="P36" s="4510"/>
      <c r="Q36" s="1507" t="str">
        <f t="shared" si="11"/>
        <v>公共部分装修</v>
      </c>
      <c r="R36" s="3739" t="s">
        <v>16</v>
      </c>
      <c r="S36" s="3158">
        <f t="shared" si="12"/>
        <v>100</v>
      </c>
      <c r="T36" s="3739" t="s">
        <v>16</v>
      </c>
      <c r="U36" s="3158">
        <f t="shared" si="13"/>
        <v>100</v>
      </c>
      <c r="V36" s="3739" t="s">
        <v>16</v>
      </c>
      <c r="W36" s="3158">
        <f t="shared" si="14"/>
        <v>100</v>
      </c>
      <c r="X36" s="910"/>
      <c r="Y36" s="4512"/>
      <c r="Z36" s="908" t="str">
        <f t="shared" si="18"/>
        <v>公共部分装修</v>
      </c>
      <c r="AA36" s="908">
        <f t="shared" si="15"/>
        <v>1</v>
      </c>
      <c r="AB36" s="908">
        <f t="shared" si="16"/>
        <v>1</v>
      </c>
      <c r="AC36" s="908">
        <f t="shared" si="17"/>
        <v>1</v>
      </c>
    </row>
    <row r="37" spans="1:29" s="46" customFormat="1" ht="15">
      <c r="A37" s="281"/>
      <c r="B37" s="2790" t="s">
        <v>1611</v>
      </c>
      <c r="C37" s="2828"/>
      <c r="D37" s="2889">
        <v>100</v>
      </c>
      <c r="E37" s="2828"/>
      <c r="F37" s="3723" t="e">
        <f>LOOKUP(E37,112:112,113:113)-LOOKUP(C37,112:112,113:113)+100</f>
        <v>#N/A</v>
      </c>
      <c r="G37" s="2876"/>
      <c r="H37" s="3735" t="e">
        <f>LOOKUP(G37,112:112,113:113)-LOOKUP(C37,112:112,113:113)+100</f>
        <v>#N/A</v>
      </c>
      <c r="I37" s="2877"/>
      <c r="J37" s="3735" t="e">
        <f>LOOKUP(I37,112:112,113:113)-LOOKUP(C37,112:112,113:113)+100</f>
        <v>#N/A</v>
      </c>
      <c r="K37" s="2804"/>
      <c r="L37" s="1976"/>
      <c r="M37" s="1929"/>
      <c r="N37" s="1929"/>
      <c r="O37" s="1929"/>
      <c r="P37" s="4510"/>
      <c r="Q37" s="1698" t="str">
        <f t="shared" si="11"/>
        <v>成新度</v>
      </c>
      <c r="R37" s="3637" t="s">
        <v>16</v>
      </c>
      <c r="S37" s="3157" t="e">
        <f t="shared" si="12"/>
        <v>#N/A</v>
      </c>
      <c r="T37" s="3637" t="s">
        <v>16</v>
      </c>
      <c r="U37" s="3157" t="e">
        <f t="shared" si="13"/>
        <v>#N/A</v>
      </c>
      <c r="V37" s="3637" t="s">
        <v>16</v>
      </c>
      <c r="W37" s="3157" t="e">
        <f t="shared" si="14"/>
        <v>#N/A</v>
      </c>
      <c r="X37" s="482"/>
      <c r="Y37" s="4512"/>
      <c r="Z37" s="28" t="str">
        <f t="shared" si="18"/>
        <v>成新度</v>
      </c>
      <c r="AA37" s="28" t="e">
        <f t="shared" si="15"/>
        <v>#N/A</v>
      </c>
      <c r="AB37" s="28" t="e">
        <f t="shared" si="16"/>
        <v>#N/A</v>
      </c>
      <c r="AC37" s="28" t="e">
        <f t="shared" si="17"/>
        <v>#N/A</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0"/>
      <c r="M38" s="1975"/>
      <c r="N38" s="1975"/>
      <c r="O38" s="1975"/>
      <c r="P38" s="4510" t="s">
        <v>1606</v>
      </c>
      <c r="Q38" s="1507" t="str">
        <f t="shared" si="11"/>
        <v>物业管理</v>
      </c>
      <c r="R38" s="3739" t="s">
        <v>16</v>
      </c>
      <c r="S38" s="3158">
        <f t="shared" si="12"/>
        <v>100</v>
      </c>
      <c r="T38" s="3739" t="s">
        <v>16</v>
      </c>
      <c r="U38" s="3158">
        <f t="shared" si="13"/>
        <v>100</v>
      </c>
      <c r="V38" s="3739" t="s">
        <v>16</v>
      </c>
      <c r="W38" s="3158">
        <f t="shared" si="14"/>
        <v>100</v>
      </c>
      <c r="X38" s="910"/>
      <c r="Y38" s="4512" t="s">
        <v>1606</v>
      </c>
      <c r="Z38" s="908" t="str">
        <f t="shared" si="18"/>
        <v>物业管理</v>
      </c>
      <c r="AA38" s="908">
        <f t="shared" si="15"/>
        <v>1</v>
      </c>
      <c r="AB38" s="908">
        <f t="shared" si="16"/>
        <v>1</v>
      </c>
      <c r="AC38" s="908">
        <f t="shared" si="17"/>
        <v>1</v>
      </c>
    </row>
    <row r="39" spans="1:29" ht="15">
      <c r="A39" s="280"/>
      <c r="B39" s="2790" t="s">
        <v>1613</v>
      </c>
      <c r="C39" s="2827"/>
      <c r="D39" s="2891">
        <v>100</v>
      </c>
      <c r="E39" s="2870"/>
      <c r="F39" s="3732">
        <f>SUMIF(116:116,E39,117:117)-SUMIF(116:116,C39,117:117)+100</f>
        <v>100</v>
      </c>
      <c r="G39" s="2827"/>
      <c r="H39" s="3729">
        <f>SUMIF(116:116,G39,117:117)-SUMIF(116:116,C39,117:117)+100</f>
        <v>100</v>
      </c>
      <c r="I39" s="2870"/>
      <c r="J39" s="3729">
        <f>SUMIF(116:116,I39,117:117)-SUMIF(116:116,C39,117:117)+100</f>
        <v>100</v>
      </c>
      <c r="K39" s="2804"/>
      <c r="L39" s="1980"/>
      <c r="M39" s="1975"/>
      <c r="N39" s="1975"/>
      <c r="O39" s="1975"/>
      <c r="P39" s="4510"/>
      <c r="Q39" s="1507" t="str">
        <f t="shared" si="11"/>
        <v>市政基础设施</v>
      </c>
      <c r="R39" s="3739" t="s">
        <v>16</v>
      </c>
      <c r="S39" s="3158">
        <f t="shared" si="12"/>
        <v>100</v>
      </c>
      <c r="T39" s="3739" t="s">
        <v>16</v>
      </c>
      <c r="U39" s="3158">
        <f t="shared" si="13"/>
        <v>100</v>
      </c>
      <c r="V39" s="3739" t="s">
        <v>16</v>
      </c>
      <c r="W39" s="3158">
        <f t="shared" si="14"/>
        <v>100</v>
      </c>
      <c r="X39" s="910"/>
      <c r="Y39" s="4512"/>
      <c r="Z39" s="908" t="str">
        <f t="shared" si="18"/>
        <v>市政基础设施</v>
      </c>
      <c r="AA39" s="908">
        <f t="shared" si="15"/>
        <v>1</v>
      </c>
      <c r="AB39" s="908">
        <f t="shared" si="16"/>
        <v>1</v>
      </c>
      <c r="AC39" s="908">
        <f t="shared" si="17"/>
        <v>1</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0"/>
      <c r="M40" s="1975"/>
      <c r="N40" s="1975"/>
      <c r="O40" s="1975"/>
      <c r="P40" s="4510"/>
      <c r="Q40" s="1507" t="str">
        <f t="shared" si="11"/>
        <v>房型</v>
      </c>
      <c r="R40" s="3739" t="s">
        <v>16</v>
      </c>
      <c r="S40" s="3158">
        <f t="shared" si="12"/>
        <v>100</v>
      </c>
      <c r="T40" s="3739" t="s">
        <v>16</v>
      </c>
      <c r="U40" s="3158">
        <f t="shared" si="13"/>
        <v>100</v>
      </c>
      <c r="V40" s="3739" t="s">
        <v>16</v>
      </c>
      <c r="W40" s="3158">
        <f t="shared" si="14"/>
        <v>100</v>
      </c>
      <c r="X40" s="910"/>
      <c r="Y40" s="4512"/>
      <c r="Z40" s="908" t="str">
        <f t="shared" si="18"/>
        <v>房型</v>
      </c>
      <c r="AA40" s="908">
        <f t="shared" si="15"/>
        <v>1</v>
      </c>
      <c r="AB40" s="908">
        <f t="shared" si="16"/>
        <v>1</v>
      </c>
      <c r="AC40" s="908">
        <f t="shared" si="17"/>
        <v>1</v>
      </c>
    </row>
    <row r="41" spans="1:29" s="279" customFormat="1" ht="28.5">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79"/>
      <c r="M41" s="1981"/>
      <c r="N41" s="1981"/>
      <c r="O41" s="1981"/>
      <c r="P41" s="4510"/>
      <c r="Q41" s="2865" t="str">
        <f t="shared" si="11"/>
        <v>单套/主力户型建筑面积</v>
      </c>
      <c r="R41" s="3740" t="s">
        <v>16</v>
      </c>
      <c r="S41" s="3159">
        <f t="shared" si="12"/>
        <v>100</v>
      </c>
      <c r="T41" s="3740" t="s">
        <v>16</v>
      </c>
      <c r="U41" s="3159">
        <f t="shared" si="13"/>
        <v>100</v>
      </c>
      <c r="V41" s="3740" t="s">
        <v>16</v>
      </c>
      <c r="W41" s="3159">
        <f t="shared" si="14"/>
        <v>100</v>
      </c>
      <c r="X41" s="484"/>
      <c r="Y41" s="4512"/>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0"/>
      <c r="M42" s="1975"/>
      <c r="N42" s="1975"/>
      <c r="O42" s="1975"/>
      <c r="P42" s="4510"/>
      <c r="Q42" s="1507" t="str">
        <f t="shared" si="11"/>
        <v>内部装修</v>
      </c>
      <c r="R42" s="3739" t="s">
        <v>16</v>
      </c>
      <c r="S42" s="3158">
        <f t="shared" si="12"/>
        <v>100</v>
      </c>
      <c r="T42" s="3739" t="s">
        <v>16</v>
      </c>
      <c r="U42" s="3158">
        <f t="shared" si="13"/>
        <v>100</v>
      </c>
      <c r="V42" s="3739" t="s">
        <v>16</v>
      </c>
      <c r="W42" s="3158">
        <f t="shared" si="14"/>
        <v>100</v>
      </c>
      <c r="X42" s="910"/>
      <c r="Y42" s="4512"/>
      <c r="Z42" s="908" t="str">
        <f t="shared" si="18"/>
        <v>内部装修</v>
      </c>
      <c r="AA42" s="908">
        <f t="shared" si="15"/>
        <v>1</v>
      </c>
      <c r="AB42" s="908">
        <f t="shared" si="16"/>
        <v>1</v>
      </c>
      <c r="AC42" s="908">
        <f t="shared" si="17"/>
        <v>1</v>
      </c>
    </row>
    <row r="43" spans="1:29" ht="15">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0"/>
      <c r="M43" s="1975"/>
      <c r="N43" s="1975"/>
      <c r="O43" s="1975"/>
      <c r="P43" s="4510"/>
      <c r="Q43" s="1507" t="str">
        <f t="shared" si="11"/>
        <v>内部装修维护情况</v>
      </c>
      <c r="R43" s="3739" t="s">
        <v>16</v>
      </c>
      <c r="S43" s="3158">
        <f t="shared" si="12"/>
        <v>100</v>
      </c>
      <c r="T43" s="3739" t="s">
        <v>16</v>
      </c>
      <c r="U43" s="3158">
        <f t="shared" si="13"/>
        <v>100</v>
      </c>
      <c r="V43" s="3739" t="s">
        <v>16</v>
      </c>
      <c r="W43" s="3158">
        <f t="shared" si="14"/>
        <v>100</v>
      </c>
      <c r="X43" s="910"/>
      <c r="Y43" s="4512"/>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6"/>
      <c r="M44" s="1929"/>
      <c r="N44" s="1929"/>
      <c r="O44" s="1929"/>
      <c r="P44" s="4510"/>
      <c r="Q44" s="1698">
        <f t="shared" si="11"/>
        <v>111</v>
      </c>
      <c r="R44" s="3637" t="s">
        <v>16</v>
      </c>
      <c r="S44" s="3157">
        <f t="shared" si="12"/>
        <v>100</v>
      </c>
      <c r="T44" s="3637" t="s">
        <v>16</v>
      </c>
      <c r="U44" s="3157">
        <f t="shared" si="13"/>
        <v>100</v>
      </c>
      <c r="V44" s="3637" t="s">
        <v>16</v>
      </c>
      <c r="W44" s="3157">
        <f t="shared" si="14"/>
        <v>100</v>
      </c>
      <c r="X44" s="482"/>
      <c r="Y44" s="4512"/>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0"/>
      <c r="M45" s="1975"/>
      <c r="N45" s="1975"/>
      <c r="O45" s="1975"/>
      <c r="P45" s="4510"/>
      <c r="Q45" s="1507">
        <f t="shared" si="11"/>
        <v>111</v>
      </c>
      <c r="R45" s="3739" t="s">
        <v>16</v>
      </c>
      <c r="S45" s="3158">
        <f t="shared" si="12"/>
        <v>100</v>
      </c>
      <c r="T45" s="3739" t="s">
        <v>16</v>
      </c>
      <c r="U45" s="3158">
        <f t="shared" si="13"/>
        <v>100</v>
      </c>
      <c r="V45" s="3739" t="s">
        <v>16</v>
      </c>
      <c r="W45" s="3158">
        <f t="shared" si="14"/>
        <v>100</v>
      </c>
      <c r="X45" s="910"/>
      <c r="Y45" s="4512"/>
      <c r="Z45" s="908">
        <f t="shared" si="18"/>
        <v>111</v>
      </c>
      <c r="AA45" s="908">
        <f t="shared" si="15"/>
        <v>1</v>
      </c>
      <c r="AB45" s="908">
        <f t="shared" si="16"/>
        <v>1</v>
      </c>
      <c r="AC45" s="908">
        <f t="shared" si="17"/>
        <v>1</v>
      </c>
    </row>
    <row r="46" spans="1:29" ht="15.75"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0"/>
      <c r="M46" s="1975"/>
      <c r="N46" s="1975"/>
      <c r="O46" s="1975"/>
      <c r="P46" s="4511"/>
      <c r="Q46" s="1507">
        <f t="shared" si="11"/>
        <v>111</v>
      </c>
      <c r="R46" s="3739" t="s">
        <v>15</v>
      </c>
      <c r="S46" s="3158">
        <f t="shared" si="12"/>
        <v>100</v>
      </c>
      <c r="T46" s="3739" t="s">
        <v>15</v>
      </c>
      <c r="U46" s="3158">
        <f t="shared" si="13"/>
        <v>100</v>
      </c>
      <c r="V46" s="3739" t="s">
        <v>15</v>
      </c>
      <c r="W46" s="3158">
        <f t="shared" si="14"/>
        <v>100</v>
      </c>
      <c r="X46" s="910"/>
      <c r="Y46" s="4513"/>
      <c r="Z46" s="908">
        <f t="shared" si="18"/>
        <v>111</v>
      </c>
      <c r="AA46" s="908">
        <f t="shared" si="15"/>
        <v>1</v>
      </c>
      <c r="AB46" s="908">
        <f t="shared" si="16"/>
        <v>1</v>
      </c>
      <c r="AC46" s="908">
        <f t="shared" si="17"/>
        <v>1</v>
      </c>
    </row>
    <row r="47" spans="1:29" ht="15">
      <c r="A47" s="286" t="s">
        <v>1618</v>
      </c>
      <c r="B47" s="287"/>
      <c r="C47" s="765" t="s">
        <v>14</v>
      </c>
      <c r="D47" s="288"/>
      <c r="E47" s="3206"/>
      <c r="F47" s="766"/>
      <c r="G47" s="3207"/>
      <c r="H47" s="767"/>
      <c r="I47" s="3206"/>
      <c r="J47" s="767"/>
      <c r="K47" s="2809"/>
      <c r="L47" s="1982"/>
      <c r="M47" s="1975"/>
      <c r="N47" s="1975"/>
      <c r="O47" s="1975"/>
      <c r="P47" s="4514" t="str">
        <f>A47</f>
        <v>成交单价（元/平方米）</v>
      </c>
      <c r="Q47" s="4514"/>
      <c r="R47" s="4515">
        <f>E47</f>
        <v>0</v>
      </c>
      <c r="S47" s="4515"/>
      <c r="T47" s="4515">
        <f>G47</f>
        <v>0</v>
      </c>
      <c r="U47" s="4515"/>
      <c r="V47" s="4515">
        <f>I47</f>
        <v>0</v>
      </c>
      <c r="W47" s="4515"/>
      <c r="X47" s="265"/>
      <c r="Y47" s="486"/>
      <c r="Z47" s="265"/>
      <c r="AA47" s="265"/>
      <c r="AB47" s="265"/>
      <c r="AC47" s="265"/>
    </row>
    <row r="48" spans="1:29" ht="15.75" thickBot="1">
      <c r="A48" s="289" t="s">
        <v>1619</v>
      </c>
      <c r="B48" s="290"/>
      <c r="C48" s="3737" t="e">
        <f>R49</f>
        <v>#DIV/0!</v>
      </c>
      <c r="D48" s="3849" t="s">
        <v>2045</v>
      </c>
      <c r="E48" s="2886" t="e">
        <f>R48</f>
        <v>#DIV/0!</v>
      </c>
      <c r="F48" s="2802"/>
      <c r="G48" s="2885" t="e">
        <f>T48</f>
        <v>#DIV/0!</v>
      </c>
      <c r="H48" s="2802"/>
      <c r="I48" s="2886" t="e">
        <f>V48</f>
        <v>#DIV/0!</v>
      </c>
      <c r="J48" s="2802"/>
      <c r="K48" s="2856">
        <f>F48+H48+J48</f>
        <v>0</v>
      </c>
      <c r="L48" s="1982"/>
      <c r="M48" s="1975"/>
      <c r="N48" s="1975"/>
      <c r="O48" s="1975"/>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265"/>
      <c r="Y48" s="265"/>
      <c r="Z48" s="265"/>
      <c r="AA48" s="265"/>
      <c r="AB48" s="265"/>
      <c r="AC48" s="265"/>
    </row>
    <row r="49" spans="1:29" ht="15.75" thickBot="1">
      <c r="A49" s="291" t="s">
        <v>1620</v>
      </c>
      <c r="B49" s="292"/>
      <c r="C49" s="3738" t="e">
        <f>R49</f>
        <v>#DIV/0!</v>
      </c>
      <c r="D49" s="241"/>
      <c r="E49" s="241"/>
      <c r="F49" s="241"/>
      <c r="G49" s="241"/>
      <c r="H49" s="241"/>
      <c r="I49" s="241"/>
      <c r="J49" s="241"/>
      <c r="K49" s="1372"/>
      <c r="L49" s="1982"/>
      <c r="M49" s="1975"/>
      <c r="N49" s="1975"/>
      <c r="O49" s="1975"/>
      <c r="P49" s="4574" t="str">
        <f>A49</f>
        <v>估价对象XX用房的比较价值（楼面单价，元/平方米）</v>
      </c>
      <c r="Q49" s="4575"/>
      <c r="R49" s="4576" t="e">
        <f>IF(F1="售价",ROUND(IF(D48="简单平均",AVERAGE(R48:V48),R48*F48+T48*H48+V48*J48),0),ROUND(IF(D48="简单平均",AVERAGE(R48:V48),R48*F48+T48*H48+V48*J48),1))</f>
        <v>#DIV/0!</v>
      </c>
      <c r="S49" s="4576"/>
      <c r="T49" s="4576"/>
      <c r="U49" s="4576"/>
      <c r="V49" s="4576"/>
      <c r="W49" s="457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3885</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估价对象为北京市房地产，为所有。根据《国有土地使用证》[]，估价对象（分摊）出让国有建设用地使用权面积为0平方米，建筑面积为109.4平方米。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估价对象为北京市房地产,属开发建设的办公项目，该项目尚在开发建设中。根据《国有土地使用证》[]，估价对象（分摊）出让国有建设用地使用权面积为0平方米，规划建筑面积为109.4平方米。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2026年1月29日（评估专业人员实地查勘之日）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5"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1">
        <f>IF(E2="——",C49,ROUND(B2*10000/D3,0))</f>
        <v>0</v>
      </c>
      <c r="C3" s="234" t="s">
        <v>1678</v>
      </c>
      <c r="D3" s="2881">
        <f>IF(D1="",'数据-汇总表'!E3,SUMIF('数据-汇总表'!$C19:$C33,D1,'数据-汇总表'!$E19:$E33))</f>
        <v>109.4</v>
      </c>
      <c r="E3" s="3850" t="s">
        <v>3483</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63" t="s">
        <v>1680</v>
      </c>
      <c r="D4" s="4564"/>
      <c r="E4" s="4565" t="s">
        <v>1681</v>
      </c>
      <c r="F4" s="4566"/>
      <c r="G4" s="4563" t="s">
        <v>1682</v>
      </c>
      <c r="H4" s="4564"/>
      <c r="I4" s="4563" t="s">
        <v>1683</v>
      </c>
      <c r="J4" s="4564"/>
      <c r="K4" s="2864" t="s">
        <v>1684</v>
      </c>
      <c r="L4" s="1974"/>
      <c r="M4" s="1975"/>
      <c r="N4" s="1975"/>
      <c r="O4" s="1975"/>
      <c r="P4" s="4567" t="s">
        <v>1685</v>
      </c>
      <c r="Q4" s="4568"/>
      <c r="R4" s="4553" t="s">
        <v>1681</v>
      </c>
      <c r="S4" s="4554"/>
      <c r="T4" s="4553" t="s">
        <v>1682</v>
      </c>
      <c r="U4" s="4554"/>
      <c r="V4" s="4495" t="s">
        <v>1683</v>
      </c>
      <c r="W4" s="4495"/>
      <c r="X4" s="910"/>
      <c r="Y4" s="4572" t="s">
        <v>1685</v>
      </c>
      <c r="Z4" s="4573"/>
      <c r="AA4" s="4552" t="s">
        <v>1681</v>
      </c>
      <c r="AB4" s="4577" t="s">
        <v>1682</v>
      </c>
      <c r="AC4" s="4552" t="s">
        <v>1683</v>
      </c>
    </row>
    <row r="5" spans="1:29" ht="15">
      <c r="A5" s="238"/>
      <c r="B5" s="239"/>
      <c r="C5" s="4557" t="s">
        <v>1583</v>
      </c>
      <c r="D5" s="4558"/>
      <c r="E5" s="4555" t="s">
        <v>1584</v>
      </c>
      <c r="F5" s="4556"/>
      <c r="G5" s="4557" t="s">
        <v>1585</v>
      </c>
      <c r="H5" s="4558"/>
      <c r="I5" s="4557" t="s">
        <v>1586</v>
      </c>
      <c r="J5" s="4558"/>
      <c r="K5" s="2864"/>
      <c r="L5" s="1974"/>
      <c r="M5" s="1975"/>
      <c r="N5" s="1975"/>
      <c r="O5" s="1975"/>
      <c r="P5" s="4569"/>
      <c r="Q5" s="4489"/>
      <c r="R5" s="4469"/>
      <c r="S5" s="4470"/>
      <c r="T5" s="4469"/>
      <c r="U5" s="4470"/>
      <c r="V5" s="4495"/>
      <c r="W5" s="4495"/>
      <c r="X5" s="910"/>
      <c r="Y5" s="4500"/>
      <c r="Z5" s="4501"/>
      <c r="AA5" s="4463"/>
      <c r="AB5" s="4577"/>
      <c r="AC5" s="4463"/>
    </row>
    <row r="6" spans="1:29" ht="15.75" thickBot="1">
      <c r="A6" s="240"/>
      <c r="B6" s="241"/>
      <c r="C6" s="4559" t="s">
        <v>1587</v>
      </c>
      <c r="D6" s="4560"/>
      <c r="E6" s="4561" t="s">
        <v>1587</v>
      </c>
      <c r="F6" s="4562"/>
      <c r="G6" s="4559" t="s">
        <v>1587</v>
      </c>
      <c r="H6" s="4560"/>
      <c r="I6" s="4559" t="s">
        <v>1587</v>
      </c>
      <c r="J6" s="4560"/>
      <c r="K6" s="2864" t="s">
        <v>1588</v>
      </c>
      <c r="L6" s="1974"/>
      <c r="M6" s="1975"/>
      <c r="N6" s="1975"/>
      <c r="O6" s="1975"/>
      <c r="P6" s="4570"/>
      <c r="Q6" s="4491"/>
      <c r="R6" s="4469"/>
      <c r="S6" s="4470"/>
      <c r="T6" s="4492"/>
      <c r="U6" s="4493"/>
      <c r="V6" s="4495"/>
      <c r="W6" s="4495"/>
      <c r="X6" s="910"/>
      <c r="Y6" s="4502"/>
      <c r="Z6" s="4503"/>
      <c r="AA6" s="4464"/>
      <c r="AB6" s="4577"/>
      <c r="AC6" s="4464"/>
    </row>
    <row r="7" spans="1:29" s="46" customFormat="1" ht="15.75" thickBot="1">
      <c r="A7" s="242" t="s">
        <v>1589</v>
      </c>
      <c r="B7" s="243"/>
      <c r="C7" s="244">
        <f>'数据-取费表'!B2</f>
        <v>46051</v>
      </c>
      <c r="D7" s="2887">
        <v>100</v>
      </c>
      <c r="E7" s="2841"/>
      <c r="F7" s="3721">
        <f>SUMIF(58:58,YEAR(E7)&amp;"-"&amp;MONTH(E7),59:59)</f>
        <v>0</v>
      </c>
      <c r="G7" s="2841"/>
      <c r="H7" s="3733">
        <f>SUMIF(58:58,YEAR(G7)&amp;"-"&amp;MONTH(G7),59:59)</f>
        <v>0</v>
      </c>
      <c r="I7" s="2841"/>
      <c r="J7" s="3733">
        <f>SUMIF(58:58,YEAR(I7)&amp;"-"&amp;MONTH(I7),59:59)</f>
        <v>0</v>
      </c>
      <c r="K7" s="2857"/>
      <c r="L7" s="1976"/>
      <c r="M7" s="1929"/>
      <c r="N7" s="1929"/>
      <c r="O7" s="1929"/>
      <c r="P7" s="4571" t="s">
        <v>1590</v>
      </c>
      <c r="Q7" s="4504"/>
      <c r="R7" s="3637" t="s">
        <v>13</v>
      </c>
      <c r="S7" s="3157">
        <f t="shared" ref="S7:S15" si="0">F7</f>
        <v>0</v>
      </c>
      <c r="T7" s="3637" t="s">
        <v>13</v>
      </c>
      <c r="U7" s="3157">
        <f t="shared" ref="U7:U15" si="1">H7</f>
        <v>0</v>
      </c>
      <c r="V7" s="3637" t="s">
        <v>13</v>
      </c>
      <c r="W7" s="3157">
        <f t="shared" ref="W7:W15" si="2">J7</f>
        <v>0</v>
      </c>
      <c r="X7" s="482"/>
      <c r="Y7" s="4465" t="s">
        <v>1590</v>
      </c>
      <c r="Z7" s="4466"/>
      <c r="AA7" s="28" t="e">
        <f>D7/F7</f>
        <v>#DIV/0!</v>
      </c>
      <c r="AB7" s="28" t="e">
        <f>D7/H7</f>
        <v>#DIV/0!</v>
      </c>
      <c r="AC7" s="28" t="e">
        <f>D7/J7</f>
        <v>#DIV/0!</v>
      </c>
    </row>
    <row r="8" spans="1:29" s="46" customFormat="1" ht="15.7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6"/>
      <c r="M8" s="1929"/>
      <c r="N8" s="1929"/>
      <c r="O8" s="1929"/>
      <c r="P8" s="4571" t="s">
        <v>1593</v>
      </c>
      <c r="Q8" s="4497"/>
      <c r="R8" s="3637" t="s">
        <v>13</v>
      </c>
      <c r="S8" s="3157">
        <f t="shared" si="0"/>
        <v>100</v>
      </c>
      <c r="T8" s="3637" t="s">
        <v>13</v>
      </c>
      <c r="U8" s="3157">
        <f t="shared" si="1"/>
        <v>100</v>
      </c>
      <c r="V8" s="3637" t="s">
        <v>13</v>
      </c>
      <c r="W8" s="3157">
        <f t="shared" si="2"/>
        <v>100</v>
      </c>
      <c r="X8" s="482"/>
      <c r="Y8" s="4465" t="s">
        <v>1593</v>
      </c>
      <c r="Z8" s="4466"/>
      <c r="AA8" s="28">
        <f t="shared" ref="AA8:AA46" si="3">D8/F8</f>
        <v>1</v>
      </c>
      <c r="AB8" s="28">
        <f t="shared" ref="AB8:AB46" si="4">D8/H8</f>
        <v>1</v>
      </c>
      <c r="AC8" s="28">
        <f t="shared" ref="AC8:AC46" si="5">D8/J8</f>
        <v>1</v>
      </c>
    </row>
    <row r="9" spans="1:29" s="46" customFormat="1">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79"/>
      <c r="M11" s="1975"/>
      <c r="N11" s="1975"/>
      <c r="O11" s="1975"/>
      <c r="P11" s="4477"/>
      <c r="Q11" s="1698" t="str">
        <f t="shared" si="6"/>
        <v>容积率</v>
      </c>
      <c r="R11" s="3637" t="s">
        <v>13</v>
      </c>
      <c r="S11" s="3157">
        <f t="shared" si="0"/>
        <v>100</v>
      </c>
      <c r="T11" s="3637" t="s">
        <v>13</v>
      </c>
      <c r="U11" s="3157">
        <f t="shared" si="1"/>
        <v>100</v>
      </c>
      <c r="V11" s="3637" t="s">
        <v>13</v>
      </c>
      <c r="W11" s="3157">
        <f t="shared" si="2"/>
        <v>100</v>
      </c>
      <c r="X11" s="482"/>
      <c r="Y11" s="4478"/>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6"/>
      <c r="M12" s="1929"/>
      <c r="N12" s="1929"/>
      <c r="O12" s="1929"/>
      <c r="P12" s="4477"/>
      <c r="Q12" s="1698">
        <f t="shared" si="6"/>
        <v>111</v>
      </c>
      <c r="R12" s="3637" t="s">
        <v>13</v>
      </c>
      <c r="S12" s="3157">
        <f t="shared" si="0"/>
        <v>100</v>
      </c>
      <c r="T12" s="3637" t="s">
        <v>13</v>
      </c>
      <c r="U12" s="3157">
        <f t="shared" si="1"/>
        <v>100</v>
      </c>
      <c r="V12" s="3637" t="s">
        <v>13</v>
      </c>
      <c r="W12" s="3157">
        <f t="shared" si="2"/>
        <v>100</v>
      </c>
      <c r="X12" s="482"/>
      <c r="Y12" s="4478"/>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0"/>
      <c r="M13" s="1975"/>
      <c r="N13" s="1975"/>
      <c r="O13" s="1975"/>
      <c r="P13" s="4477"/>
      <c r="Q13" s="1698">
        <f t="shared" si="6"/>
        <v>111</v>
      </c>
      <c r="R13" s="3637" t="s">
        <v>13</v>
      </c>
      <c r="S13" s="3157">
        <f t="shared" si="0"/>
        <v>100</v>
      </c>
      <c r="T13" s="3637" t="s">
        <v>13</v>
      </c>
      <c r="U13" s="3157">
        <f t="shared" si="1"/>
        <v>100</v>
      </c>
      <c r="V13" s="3637" t="s">
        <v>13</v>
      </c>
      <c r="W13" s="3157">
        <f t="shared" si="2"/>
        <v>100</v>
      </c>
      <c r="X13" s="482"/>
      <c r="Y13" s="4478"/>
      <c r="Z13" s="28">
        <f t="shared" si="7"/>
        <v>111</v>
      </c>
      <c r="AA13" s="28">
        <f t="shared" si="3"/>
        <v>1</v>
      </c>
      <c r="AB13" s="28">
        <f t="shared" si="4"/>
        <v>1</v>
      </c>
      <c r="AC13" s="28">
        <f t="shared" si="5"/>
        <v>1</v>
      </c>
    </row>
    <row r="14" spans="1:29" ht="15.75"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0"/>
      <c r="M14" s="1975"/>
      <c r="N14" s="1975"/>
      <c r="O14" s="1975"/>
      <c r="P14" s="4477"/>
      <c r="Q14" s="1698">
        <f t="shared" si="6"/>
        <v>111</v>
      </c>
      <c r="R14" s="3637" t="s">
        <v>13</v>
      </c>
      <c r="S14" s="3157">
        <f t="shared" si="0"/>
        <v>100</v>
      </c>
      <c r="T14" s="3637" t="s">
        <v>13</v>
      </c>
      <c r="U14" s="3157">
        <f t="shared" si="1"/>
        <v>100</v>
      </c>
      <c r="V14" s="3637" t="s">
        <v>13</v>
      </c>
      <c r="W14" s="3157">
        <f t="shared" si="2"/>
        <v>100</v>
      </c>
      <c r="X14" s="482"/>
      <c r="Y14" s="4478"/>
      <c r="Z14" s="28">
        <f t="shared" si="7"/>
        <v>111</v>
      </c>
      <c r="AA14" s="28">
        <f t="shared" si="3"/>
        <v>1</v>
      </c>
      <c r="AB14" s="28">
        <f t="shared" si="4"/>
        <v>1</v>
      </c>
      <c r="AC14" s="28">
        <f t="shared" si="5"/>
        <v>1</v>
      </c>
    </row>
    <row r="15" spans="1:29" ht="71.25">
      <c r="A15" s="262" t="s">
        <v>1600</v>
      </c>
      <c r="B15" s="2796" t="s">
        <v>1687</v>
      </c>
      <c r="C15" s="2820" t="str">
        <f>估价对象房地状况!C4</f>
        <v>估价对象位于XX商圈，周边商业氛围成熟，人流量大，商业繁华度好</v>
      </c>
      <c r="D15" s="2893">
        <v>100</v>
      </c>
      <c r="E15" s="2845"/>
      <c r="F15" s="3743">
        <f>SUMIF(76:76,E16,77:77)-SUMIF(76:76,C16,77:77)+100</f>
        <v>100</v>
      </c>
      <c r="G15" s="2851"/>
      <c r="H15" s="3725">
        <f>SUMIF(76:76,G16,77:77)-SUMIF(76:76,C16,77:77)+100</f>
        <v>100</v>
      </c>
      <c r="I15" s="2845"/>
      <c r="J15" s="3725">
        <f>SUMIF(76:76,I16,77:77)-SUMIF(76:76,C16,77:77)+100</f>
        <v>100</v>
      </c>
      <c r="K15" s="2860"/>
      <c r="L15" s="1980"/>
      <c r="M15" s="1975"/>
      <c r="N15" s="1975"/>
      <c r="O15" s="1975"/>
      <c r="P15" s="4505" t="s">
        <v>1601</v>
      </c>
      <c r="Q15" s="1507" t="str">
        <f t="shared" si="6"/>
        <v>商业繁华度</v>
      </c>
      <c r="R15" s="3739" t="s">
        <v>13</v>
      </c>
      <c r="S15" s="3158">
        <f t="shared" si="0"/>
        <v>100</v>
      </c>
      <c r="T15" s="3739" t="s">
        <v>13</v>
      </c>
      <c r="U15" s="3158">
        <f t="shared" si="1"/>
        <v>100</v>
      </c>
      <c r="V15" s="3739" t="s">
        <v>13</v>
      </c>
      <c r="W15" s="3158">
        <f t="shared" si="2"/>
        <v>100</v>
      </c>
      <c r="X15" s="910"/>
      <c r="Y15" s="4507"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0"/>
      <c r="M16" s="1975"/>
      <c r="N16" s="1975"/>
      <c r="O16" s="1975"/>
      <c r="P16" s="4506"/>
      <c r="Q16" s="1507"/>
      <c r="R16" s="3739"/>
      <c r="S16" s="3158"/>
      <c r="T16" s="3739"/>
      <c r="U16" s="3158"/>
      <c r="V16" s="3739"/>
      <c r="W16" s="3158"/>
      <c r="X16" s="910"/>
      <c r="Y16" s="4508"/>
      <c r="Z16" s="908"/>
      <c r="AA16" s="908">
        <v>1</v>
      </c>
      <c r="AB16" s="908">
        <v>1</v>
      </c>
      <c r="AC16" s="908">
        <v>1</v>
      </c>
    </row>
    <row r="17" spans="1:29" ht="85.5">
      <c r="A17" s="254"/>
      <c r="B17" s="2798" t="s">
        <v>1237</v>
      </c>
      <c r="C17" s="2822" t="str">
        <f>估价对象房地状况!C6</f>
        <v>估价对象周边道路状况、公共交通通达情况、停车便捷程度，综合评价交通便捷度较好</v>
      </c>
      <c r="D17" s="2895">
        <v>100</v>
      </c>
      <c r="E17" s="2846"/>
      <c r="F17" s="3745">
        <f>SUMIF(78:78,E18,79:79)-SUMIF(78:78,C18,79:79)+100</f>
        <v>100</v>
      </c>
      <c r="G17" s="2852"/>
      <c r="H17" s="3728">
        <f>SUMIF(78:78,G18,79:79)-SUMIF(78:78,C18,79:79)+100</f>
        <v>100</v>
      </c>
      <c r="I17" s="2846"/>
      <c r="J17" s="3728">
        <f>SUMIF(78:78,I18,79:79)-SUMIF(78:78,C18,79:79)+100</f>
        <v>100</v>
      </c>
      <c r="K17" s="2860"/>
      <c r="L17" s="1980"/>
      <c r="M17" s="1975"/>
      <c r="N17" s="1975"/>
      <c r="O17" s="1975"/>
      <c r="P17" s="4506"/>
      <c r="Q17" s="1507" t="str">
        <f>B17</f>
        <v>交通便捷度</v>
      </c>
      <c r="R17" s="3739" t="s">
        <v>13</v>
      </c>
      <c r="S17" s="3158">
        <f>F17</f>
        <v>100</v>
      </c>
      <c r="T17" s="3739" t="s">
        <v>13</v>
      </c>
      <c r="U17" s="3158">
        <f>H17</f>
        <v>100</v>
      </c>
      <c r="V17" s="3739" t="s">
        <v>13</v>
      </c>
      <c r="W17" s="3158">
        <f>J17</f>
        <v>100</v>
      </c>
      <c r="X17" s="910"/>
      <c r="Y17" s="4508"/>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0"/>
      <c r="M18" s="1975"/>
      <c r="N18" s="1975"/>
      <c r="O18" s="1975"/>
      <c r="P18" s="4506"/>
      <c r="Q18" s="1507"/>
      <c r="R18" s="3739"/>
      <c r="S18" s="3158"/>
      <c r="T18" s="3739"/>
      <c r="U18" s="3158"/>
      <c r="V18" s="3739"/>
      <c r="W18" s="3158"/>
      <c r="X18" s="910"/>
      <c r="Y18" s="4508"/>
      <c r="Z18" s="908"/>
      <c r="AA18" s="908">
        <v>1</v>
      </c>
      <c r="AB18" s="908">
        <v>1</v>
      </c>
      <c r="AC18" s="908">
        <v>1</v>
      </c>
    </row>
    <row r="19" spans="1:29" ht="42.75">
      <c r="A19" s="254"/>
      <c r="B19" s="2798" t="s">
        <v>1688</v>
      </c>
      <c r="C19" s="2822" t="str">
        <f>估价对象房地状况!C7</f>
        <v>估价对象所在区域公共配套设施齐备情况</v>
      </c>
      <c r="D19" s="2896">
        <v>100</v>
      </c>
      <c r="E19" s="2848"/>
      <c r="F19" s="3746">
        <f>SUMIF(80:80,E20,81:81)-SUMIF(80:80,C20,81:81)+100</f>
        <v>100</v>
      </c>
      <c r="G19" s="2854"/>
      <c r="H19" s="3727">
        <f>SUMIF(80:80,G20,81:81)-SUMIF(80:80,C20,81:81)+100</f>
        <v>100</v>
      </c>
      <c r="I19" s="2848"/>
      <c r="J19" s="3727">
        <f>SUMIF(80:80,I20,81:81)-SUMIF(80:80,C20,81:81)+100</f>
        <v>100</v>
      </c>
      <c r="K19" s="2860"/>
      <c r="L19" s="1980"/>
      <c r="M19" s="1975"/>
      <c r="N19" s="1975"/>
      <c r="O19" s="1975"/>
      <c r="P19" s="4506"/>
      <c r="Q19" s="1507" t="str">
        <f>B19</f>
        <v>公共配套设施</v>
      </c>
      <c r="R19" s="3739" t="s">
        <v>13</v>
      </c>
      <c r="S19" s="3158">
        <f>F19</f>
        <v>100</v>
      </c>
      <c r="T19" s="3739" t="s">
        <v>13</v>
      </c>
      <c r="U19" s="3158">
        <f>H19</f>
        <v>100</v>
      </c>
      <c r="V19" s="3739" t="s">
        <v>13</v>
      </c>
      <c r="W19" s="3158">
        <f>J19</f>
        <v>100</v>
      </c>
      <c r="X19" s="910"/>
      <c r="Y19" s="4508"/>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0"/>
      <c r="M20" s="1975"/>
      <c r="N20" s="1975"/>
      <c r="O20" s="1975"/>
      <c r="P20" s="4506"/>
      <c r="Q20" s="1507"/>
      <c r="R20" s="3739"/>
      <c r="S20" s="3158"/>
      <c r="T20" s="3739"/>
      <c r="U20" s="3158"/>
      <c r="V20" s="3739"/>
      <c r="W20" s="3158"/>
      <c r="X20" s="910"/>
      <c r="Y20" s="4508"/>
      <c r="Z20" s="908"/>
      <c r="AA20" s="908">
        <v>1</v>
      </c>
      <c r="AB20" s="908">
        <v>1</v>
      </c>
      <c r="AC20" s="908">
        <v>1</v>
      </c>
    </row>
    <row r="21" spans="1:29" ht="28.5">
      <c r="A21" s="254"/>
      <c r="B21" s="2800" t="s">
        <v>1689</v>
      </c>
      <c r="C21" s="2822" t="str">
        <f>估价对象房地状况!C8</f>
        <v>估价对象所在区域基础设施水平</v>
      </c>
      <c r="D21" s="2896">
        <v>100</v>
      </c>
      <c r="E21" s="2848"/>
      <c r="F21" s="3746">
        <f>SUMIF(82:82,E22,83:83)-SUMIF(82:82,C22,83:83)+100</f>
        <v>100</v>
      </c>
      <c r="G21" s="2854"/>
      <c r="H21" s="3727">
        <f>SUMIF(82:82,G22,83:83)-SUMIF(82:82,C22,83:83)+100</f>
        <v>100</v>
      </c>
      <c r="I21" s="2848"/>
      <c r="J21" s="3727">
        <f>SUMIF(82:82,I22,83:83)-SUMIF(82:82,C22,83:83)+100</f>
        <v>100</v>
      </c>
      <c r="K21" s="2860"/>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0"/>
      <c r="M22" s="1975"/>
      <c r="N22" s="1975"/>
      <c r="O22" s="1975"/>
      <c r="P22" s="4506"/>
      <c r="Q22" s="1507"/>
      <c r="R22" s="3739"/>
      <c r="S22" s="3158"/>
      <c r="T22" s="3739"/>
      <c r="U22" s="3158"/>
      <c r="V22" s="3739"/>
      <c r="W22" s="3158"/>
      <c r="X22" s="910"/>
      <c r="Y22" s="4508"/>
      <c r="Z22" s="908"/>
      <c r="AA22" s="908">
        <v>1</v>
      </c>
      <c r="AB22" s="908">
        <v>1</v>
      </c>
      <c r="AC22" s="908">
        <v>1</v>
      </c>
    </row>
    <row r="23" spans="1:29" ht="57">
      <c r="A23" s="254"/>
      <c r="B23" s="2798" t="s">
        <v>1239</v>
      </c>
      <c r="C23" s="2836" t="str">
        <f>估价对象房地状况!C9</f>
        <v>区域自然环境：；人文环境；综合评价环境状况一般</v>
      </c>
      <c r="D23" s="2895">
        <v>100</v>
      </c>
      <c r="E23" s="2846"/>
      <c r="F23" s="3745">
        <f>SUMIF(84:84,E24,85:85)-SUMIF(84:84,C24,85:85)+100</f>
        <v>100</v>
      </c>
      <c r="G23" s="2852"/>
      <c r="H23" s="3727">
        <f>SUMIF(84:84,G24,85:85)-SUMIF(84:84,C24,85:85)+100</f>
        <v>100</v>
      </c>
      <c r="I23" s="2846"/>
      <c r="J23" s="3727">
        <f>SUMIF(84:84,I24,85:85)-SUMIF(84:84,C24,85:85)+100</f>
        <v>100</v>
      </c>
      <c r="K23" s="2860"/>
      <c r="L23" s="1980"/>
      <c r="M23" s="1975"/>
      <c r="N23" s="1975"/>
      <c r="O23" s="1975"/>
      <c r="P23" s="4506"/>
      <c r="Q23" s="1507" t="str">
        <f>B23</f>
        <v>自然及人文环境</v>
      </c>
      <c r="R23" s="3739" t="s">
        <v>13</v>
      </c>
      <c r="S23" s="3158">
        <f>F23</f>
        <v>100</v>
      </c>
      <c r="T23" s="3739" t="s">
        <v>13</v>
      </c>
      <c r="U23" s="3158">
        <f>H23</f>
        <v>100</v>
      </c>
      <c r="V23" s="3739" t="s">
        <v>13</v>
      </c>
      <c r="W23" s="3158">
        <f>J23</f>
        <v>100</v>
      </c>
      <c r="X23" s="910"/>
      <c r="Y23" s="4508"/>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0"/>
      <c r="M24" s="1975"/>
      <c r="N24" s="1975"/>
      <c r="O24" s="1975"/>
      <c r="P24" s="4506"/>
      <c r="Q24" s="1507"/>
      <c r="R24" s="3739"/>
      <c r="S24" s="3158"/>
      <c r="T24" s="3739"/>
      <c r="U24" s="3158"/>
      <c r="V24" s="3739"/>
      <c r="W24" s="3158"/>
      <c r="X24" s="910"/>
      <c r="Y24" s="4508"/>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0"/>
      <c r="M25" s="1975"/>
      <c r="N25" s="1975"/>
      <c r="O25" s="1975"/>
      <c r="P25" s="4506"/>
      <c r="Q25" s="1507" t="str">
        <f t="shared" ref="Q25:Q46" si="11">B25</f>
        <v>临街状况</v>
      </c>
      <c r="R25" s="3739" t="s">
        <v>13</v>
      </c>
      <c r="S25" s="3158">
        <f>F25</f>
        <v>100</v>
      </c>
      <c r="T25" s="3739" t="s">
        <v>13</v>
      </c>
      <c r="U25" s="3158">
        <f>H25</f>
        <v>100</v>
      </c>
      <c r="V25" s="3739" t="s">
        <v>13</v>
      </c>
      <c r="W25" s="3158">
        <f>J25</f>
        <v>100</v>
      </c>
      <c r="X25" s="910"/>
      <c r="Y25" s="4508"/>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0"/>
      <c r="M26" s="1975"/>
      <c r="N26" s="1975"/>
      <c r="O26" s="1975"/>
      <c r="P26" s="4506"/>
      <c r="Q26" s="1507" t="str">
        <f t="shared" si="11"/>
        <v>平面位置/可视性</v>
      </c>
      <c r="R26" s="3739" t="s">
        <v>13</v>
      </c>
      <c r="S26" s="3158">
        <f>F26</f>
        <v>100</v>
      </c>
      <c r="T26" s="3739" t="s">
        <v>13</v>
      </c>
      <c r="U26" s="3158">
        <f>H26</f>
        <v>100</v>
      </c>
      <c r="V26" s="3739" t="s">
        <v>13</v>
      </c>
      <c r="W26" s="3158">
        <f>J26</f>
        <v>100</v>
      </c>
      <c r="X26" s="910"/>
      <c r="Y26" s="4508"/>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6"/>
      <c r="M27" s="1929"/>
      <c r="N27" s="1929"/>
      <c r="O27" s="1929"/>
      <c r="P27" s="4506"/>
      <c r="Q27" s="1698" t="str">
        <f t="shared" si="11"/>
        <v>人流量</v>
      </c>
      <c r="R27" s="3637" t="s">
        <v>13</v>
      </c>
      <c r="S27" s="3157">
        <f>F27</f>
        <v>100</v>
      </c>
      <c r="T27" s="3637" t="s">
        <v>13</v>
      </c>
      <c r="U27" s="3157">
        <f>H27</f>
        <v>100</v>
      </c>
      <c r="V27" s="3637" t="s">
        <v>13</v>
      </c>
      <c r="W27" s="3157">
        <f>J27</f>
        <v>100</v>
      </c>
      <c r="X27" s="482"/>
      <c r="Y27" s="4508"/>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0"/>
      <c r="M28" s="1975"/>
      <c r="N28" s="1975"/>
      <c r="O28" s="1975"/>
      <c r="P28" s="4506"/>
      <c r="Q28" s="1507" t="str">
        <f t="shared" si="11"/>
        <v>楼层</v>
      </c>
      <c r="R28" s="3739" t="s">
        <v>13</v>
      </c>
      <c r="S28" s="3158">
        <f t="shared" ref="S28:S46" si="12">F28</f>
        <v>100</v>
      </c>
      <c r="T28" s="3739" t="s">
        <v>13</v>
      </c>
      <c r="U28" s="3158">
        <f t="shared" ref="U28:U46" si="13">H28</f>
        <v>100</v>
      </c>
      <c r="V28" s="3739" t="s">
        <v>13</v>
      </c>
      <c r="W28" s="3158">
        <f t="shared" ref="W28:W46" si="14">J28</f>
        <v>100</v>
      </c>
      <c r="X28" s="910"/>
      <c r="Y28" s="4508"/>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0"/>
      <c r="M29" s="1975"/>
      <c r="N29" s="1975"/>
      <c r="O29" s="1975"/>
      <c r="P29" s="4506"/>
      <c r="Q29" s="1507">
        <f t="shared" si="11"/>
        <v>111</v>
      </c>
      <c r="R29" s="3739" t="s">
        <v>13</v>
      </c>
      <c r="S29" s="3158">
        <f t="shared" si="12"/>
        <v>100</v>
      </c>
      <c r="T29" s="3739" t="s">
        <v>13</v>
      </c>
      <c r="U29" s="3158">
        <f t="shared" si="13"/>
        <v>100</v>
      </c>
      <c r="V29" s="3739" t="s">
        <v>13</v>
      </c>
      <c r="W29" s="3158">
        <f t="shared" si="14"/>
        <v>100</v>
      </c>
      <c r="X29" s="910"/>
      <c r="Y29" s="4508"/>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0"/>
      <c r="M30" s="1975"/>
      <c r="N30" s="1975"/>
      <c r="O30" s="1975"/>
      <c r="P30" s="4506"/>
      <c r="Q30" s="1507">
        <f t="shared" si="11"/>
        <v>111</v>
      </c>
      <c r="R30" s="3739" t="s">
        <v>13</v>
      </c>
      <c r="S30" s="3158">
        <f t="shared" si="12"/>
        <v>100</v>
      </c>
      <c r="T30" s="3739" t="s">
        <v>13</v>
      </c>
      <c r="U30" s="3158">
        <f t="shared" si="13"/>
        <v>100</v>
      </c>
      <c r="V30" s="3739" t="s">
        <v>13</v>
      </c>
      <c r="W30" s="3158">
        <f t="shared" si="14"/>
        <v>100</v>
      </c>
      <c r="X30" s="910"/>
      <c r="Y30" s="4508"/>
      <c r="Z30" s="908">
        <f t="shared" si="15"/>
        <v>111</v>
      </c>
      <c r="AA30" s="908">
        <f t="shared" si="3"/>
        <v>1</v>
      </c>
      <c r="AB30" s="908">
        <f t="shared" si="4"/>
        <v>1</v>
      </c>
      <c r="AC30" s="908">
        <f t="shared" si="5"/>
        <v>1</v>
      </c>
    </row>
    <row r="31" spans="1:29" ht="15.75"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0"/>
      <c r="M31" s="1975"/>
      <c r="N31" s="1975"/>
      <c r="O31" s="1975"/>
      <c r="P31" s="4506"/>
      <c r="Q31" s="1507">
        <f t="shared" si="11"/>
        <v>111</v>
      </c>
      <c r="R31" s="3739" t="s">
        <v>13</v>
      </c>
      <c r="S31" s="3158">
        <f t="shared" si="12"/>
        <v>100</v>
      </c>
      <c r="T31" s="3739" t="s">
        <v>13</v>
      </c>
      <c r="U31" s="3158">
        <f t="shared" si="13"/>
        <v>100</v>
      </c>
      <c r="V31" s="3739" t="s">
        <v>13</v>
      </c>
      <c r="W31" s="3158">
        <f t="shared" si="14"/>
        <v>100</v>
      </c>
      <c r="X31" s="910"/>
      <c r="Y31" s="4508"/>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0"/>
      <c r="M32" s="1975"/>
      <c r="N32" s="1975"/>
      <c r="O32" s="1975"/>
      <c r="P32" s="4509" t="s">
        <v>1606</v>
      </c>
      <c r="Q32" s="1507" t="str">
        <f t="shared" si="11"/>
        <v>商业类型</v>
      </c>
      <c r="R32" s="3739" t="s">
        <v>13</v>
      </c>
      <c r="S32" s="3158">
        <f t="shared" si="12"/>
        <v>100</v>
      </c>
      <c r="T32" s="3739" t="s">
        <v>13</v>
      </c>
      <c r="U32" s="3158">
        <f t="shared" si="13"/>
        <v>100</v>
      </c>
      <c r="V32" s="3739" t="s">
        <v>13</v>
      </c>
      <c r="W32" s="3158">
        <f t="shared" si="14"/>
        <v>100</v>
      </c>
      <c r="X32" s="910"/>
      <c r="Y32" s="4512"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79"/>
      <c r="M33" s="1981"/>
      <c r="N33" s="1981"/>
      <c r="O33" s="1981"/>
      <c r="P33" s="4510"/>
      <c r="Q33" s="2865" t="str">
        <f t="shared" si="11"/>
        <v>项目建筑规模</v>
      </c>
      <c r="R33" s="3740" t="s">
        <v>13</v>
      </c>
      <c r="S33" s="3159" t="e">
        <f t="shared" si="12"/>
        <v>#N/A</v>
      </c>
      <c r="T33" s="3740" t="s">
        <v>13</v>
      </c>
      <c r="U33" s="3159" t="e">
        <f t="shared" si="13"/>
        <v>#N/A</v>
      </c>
      <c r="V33" s="3740" t="s">
        <v>13</v>
      </c>
      <c r="W33" s="3159" t="e">
        <f t="shared" si="14"/>
        <v>#N/A</v>
      </c>
      <c r="X33" s="484"/>
      <c r="Y33" s="4512"/>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0"/>
      <c r="M34" s="1975"/>
      <c r="N34" s="1975"/>
      <c r="O34" s="1975"/>
      <c r="P34" s="4510"/>
      <c r="Q34" s="1507" t="str">
        <f t="shared" si="11"/>
        <v>建筑结构</v>
      </c>
      <c r="R34" s="3739" t="s">
        <v>13</v>
      </c>
      <c r="S34" s="3158">
        <f t="shared" si="12"/>
        <v>100</v>
      </c>
      <c r="T34" s="3739" t="s">
        <v>13</v>
      </c>
      <c r="U34" s="3158">
        <f t="shared" si="13"/>
        <v>100</v>
      </c>
      <c r="V34" s="3739" t="s">
        <v>13</v>
      </c>
      <c r="W34" s="3158">
        <f t="shared" si="14"/>
        <v>100</v>
      </c>
      <c r="X34" s="910"/>
      <c r="Y34" s="4512"/>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0"/>
      <c r="M35" s="1975"/>
      <c r="N35" s="1975"/>
      <c r="O35" s="1975"/>
      <c r="P35" s="4510"/>
      <c r="Q35" s="1507" t="str">
        <f t="shared" si="11"/>
        <v>公共部分装修</v>
      </c>
      <c r="R35" s="3739" t="s">
        <v>13</v>
      </c>
      <c r="S35" s="3158">
        <f t="shared" si="12"/>
        <v>100</v>
      </c>
      <c r="T35" s="3739" t="s">
        <v>13</v>
      </c>
      <c r="U35" s="3158">
        <f t="shared" si="13"/>
        <v>100</v>
      </c>
      <c r="V35" s="3739" t="s">
        <v>13</v>
      </c>
      <c r="W35" s="3158">
        <f t="shared" si="14"/>
        <v>100</v>
      </c>
      <c r="X35" s="910"/>
      <c r="Y35" s="4512"/>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0"/>
      <c r="M36" s="1975"/>
      <c r="N36" s="1975"/>
      <c r="O36" s="1975"/>
      <c r="P36" s="4510"/>
      <c r="Q36" s="1507" t="str">
        <f t="shared" si="11"/>
        <v>成新度</v>
      </c>
      <c r="R36" s="3739" t="s">
        <v>13</v>
      </c>
      <c r="S36" s="3158" t="e">
        <f t="shared" si="12"/>
        <v>#N/A</v>
      </c>
      <c r="T36" s="3739" t="s">
        <v>13</v>
      </c>
      <c r="U36" s="3158" t="e">
        <f t="shared" si="13"/>
        <v>#N/A</v>
      </c>
      <c r="V36" s="3739" t="s">
        <v>13</v>
      </c>
      <c r="W36" s="3158" t="e">
        <f t="shared" si="14"/>
        <v>#N/A</v>
      </c>
      <c r="X36" s="910"/>
      <c r="Y36" s="4512"/>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6"/>
      <c r="M37" s="1929"/>
      <c r="N37" s="1929"/>
      <c r="O37" s="1929"/>
      <c r="P37" s="4510"/>
      <c r="Q37" s="1698" t="str">
        <f t="shared" si="11"/>
        <v>市政基础设施</v>
      </c>
      <c r="R37" s="3637" t="s">
        <v>13</v>
      </c>
      <c r="S37" s="3157">
        <f t="shared" si="12"/>
        <v>100</v>
      </c>
      <c r="T37" s="3637" t="s">
        <v>13</v>
      </c>
      <c r="U37" s="3157">
        <f t="shared" si="13"/>
        <v>100</v>
      </c>
      <c r="V37" s="3637" t="s">
        <v>13</v>
      </c>
      <c r="W37" s="3157">
        <f t="shared" si="14"/>
        <v>100</v>
      </c>
      <c r="X37" s="482"/>
      <c r="Y37" s="4512"/>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0"/>
      <c r="M38" s="1975"/>
      <c r="N38" s="1975"/>
      <c r="O38" s="1975"/>
      <c r="P38" s="4510" t="s">
        <v>1606</v>
      </c>
      <c r="Q38" s="1507" t="str">
        <f t="shared" si="11"/>
        <v>业态</v>
      </c>
      <c r="R38" s="3739" t="s">
        <v>13</v>
      </c>
      <c r="S38" s="3158">
        <f t="shared" si="12"/>
        <v>100</v>
      </c>
      <c r="T38" s="3739" t="s">
        <v>13</v>
      </c>
      <c r="U38" s="3158">
        <f t="shared" si="13"/>
        <v>100</v>
      </c>
      <c r="V38" s="3739" t="s">
        <v>13</v>
      </c>
      <c r="W38" s="3158">
        <f t="shared" si="14"/>
        <v>100</v>
      </c>
      <c r="X38" s="910"/>
      <c r="Y38" s="4512"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0"/>
      <c r="M39" s="1975"/>
      <c r="N39" s="1975"/>
      <c r="O39" s="1975"/>
      <c r="P39" s="4510"/>
      <c r="Q39" s="1507" t="str">
        <f t="shared" si="11"/>
        <v>层高</v>
      </c>
      <c r="R39" s="3739" t="s">
        <v>13</v>
      </c>
      <c r="S39" s="3158">
        <f t="shared" si="12"/>
        <v>100</v>
      </c>
      <c r="T39" s="3739" t="s">
        <v>13</v>
      </c>
      <c r="U39" s="3158">
        <f t="shared" si="13"/>
        <v>100</v>
      </c>
      <c r="V39" s="3739" t="s">
        <v>13</v>
      </c>
      <c r="W39" s="3158">
        <f t="shared" si="14"/>
        <v>100</v>
      </c>
      <c r="X39" s="910"/>
      <c r="Y39" s="4512"/>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0"/>
      <c r="M40" s="1975"/>
      <c r="N40" s="1975"/>
      <c r="O40" s="1975"/>
      <c r="P40" s="4510"/>
      <c r="Q40" s="1507" t="str">
        <f t="shared" si="11"/>
        <v>单套建筑面积</v>
      </c>
      <c r="R40" s="3739" t="s">
        <v>13</v>
      </c>
      <c r="S40" s="3158">
        <f t="shared" si="12"/>
        <v>100</v>
      </c>
      <c r="T40" s="3739" t="s">
        <v>13</v>
      </c>
      <c r="U40" s="3158">
        <f t="shared" si="13"/>
        <v>100</v>
      </c>
      <c r="V40" s="3739" t="s">
        <v>13</v>
      </c>
      <c r="W40" s="3158">
        <f t="shared" si="14"/>
        <v>100</v>
      </c>
      <c r="X40" s="910"/>
      <c r="Y40" s="4512"/>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79"/>
      <c r="M41" s="1981"/>
      <c r="N41" s="1981"/>
      <c r="O41" s="1981"/>
      <c r="P41" s="4510"/>
      <c r="Q41" s="2865" t="str">
        <f t="shared" si="11"/>
        <v>进深比</v>
      </c>
      <c r="R41" s="3740" t="s">
        <v>13</v>
      </c>
      <c r="S41" s="3159">
        <f t="shared" si="12"/>
        <v>100</v>
      </c>
      <c r="T41" s="3740" t="s">
        <v>13</v>
      </c>
      <c r="U41" s="3159">
        <f t="shared" si="13"/>
        <v>100</v>
      </c>
      <c r="V41" s="3740" t="s">
        <v>13</v>
      </c>
      <c r="W41" s="3159">
        <f t="shared" si="14"/>
        <v>100</v>
      </c>
      <c r="X41" s="484"/>
      <c r="Y41" s="4512"/>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0"/>
      <c r="M42" s="1975"/>
      <c r="N42" s="1975"/>
      <c r="O42" s="1975"/>
      <c r="P42" s="4510"/>
      <c r="Q42" s="1507" t="str">
        <f t="shared" si="11"/>
        <v>内部装修</v>
      </c>
      <c r="R42" s="3739" t="s">
        <v>13</v>
      </c>
      <c r="S42" s="3158">
        <f t="shared" si="12"/>
        <v>100</v>
      </c>
      <c r="T42" s="3739" t="s">
        <v>13</v>
      </c>
      <c r="U42" s="3158">
        <f t="shared" si="13"/>
        <v>100</v>
      </c>
      <c r="V42" s="3739" t="s">
        <v>13</v>
      </c>
      <c r="W42" s="3158">
        <f t="shared" si="14"/>
        <v>100</v>
      </c>
      <c r="X42" s="910"/>
      <c r="Y42" s="4512"/>
      <c r="Z42" s="908" t="str">
        <f t="shared" si="15"/>
        <v>内部装修</v>
      </c>
      <c r="AA42" s="908">
        <f t="shared" si="3"/>
        <v>1</v>
      </c>
      <c r="AB42" s="908">
        <f t="shared" si="4"/>
        <v>1</v>
      </c>
      <c r="AC42" s="908">
        <f t="shared" si="5"/>
        <v>1</v>
      </c>
    </row>
    <row r="43" spans="1:29" ht="15">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0"/>
      <c r="M43" s="1975"/>
      <c r="N43" s="1975"/>
      <c r="O43" s="1975"/>
      <c r="P43" s="4510"/>
      <c r="Q43" s="1507" t="str">
        <f t="shared" si="11"/>
        <v>内部装修维护情况</v>
      </c>
      <c r="R43" s="3739" t="s">
        <v>13</v>
      </c>
      <c r="S43" s="3158">
        <f t="shared" si="12"/>
        <v>100</v>
      </c>
      <c r="T43" s="3739" t="s">
        <v>13</v>
      </c>
      <c r="U43" s="3158">
        <f t="shared" si="13"/>
        <v>100</v>
      </c>
      <c r="V43" s="3739" t="s">
        <v>13</v>
      </c>
      <c r="W43" s="3158">
        <f t="shared" si="14"/>
        <v>100</v>
      </c>
      <c r="X43" s="910"/>
      <c r="Y43" s="4512"/>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6"/>
      <c r="M44" s="1929"/>
      <c r="N44" s="1929"/>
      <c r="O44" s="1929"/>
      <c r="P44" s="4510"/>
      <c r="Q44" s="1698">
        <f t="shared" si="11"/>
        <v>111</v>
      </c>
      <c r="R44" s="3637" t="s">
        <v>13</v>
      </c>
      <c r="S44" s="3157">
        <f t="shared" si="12"/>
        <v>100</v>
      </c>
      <c r="T44" s="3637" t="s">
        <v>13</v>
      </c>
      <c r="U44" s="3157">
        <f t="shared" si="13"/>
        <v>100</v>
      </c>
      <c r="V44" s="3637" t="s">
        <v>13</v>
      </c>
      <c r="W44" s="3157">
        <f t="shared" si="14"/>
        <v>100</v>
      </c>
      <c r="X44" s="482"/>
      <c r="Y44" s="4512"/>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0"/>
      <c r="M45" s="1975"/>
      <c r="N45" s="1975"/>
      <c r="O45" s="1975"/>
      <c r="P45" s="4510"/>
      <c r="Q45" s="1507">
        <f t="shared" si="11"/>
        <v>111</v>
      </c>
      <c r="R45" s="3739" t="s">
        <v>13</v>
      </c>
      <c r="S45" s="3158">
        <f t="shared" si="12"/>
        <v>100</v>
      </c>
      <c r="T45" s="3739" t="s">
        <v>13</v>
      </c>
      <c r="U45" s="3158">
        <f t="shared" si="13"/>
        <v>100</v>
      </c>
      <c r="V45" s="3739" t="s">
        <v>13</v>
      </c>
      <c r="W45" s="3158">
        <f t="shared" si="14"/>
        <v>100</v>
      </c>
      <c r="X45" s="910"/>
      <c r="Y45" s="4512"/>
      <c r="Z45" s="908">
        <f t="shared" si="15"/>
        <v>111</v>
      </c>
      <c r="AA45" s="908">
        <f t="shared" si="3"/>
        <v>1</v>
      </c>
      <c r="AB45" s="908">
        <f t="shared" si="4"/>
        <v>1</v>
      </c>
      <c r="AC45" s="908">
        <f t="shared" si="5"/>
        <v>1</v>
      </c>
    </row>
    <row r="46" spans="1:29" ht="15.75"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0"/>
      <c r="M46" s="1975"/>
      <c r="N46" s="1975"/>
      <c r="O46" s="1975"/>
      <c r="P46" s="4511"/>
      <c r="Q46" s="1507">
        <f t="shared" si="11"/>
        <v>111</v>
      </c>
      <c r="R46" s="3739" t="s">
        <v>13</v>
      </c>
      <c r="S46" s="3158">
        <f t="shared" si="12"/>
        <v>100</v>
      </c>
      <c r="T46" s="3739" t="s">
        <v>13</v>
      </c>
      <c r="U46" s="3158">
        <f t="shared" si="13"/>
        <v>100</v>
      </c>
      <c r="V46" s="3739" t="s">
        <v>13</v>
      </c>
      <c r="W46" s="3158">
        <f t="shared" si="14"/>
        <v>100</v>
      </c>
      <c r="X46" s="910"/>
      <c r="Y46" s="4513"/>
      <c r="Z46" s="908">
        <f t="shared" si="15"/>
        <v>111</v>
      </c>
      <c r="AA46" s="908">
        <f t="shared" si="3"/>
        <v>1</v>
      </c>
      <c r="AB46" s="908">
        <f t="shared" si="4"/>
        <v>1</v>
      </c>
      <c r="AC46" s="908">
        <f t="shared" si="5"/>
        <v>1</v>
      </c>
    </row>
    <row r="47" spans="1:29" ht="15">
      <c r="A47" s="286" t="s">
        <v>1618</v>
      </c>
      <c r="B47" s="287"/>
      <c r="C47" s="765" t="s">
        <v>0</v>
      </c>
      <c r="D47" s="288"/>
      <c r="E47" s="3206"/>
      <c r="F47" s="3154"/>
      <c r="G47" s="3207"/>
      <c r="H47" s="3155"/>
      <c r="I47" s="3206"/>
      <c r="J47" s="3155"/>
      <c r="K47" s="2863"/>
      <c r="L47" s="1982"/>
      <c r="M47" s="1975"/>
      <c r="N47" s="1975"/>
      <c r="O47" s="1975"/>
      <c r="P47" s="4514" t="str">
        <f>A47</f>
        <v>成交单价（元/平方米）</v>
      </c>
      <c r="Q47" s="4514"/>
      <c r="R47" s="4515">
        <f>E47</f>
        <v>0</v>
      </c>
      <c r="S47" s="4515"/>
      <c r="T47" s="4515">
        <f>G47</f>
        <v>0</v>
      </c>
      <c r="U47" s="4515"/>
      <c r="V47" s="4515">
        <f>I47</f>
        <v>0</v>
      </c>
      <c r="W47" s="4515"/>
      <c r="X47" s="265"/>
      <c r="Y47" s="486"/>
      <c r="Z47" s="265"/>
      <c r="AA47" s="265"/>
      <c r="AB47" s="265"/>
      <c r="AC47" s="265"/>
    </row>
    <row r="48" spans="1:29" ht="15.75" thickBot="1">
      <c r="A48" s="289" t="s">
        <v>1703</v>
      </c>
      <c r="B48" s="290"/>
      <c r="C48" s="3737" t="e">
        <f>R49</f>
        <v>#DIV/0!</v>
      </c>
      <c r="D48" s="3849" t="s">
        <v>2045</v>
      </c>
      <c r="E48" s="3748" t="e">
        <f>R48</f>
        <v>#DIV/0!</v>
      </c>
      <c r="F48" s="2802"/>
      <c r="G48" s="3737" t="e">
        <f>T48</f>
        <v>#DIV/0!</v>
      </c>
      <c r="H48" s="2802"/>
      <c r="I48" s="3748" t="e">
        <f>V48</f>
        <v>#DIV/0!</v>
      </c>
      <c r="J48" s="2802"/>
      <c r="K48" s="2856">
        <f>F48+H48+J48</f>
        <v>0</v>
      </c>
      <c r="L48" s="1982"/>
      <c r="M48" s="1975"/>
      <c r="N48" s="1975"/>
      <c r="O48" s="1975"/>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265"/>
      <c r="Y48" s="265"/>
      <c r="Z48" s="265"/>
      <c r="AA48" s="265"/>
      <c r="AB48" s="265"/>
      <c r="AC48" s="265"/>
    </row>
    <row r="49" spans="1:29" ht="15.75" thickBot="1">
      <c r="A49" s="291" t="s">
        <v>1704</v>
      </c>
      <c r="B49" s="292"/>
      <c r="C49" s="3749" t="e">
        <f>R49</f>
        <v>#DIV/0!</v>
      </c>
      <c r="D49" s="241"/>
      <c r="E49" s="241"/>
      <c r="F49" s="241"/>
      <c r="G49" s="241"/>
      <c r="H49" s="241"/>
      <c r="I49" s="241"/>
      <c r="J49" s="241"/>
      <c r="K49" s="487"/>
      <c r="L49" s="1982"/>
      <c r="M49" s="1975"/>
      <c r="N49" s="1975"/>
      <c r="O49" s="1975"/>
      <c r="P49" s="4574" t="str">
        <f>A49</f>
        <v>估价对象XX用房的比较价值（楼面单价，元/平方米）</v>
      </c>
      <c r="Q49" s="4575"/>
      <c r="R49" s="4576" t="e">
        <f>IF(F1="售价",ROUND(IF(D48="简单平均",AVERAGE(R48:V48),R48*F48+T48*H48+V48*J48),0),ROUND(IF(D48="简单平均",AVERAGE(R48:V48),R48*F48+T48*H48+V48*J48),1))</f>
        <v>#DIV/0!</v>
      </c>
      <c r="S49" s="4576"/>
      <c r="T49" s="4576"/>
      <c r="U49" s="4576"/>
      <c r="V49" s="4576"/>
      <c r="W49" s="457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3886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8" customWidth="1"/>
    <col min="17" max="17" width="19.5" style="3188" customWidth="1"/>
    <col min="18" max="18" width="6.125" style="3188" customWidth="1"/>
    <col min="19" max="19" width="4.375" style="3188" customWidth="1"/>
    <col min="20" max="20" width="6.125" style="3188" customWidth="1"/>
    <col min="21" max="21" width="4.375" style="3188" customWidth="1"/>
    <col min="22" max="22" width="6.125" style="3188" customWidth="1"/>
    <col min="23" max="23" width="4.375" style="3188"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109.4</v>
      </c>
      <c r="E3" s="3850" t="s">
        <v>3483</v>
      </c>
      <c r="F3" s="3851">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5">
      <c r="A4" s="235" t="s">
        <v>1679</v>
      </c>
      <c r="B4" s="236"/>
      <c r="C4" s="4482" t="s">
        <v>1680</v>
      </c>
      <c r="D4" s="4483"/>
      <c r="E4" s="4484" t="s">
        <v>1681</v>
      </c>
      <c r="F4" s="4485"/>
      <c r="G4" s="4482" t="s">
        <v>1682</v>
      </c>
      <c r="H4" s="4483"/>
      <c r="I4" s="4482" t="s">
        <v>1683</v>
      </c>
      <c r="J4" s="4483"/>
      <c r="K4" s="393" t="s">
        <v>1684</v>
      </c>
      <c r="L4" s="592"/>
      <c r="M4" s="593"/>
      <c r="N4" s="593"/>
      <c r="O4" s="593"/>
      <c r="P4" s="4567" t="s">
        <v>1685</v>
      </c>
      <c r="Q4" s="4568"/>
      <c r="R4" s="4553" t="s">
        <v>1681</v>
      </c>
      <c r="S4" s="4554"/>
      <c r="T4" s="4553" t="s">
        <v>1682</v>
      </c>
      <c r="U4" s="4554"/>
      <c r="V4" s="4495" t="s">
        <v>1683</v>
      </c>
      <c r="W4" s="4495"/>
      <c r="X4" s="910"/>
      <c r="Y4" s="4572" t="s">
        <v>1685</v>
      </c>
      <c r="Z4" s="4573"/>
      <c r="AA4" s="4552" t="s">
        <v>1681</v>
      </c>
      <c r="AB4" s="4463" t="s">
        <v>1682</v>
      </c>
      <c r="AC4" s="4552" t="s">
        <v>1683</v>
      </c>
    </row>
    <row r="5" spans="1:29" ht="15">
      <c r="A5" s="238"/>
      <c r="B5" s="239"/>
      <c r="C5" s="4580" t="s">
        <v>1583</v>
      </c>
      <c r="D5" s="4472"/>
      <c r="E5" s="4578" t="s">
        <v>1584</v>
      </c>
      <c r="F5" s="4579"/>
      <c r="G5" s="4580" t="s">
        <v>1585</v>
      </c>
      <c r="H5" s="4472"/>
      <c r="I5" s="4580" t="s">
        <v>1586</v>
      </c>
      <c r="J5" s="4472"/>
      <c r="K5" s="393"/>
      <c r="L5" s="592"/>
      <c r="M5" s="593"/>
      <c r="N5" s="593"/>
      <c r="O5" s="593"/>
      <c r="P5" s="4569"/>
      <c r="Q5" s="4489"/>
      <c r="R5" s="4469"/>
      <c r="S5" s="4470"/>
      <c r="T5" s="4469"/>
      <c r="U5" s="4470"/>
      <c r="V5" s="4495"/>
      <c r="W5" s="4495"/>
      <c r="X5" s="910"/>
      <c r="Y5" s="4500"/>
      <c r="Z5" s="4501"/>
      <c r="AA5" s="4463"/>
      <c r="AB5" s="4463"/>
      <c r="AC5" s="4463"/>
    </row>
    <row r="6" spans="1:29" ht="15.75" thickBot="1">
      <c r="A6" s="240"/>
      <c r="B6" s="241"/>
      <c r="C6" s="4473" t="s">
        <v>1587</v>
      </c>
      <c r="D6" s="4474"/>
      <c r="E6" s="4475" t="s">
        <v>1587</v>
      </c>
      <c r="F6" s="4476"/>
      <c r="G6" s="4473" t="s">
        <v>1587</v>
      </c>
      <c r="H6" s="4474"/>
      <c r="I6" s="4473" t="s">
        <v>1587</v>
      </c>
      <c r="J6" s="4474"/>
      <c r="K6" s="393" t="s">
        <v>1588</v>
      </c>
      <c r="L6" s="592"/>
      <c r="M6" s="593"/>
      <c r="N6" s="593"/>
      <c r="O6" s="593"/>
      <c r="P6" s="4570"/>
      <c r="Q6" s="4491"/>
      <c r="R6" s="4469"/>
      <c r="S6" s="4470"/>
      <c r="T6" s="4492"/>
      <c r="U6" s="4493"/>
      <c r="V6" s="4495"/>
      <c r="W6" s="4495"/>
      <c r="X6" s="910"/>
      <c r="Y6" s="4502"/>
      <c r="Z6" s="4503"/>
      <c r="AA6" s="4464"/>
      <c r="AB6" s="4464"/>
      <c r="AC6" s="4464"/>
    </row>
    <row r="7" spans="1:29" s="46" customFormat="1" ht="15.75" thickBot="1">
      <c r="A7" s="242" t="s">
        <v>1589</v>
      </c>
      <c r="B7" s="243"/>
      <c r="C7" s="244">
        <f>'数据-取费表'!B2</f>
        <v>46051</v>
      </c>
      <c r="D7" s="2899">
        <v>100</v>
      </c>
      <c r="E7" s="245"/>
      <c r="F7" s="3751">
        <f>SUMIF(52:52,YEAR(E7)&amp;"-"&amp;MONTH(E7),53:53)</f>
        <v>0</v>
      </c>
      <c r="G7" s="245"/>
      <c r="H7" s="3757">
        <f>SUMIF(52:52,YEAR(G7)&amp;"-"&amp;MONTH(G7),53:53)</f>
        <v>0</v>
      </c>
      <c r="I7" s="245"/>
      <c r="J7" s="3757">
        <f>SUMIF(52:52,YEAR(I7)&amp;"-"&amp;MONTH(I7),53:53)</f>
        <v>0</v>
      </c>
      <c r="K7" s="22"/>
      <c r="L7" s="594"/>
      <c r="M7" s="595"/>
      <c r="N7" s="595"/>
      <c r="O7" s="595"/>
      <c r="P7" s="4571" t="s">
        <v>1590</v>
      </c>
      <c r="Q7" s="4504"/>
      <c r="R7" s="3763" t="s">
        <v>13</v>
      </c>
      <c r="S7" s="3543">
        <f t="shared" ref="S7:S15" si="0">F7</f>
        <v>0</v>
      </c>
      <c r="T7" s="3763" t="s">
        <v>13</v>
      </c>
      <c r="U7" s="3543">
        <f t="shared" ref="U7:U15" si="1">H7</f>
        <v>0</v>
      </c>
      <c r="V7" s="3763" t="s">
        <v>13</v>
      </c>
      <c r="W7" s="3543">
        <f t="shared" ref="W7:W15" si="2">J7</f>
        <v>0</v>
      </c>
      <c r="X7" s="482"/>
      <c r="Y7" s="4465" t="s">
        <v>1590</v>
      </c>
      <c r="Z7" s="4466"/>
      <c r="AA7" s="28" t="e">
        <f>D7/F7</f>
        <v>#DIV/0!</v>
      </c>
      <c r="AB7" s="28" t="e">
        <f>D7/H7</f>
        <v>#DIV/0!</v>
      </c>
      <c r="AC7" s="28" t="e">
        <f>D7/J7</f>
        <v>#DIV/0!</v>
      </c>
    </row>
    <row r="8" spans="1:29" s="46" customFormat="1" ht="15.7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571" t="s">
        <v>1593</v>
      </c>
      <c r="Q8" s="4497"/>
      <c r="R8" s="3763" t="s">
        <v>13</v>
      </c>
      <c r="S8" s="3543">
        <f t="shared" si="0"/>
        <v>100</v>
      </c>
      <c r="T8" s="3763" t="s">
        <v>13</v>
      </c>
      <c r="U8" s="3543">
        <f t="shared" si="1"/>
        <v>100</v>
      </c>
      <c r="V8" s="3763" t="s">
        <v>13</v>
      </c>
      <c r="W8" s="3543">
        <f t="shared" si="2"/>
        <v>100</v>
      </c>
      <c r="X8" s="482"/>
      <c r="Y8" s="4465" t="s">
        <v>1593</v>
      </c>
      <c r="Z8" s="4466"/>
      <c r="AA8" s="28">
        <f t="shared" ref="AA8:AA40" si="3">D8/F8</f>
        <v>1</v>
      </c>
      <c r="AB8" s="28">
        <f t="shared" ref="AB8:AB40" si="4">D8/H8</f>
        <v>1</v>
      </c>
      <c r="AC8" s="28">
        <f t="shared" ref="AC8:AC40" si="5">D8/J8</f>
        <v>1</v>
      </c>
    </row>
    <row r="9" spans="1:29" s="46" customFormat="1">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514" t="s">
        <v>1596</v>
      </c>
      <c r="Q9" s="1698" t="str">
        <f t="shared" ref="Q9:Q15" si="6">B9</f>
        <v>用途</v>
      </c>
      <c r="R9" s="3763" t="s">
        <v>13</v>
      </c>
      <c r="S9" s="3543">
        <f t="shared" si="0"/>
        <v>100</v>
      </c>
      <c r="T9" s="3763" t="s">
        <v>13</v>
      </c>
      <c r="U9" s="3543">
        <f t="shared" si="1"/>
        <v>100</v>
      </c>
      <c r="V9" s="3763" t="s">
        <v>13</v>
      </c>
      <c r="W9" s="3543">
        <f t="shared" si="2"/>
        <v>100</v>
      </c>
      <c r="X9" s="482"/>
      <c r="Y9" s="4478" t="s">
        <v>1597</v>
      </c>
      <c r="Z9" s="28" t="str">
        <f t="shared" ref="Z9:Z15" si="7">Q9</f>
        <v>用途</v>
      </c>
      <c r="AA9" s="28">
        <f t="shared" si="3"/>
        <v>1</v>
      </c>
      <c r="AB9" s="28">
        <f t="shared" si="4"/>
        <v>1</v>
      </c>
      <c r="AC9" s="28">
        <f t="shared" si="5"/>
        <v>1</v>
      </c>
    </row>
    <row r="10" spans="1:29" s="253" customFormat="1" ht="27">
      <c r="A10" s="251"/>
      <c r="B10" s="252" t="s">
        <v>1598</v>
      </c>
      <c r="C10" s="2476"/>
      <c r="D10" s="2901">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14"/>
      <c r="Q10" s="1698" t="str">
        <f t="shared" si="6"/>
        <v>土地使用年限（年）</v>
      </c>
      <c r="R10" s="3763" t="s">
        <v>13</v>
      </c>
      <c r="S10" s="3543">
        <f t="shared" si="0"/>
        <v>100</v>
      </c>
      <c r="T10" s="3763" t="s">
        <v>13</v>
      </c>
      <c r="U10" s="3543">
        <f t="shared" si="1"/>
        <v>100</v>
      </c>
      <c r="V10" s="3763" t="s">
        <v>13</v>
      </c>
      <c r="W10" s="3543">
        <f t="shared" si="2"/>
        <v>100</v>
      </c>
      <c r="X10" s="482"/>
      <c r="Y10" s="4478"/>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4"/>
      <c r="Q11" s="1698" t="str">
        <f t="shared" si="6"/>
        <v>容积率</v>
      </c>
      <c r="R11" s="3763" t="s">
        <v>13</v>
      </c>
      <c r="S11" s="3543">
        <f t="shared" si="0"/>
        <v>100</v>
      </c>
      <c r="T11" s="3763" t="s">
        <v>13</v>
      </c>
      <c r="U11" s="3543">
        <f t="shared" si="1"/>
        <v>100</v>
      </c>
      <c r="V11" s="3763" t="s">
        <v>13</v>
      </c>
      <c r="W11" s="3543">
        <f t="shared" si="2"/>
        <v>100</v>
      </c>
      <c r="X11" s="482"/>
      <c r="Y11" s="4478"/>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4"/>
      <c r="Q12" s="1698">
        <f t="shared" si="6"/>
        <v>111</v>
      </c>
      <c r="R12" s="3763" t="s">
        <v>13</v>
      </c>
      <c r="S12" s="3543">
        <f t="shared" si="0"/>
        <v>100</v>
      </c>
      <c r="T12" s="3763" t="s">
        <v>13</v>
      </c>
      <c r="U12" s="3543">
        <f t="shared" si="1"/>
        <v>100</v>
      </c>
      <c r="V12" s="3763" t="s">
        <v>13</v>
      </c>
      <c r="W12" s="3543">
        <f t="shared" si="2"/>
        <v>100</v>
      </c>
      <c r="X12" s="482"/>
      <c r="Y12" s="4478"/>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3"/>
      <c r="H13" s="3755">
        <f>SUMIF(66:66,G13,67:67)-SUMIF(66:66,C13,67:67)+100</f>
        <v>100</v>
      </c>
      <c r="I13" s="278"/>
      <c r="J13" s="3755">
        <f>SUMIF(66:66,I13,67:67)-SUMIF(66:66,C13,67:67)+100</f>
        <v>100</v>
      </c>
      <c r="K13" s="395"/>
      <c r="L13" s="602"/>
      <c r="M13" s="593"/>
      <c r="N13" s="593"/>
      <c r="O13" s="601"/>
      <c r="P13" s="4514"/>
      <c r="Q13" s="1698">
        <f t="shared" si="6"/>
        <v>111</v>
      </c>
      <c r="R13" s="3763" t="s">
        <v>13</v>
      </c>
      <c r="S13" s="3543">
        <f t="shared" si="0"/>
        <v>100</v>
      </c>
      <c r="T13" s="3763" t="s">
        <v>13</v>
      </c>
      <c r="U13" s="3543">
        <f t="shared" si="1"/>
        <v>100</v>
      </c>
      <c r="V13" s="3763" t="s">
        <v>13</v>
      </c>
      <c r="W13" s="3543">
        <f t="shared" si="2"/>
        <v>100</v>
      </c>
      <c r="X13" s="482"/>
      <c r="Y13" s="4478"/>
      <c r="Z13" s="28">
        <f t="shared" si="7"/>
        <v>111</v>
      </c>
      <c r="AA13" s="28">
        <f t="shared" si="3"/>
        <v>1</v>
      </c>
      <c r="AB13" s="28">
        <f t="shared" si="4"/>
        <v>1</v>
      </c>
      <c r="AC13" s="28">
        <f t="shared" si="5"/>
        <v>1</v>
      </c>
    </row>
    <row r="14" spans="1:29" ht="15.75" thickBot="1">
      <c r="A14" s="260"/>
      <c r="B14" s="1362">
        <v>111</v>
      </c>
      <c r="C14" s="261"/>
      <c r="D14" s="2904">
        <v>100</v>
      </c>
      <c r="E14" s="261"/>
      <c r="F14" s="3752">
        <f>SUMIF(68:68,E14,69:69)-SUMIF(68:68,C14,69:69)+100</f>
        <v>100</v>
      </c>
      <c r="G14" s="1423"/>
      <c r="H14" s="3752">
        <f>SUMIF(68:68,G14,69:69)-SUMIF(68:68,C14,69:69)+100</f>
        <v>100</v>
      </c>
      <c r="I14" s="278"/>
      <c r="J14" s="3752">
        <f>SUMIF(68:68,I14,69:69)-SUMIF(68:68,C14,69:69)+100</f>
        <v>100</v>
      </c>
      <c r="K14" s="395"/>
      <c r="L14" s="602"/>
      <c r="M14" s="593"/>
      <c r="N14" s="593"/>
      <c r="O14" s="601"/>
      <c r="P14" s="4514"/>
      <c r="Q14" s="1698">
        <f t="shared" si="6"/>
        <v>111</v>
      </c>
      <c r="R14" s="3763" t="s">
        <v>13</v>
      </c>
      <c r="S14" s="3543">
        <f t="shared" si="0"/>
        <v>100</v>
      </c>
      <c r="T14" s="3763" t="s">
        <v>13</v>
      </c>
      <c r="U14" s="3543">
        <f t="shared" si="1"/>
        <v>100</v>
      </c>
      <c r="V14" s="3763" t="s">
        <v>13</v>
      </c>
      <c r="W14" s="3543">
        <f t="shared" si="2"/>
        <v>100</v>
      </c>
      <c r="X14" s="482"/>
      <c r="Y14" s="4478"/>
      <c r="Z14" s="28">
        <f t="shared" si="7"/>
        <v>111</v>
      </c>
      <c r="AA14" s="28">
        <f t="shared" si="3"/>
        <v>1</v>
      </c>
      <c r="AB14" s="28">
        <f t="shared" si="4"/>
        <v>1</v>
      </c>
      <c r="AC14" s="28">
        <f t="shared" si="5"/>
        <v>1</v>
      </c>
    </row>
    <row r="15" spans="1:29" ht="57">
      <c r="A15" s="262" t="s">
        <v>1600</v>
      </c>
      <c r="B15" s="32" t="s">
        <v>1737</v>
      </c>
      <c r="C15" s="1424" t="str">
        <f>估价对象房地状况!G3</f>
        <v>估价对象位于XX开发区，园区建设成熟度XX，产业集聚程度XX</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581" t="s">
        <v>1601</v>
      </c>
      <c r="Q15" s="1507" t="str">
        <f t="shared" si="6"/>
        <v>产业集聚程度</v>
      </c>
      <c r="R15" s="3764" t="s">
        <v>13</v>
      </c>
      <c r="S15" s="3766">
        <f t="shared" si="0"/>
        <v>100</v>
      </c>
      <c r="T15" s="3764" t="s">
        <v>13</v>
      </c>
      <c r="U15" s="3766">
        <f t="shared" si="1"/>
        <v>100</v>
      </c>
      <c r="V15" s="3764" t="s">
        <v>13</v>
      </c>
      <c r="W15" s="3766">
        <f t="shared" si="2"/>
        <v>100</v>
      </c>
      <c r="X15" s="910"/>
      <c r="Y15" s="4507"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582"/>
      <c r="Q16" s="1507"/>
      <c r="R16" s="3764"/>
      <c r="S16" s="3766"/>
      <c r="T16" s="3764"/>
      <c r="U16" s="3766"/>
      <c r="V16" s="3764"/>
      <c r="W16" s="3766"/>
      <c r="X16" s="910"/>
      <c r="Y16" s="4508"/>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582"/>
      <c r="Q17" s="1507" t="str">
        <f>B17</f>
        <v>交通便捷度</v>
      </c>
      <c r="R17" s="3764" t="s">
        <v>13</v>
      </c>
      <c r="S17" s="3766">
        <f>F17</f>
        <v>100</v>
      </c>
      <c r="T17" s="3764" t="s">
        <v>13</v>
      </c>
      <c r="U17" s="3766">
        <f>H17</f>
        <v>100</v>
      </c>
      <c r="V17" s="3764" t="s">
        <v>13</v>
      </c>
      <c r="W17" s="3766">
        <f>J17</f>
        <v>100</v>
      </c>
      <c r="X17" s="910"/>
      <c r="Y17" s="4508"/>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582"/>
      <c r="Q18" s="1507"/>
      <c r="R18" s="3764"/>
      <c r="S18" s="3766"/>
      <c r="T18" s="3764"/>
      <c r="U18" s="3766"/>
      <c r="V18" s="3764"/>
      <c r="W18" s="3766"/>
      <c r="X18" s="910"/>
      <c r="Y18" s="4508"/>
      <c r="Z18" s="908"/>
      <c r="AA18" s="908">
        <v>1</v>
      </c>
      <c r="AB18" s="908">
        <v>1</v>
      </c>
      <c r="AC18" s="908">
        <v>1</v>
      </c>
    </row>
    <row r="19" spans="1:29" ht="42.75">
      <c r="A19" s="254"/>
      <c r="B19" s="269" t="s">
        <v>1722</v>
      </c>
      <c r="C19" s="1365" t="str">
        <f>估价对象房地状况!G5</f>
        <v>估价对象所在区域公共配套设施齐备情况</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582"/>
      <c r="Q19" s="1507" t="str">
        <f>B19</f>
        <v>公共配套设施</v>
      </c>
      <c r="R19" s="3764" t="s">
        <v>13</v>
      </c>
      <c r="S19" s="3766">
        <f>F19</f>
        <v>100</v>
      </c>
      <c r="T19" s="3764" t="s">
        <v>13</v>
      </c>
      <c r="U19" s="3766">
        <f>H19</f>
        <v>100</v>
      </c>
      <c r="V19" s="3764" t="s">
        <v>13</v>
      </c>
      <c r="W19" s="3766">
        <f>J19</f>
        <v>100</v>
      </c>
      <c r="X19" s="910"/>
      <c r="Y19" s="4508"/>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582"/>
      <c r="Q20" s="1507"/>
      <c r="R20" s="3764"/>
      <c r="S20" s="3766"/>
      <c r="T20" s="3764"/>
      <c r="U20" s="3766"/>
      <c r="V20" s="3764"/>
      <c r="W20" s="3766"/>
      <c r="X20" s="910"/>
      <c r="Y20" s="4508"/>
      <c r="Z20" s="908"/>
      <c r="AA20" s="908">
        <v>1</v>
      </c>
      <c r="AB20" s="908">
        <v>1</v>
      </c>
      <c r="AC20" s="908">
        <v>1</v>
      </c>
    </row>
    <row r="21" spans="1:29" ht="28.5">
      <c r="A21" s="254"/>
      <c r="B21" s="759" t="s">
        <v>1723</v>
      </c>
      <c r="C21" s="1365" t="str">
        <f>估价对象房地状况!G6</f>
        <v>估价对象所在区域基础设施水平</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582"/>
      <c r="Q21" s="1507" t="str">
        <f>B21</f>
        <v>基础设施水平</v>
      </c>
      <c r="R21" s="3764" t="s">
        <v>13</v>
      </c>
      <c r="S21" s="3766">
        <f>F21</f>
        <v>100</v>
      </c>
      <c r="T21" s="3764" t="s">
        <v>13</v>
      </c>
      <c r="U21" s="3766">
        <f>H21</f>
        <v>100</v>
      </c>
      <c r="V21" s="3764" t="s">
        <v>13</v>
      </c>
      <c r="W21" s="3766">
        <f>J21</f>
        <v>100</v>
      </c>
      <c r="X21" s="910"/>
      <c r="Y21" s="4508"/>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582"/>
      <c r="Q22" s="1507"/>
      <c r="R22" s="3764"/>
      <c r="S22" s="3766"/>
      <c r="T22" s="3764"/>
      <c r="U22" s="3766"/>
      <c r="V22" s="3764"/>
      <c r="W22" s="3766"/>
      <c r="X22" s="910"/>
      <c r="Y22" s="4508"/>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582"/>
      <c r="Q23" s="1507" t="str">
        <f>B23</f>
        <v>环境质量</v>
      </c>
      <c r="R23" s="3764" t="s">
        <v>13</v>
      </c>
      <c r="S23" s="3766">
        <f>F23</f>
        <v>100</v>
      </c>
      <c r="T23" s="3764" t="s">
        <v>13</v>
      </c>
      <c r="U23" s="3766">
        <f>H23</f>
        <v>100</v>
      </c>
      <c r="V23" s="3764" t="s">
        <v>13</v>
      </c>
      <c r="W23" s="3766">
        <f>J23</f>
        <v>100</v>
      </c>
      <c r="X23" s="910"/>
      <c r="Y23" s="4508"/>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582"/>
      <c r="Q24" s="1507"/>
      <c r="R24" s="3764"/>
      <c r="S24" s="3766"/>
      <c r="T24" s="3764"/>
      <c r="U24" s="3766"/>
      <c r="V24" s="3764"/>
      <c r="W24" s="3766"/>
      <c r="X24" s="910"/>
      <c r="Y24" s="4508"/>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582"/>
      <c r="Q25" s="1507">
        <f>B25</f>
        <v>111</v>
      </c>
      <c r="R25" s="3764" t="s">
        <v>13</v>
      </c>
      <c r="S25" s="3766">
        <f>F25</f>
        <v>100</v>
      </c>
      <c r="T25" s="3764" t="s">
        <v>13</v>
      </c>
      <c r="U25" s="3766">
        <f>H25</f>
        <v>100</v>
      </c>
      <c r="V25" s="3764" t="s">
        <v>13</v>
      </c>
      <c r="W25" s="3766">
        <f>J25</f>
        <v>100</v>
      </c>
      <c r="X25" s="910"/>
      <c r="Y25" s="4508"/>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582"/>
      <c r="Q26" s="1507">
        <f t="shared" ref="Q26:Q40" si="11">B26</f>
        <v>111</v>
      </c>
      <c r="R26" s="3764" t="s">
        <v>13</v>
      </c>
      <c r="S26" s="3766">
        <f>F26</f>
        <v>100</v>
      </c>
      <c r="T26" s="3764" t="s">
        <v>13</v>
      </c>
      <c r="U26" s="3766">
        <f>H26</f>
        <v>100</v>
      </c>
      <c r="V26" s="3764" t="s">
        <v>13</v>
      </c>
      <c r="W26" s="3766">
        <f>J26</f>
        <v>100</v>
      </c>
      <c r="X26" s="910"/>
      <c r="Y26" s="4508"/>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2"/>
      <c r="Q27" s="1698">
        <f t="shared" si="11"/>
        <v>111</v>
      </c>
      <c r="R27" s="3763" t="s">
        <v>13</v>
      </c>
      <c r="S27" s="3543">
        <f>F27</f>
        <v>100</v>
      </c>
      <c r="T27" s="3763" t="s">
        <v>13</v>
      </c>
      <c r="U27" s="3543">
        <f>H27</f>
        <v>100</v>
      </c>
      <c r="V27" s="3763" t="s">
        <v>13</v>
      </c>
      <c r="W27" s="3543">
        <f>J27</f>
        <v>100</v>
      </c>
      <c r="X27" s="482"/>
      <c r="Y27" s="4508"/>
      <c r="Z27" s="28">
        <f>Q27</f>
        <v>111</v>
      </c>
      <c r="AA27" s="908">
        <f>D27/F27</f>
        <v>1</v>
      </c>
      <c r="AB27" s="908">
        <f>D27/H27</f>
        <v>1</v>
      </c>
      <c r="AC27" s="908">
        <f>D27/J27</f>
        <v>1</v>
      </c>
    </row>
    <row r="28" spans="1:29" ht="15.75"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582"/>
      <c r="Q28" s="1507">
        <f t="shared" si="11"/>
        <v>111</v>
      </c>
      <c r="R28" s="3764" t="s">
        <v>13</v>
      </c>
      <c r="S28" s="3766">
        <f t="shared" ref="S28:S40" si="12">F28</f>
        <v>100</v>
      </c>
      <c r="T28" s="3764" t="s">
        <v>13</v>
      </c>
      <c r="U28" s="3766">
        <f t="shared" ref="U28:U40" si="13">H28</f>
        <v>100</v>
      </c>
      <c r="V28" s="3764" t="s">
        <v>13</v>
      </c>
      <c r="W28" s="3766">
        <f t="shared" ref="W28:W40" si="14">J28</f>
        <v>100</v>
      </c>
      <c r="X28" s="910"/>
      <c r="Y28" s="4508"/>
      <c r="Z28" s="908">
        <f t="shared" ref="Z28:Z40" si="15">Q28</f>
        <v>111</v>
      </c>
      <c r="AA28" s="908">
        <f t="shared" si="3"/>
        <v>1</v>
      </c>
      <c r="AB28" s="908">
        <f t="shared" si="4"/>
        <v>1</v>
      </c>
      <c r="AC28" s="908">
        <f t="shared" si="5"/>
        <v>1</v>
      </c>
    </row>
    <row r="29" spans="1:29" ht="28.5">
      <c r="A29" s="276" t="s">
        <v>1604</v>
      </c>
      <c r="B29" s="34" t="s">
        <v>1727</v>
      </c>
      <c r="C29" s="1420"/>
      <c r="D29" s="2910">
        <v>100</v>
      </c>
      <c r="E29" s="1420"/>
      <c r="F29" s="909">
        <f>SUMIF(88:88,E29,89:89)-SUMIF(88:88,C29,89:89)+100</f>
        <v>100</v>
      </c>
      <c r="G29" s="1420"/>
      <c r="H29" s="3755">
        <f>SUMIF(88:88,G29,89:89)-SUMIF(88:88,C29,89:89)+100</f>
        <v>100</v>
      </c>
      <c r="I29" s="1420"/>
      <c r="J29" s="3758">
        <f>SUMIF(88:88,I29,89:89)-SUMIF(88:88,C29,89:89)+100</f>
        <v>100</v>
      </c>
      <c r="K29" s="394"/>
      <c r="L29" s="602"/>
      <c r="M29" s="593"/>
      <c r="N29" s="593"/>
      <c r="O29" s="601"/>
      <c r="P29" s="4583" t="s">
        <v>1606</v>
      </c>
      <c r="Q29" s="1507" t="str">
        <f t="shared" si="11"/>
        <v>建筑类型</v>
      </c>
      <c r="R29" s="3764" t="s">
        <v>13</v>
      </c>
      <c r="S29" s="3766">
        <f t="shared" si="12"/>
        <v>100</v>
      </c>
      <c r="T29" s="3764" t="s">
        <v>13</v>
      </c>
      <c r="U29" s="3766">
        <f t="shared" si="13"/>
        <v>100</v>
      </c>
      <c r="V29" s="3764" t="s">
        <v>13</v>
      </c>
      <c r="W29" s="3766">
        <f t="shared" si="14"/>
        <v>100</v>
      </c>
      <c r="X29" s="910"/>
      <c r="Y29" s="4512"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4"/>
      <c r="Q30" s="2865" t="str">
        <f t="shared" si="11"/>
        <v>项目建筑规模</v>
      </c>
      <c r="R30" s="3765" t="s">
        <v>13</v>
      </c>
      <c r="S30" s="3767" t="e">
        <f t="shared" si="12"/>
        <v>#N/A</v>
      </c>
      <c r="T30" s="3765" t="s">
        <v>13</v>
      </c>
      <c r="U30" s="3767" t="e">
        <f t="shared" si="13"/>
        <v>#N/A</v>
      </c>
      <c r="V30" s="3765" t="s">
        <v>13</v>
      </c>
      <c r="W30" s="3767" t="e">
        <f t="shared" si="14"/>
        <v>#N/A</v>
      </c>
      <c r="X30" s="484"/>
      <c r="Y30" s="4512"/>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584"/>
      <c r="Q31" s="1507" t="str">
        <f t="shared" si="11"/>
        <v>建筑结构</v>
      </c>
      <c r="R31" s="3764" t="s">
        <v>13</v>
      </c>
      <c r="S31" s="3766">
        <f t="shared" si="12"/>
        <v>100</v>
      </c>
      <c r="T31" s="3764" t="s">
        <v>13</v>
      </c>
      <c r="U31" s="3766">
        <f t="shared" si="13"/>
        <v>100</v>
      </c>
      <c r="V31" s="3764" t="s">
        <v>13</v>
      </c>
      <c r="W31" s="3766">
        <f t="shared" si="14"/>
        <v>100</v>
      </c>
      <c r="X31" s="910"/>
      <c r="Y31" s="4512"/>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584"/>
      <c r="Q32" s="1507" t="str">
        <f t="shared" si="11"/>
        <v>公共部分装修</v>
      </c>
      <c r="R32" s="3764" t="s">
        <v>13</v>
      </c>
      <c r="S32" s="3766">
        <f t="shared" si="12"/>
        <v>100</v>
      </c>
      <c r="T32" s="3764" t="s">
        <v>13</v>
      </c>
      <c r="U32" s="3766">
        <f t="shared" si="13"/>
        <v>100</v>
      </c>
      <c r="V32" s="3764" t="s">
        <v>13</v>
      </c>
      <c r="W32" s="3766">
        <f t="shared" si="14"/>
        <v>100</v>
      </c>
      <c r="X32" s="910"/>
      <c r="Y32" s="4512"/>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584"/>
      <c r="Q33" s="1507" t="str">
        <f t="shared" si="11"/>
        <v>成新度</v>
      </c>
      <c r="R33" s="3764" t="s">
        <v>13</v>
      </c>
      <c r="S33" s="3766" t="e">
        <f t="shared" si="12"/>
        <v>#N/A</v>
      </c>
      <c r="T33" s="3764" t="s">
        <v>13</v>
      </c>
      <c r="U33" s="3766" t="e">
        <f t="shared" si="13"/>
        <v>#N/A</v>
      </c>
      <c r="V33" s="3764" t="s">
        <v>13</v>
      </c>
      <c r="W33" s="3766" t="e">
        <f t="shared" si="14"/>
        <v>#N/A</v>
      </c>
      <c r="X33" s="910"/>
      <c r="Y33" s="4512"/>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584"/>
      <c r="Q34" s="1698" t="str">
        <f t="shared" si="11"/>
        <v>物业管理</v>
      </c>
      <c r="R34" s="3763" t="s">
        <v>13</v>
      </c>
      <c r="S34" s="3543">
        <f t="shared" si="12"/>
        <v>100</v>
      </c>
      <c r="T34" s="3763" t="s">
        <v>13</v>
      </c>
      <c r="U34" s="3543">
        <f t="shared" si="13"/>
        <v>100</v>
      </c>
      <c r="V34" s="3763" t="s">
        <v>13</v>
      </c>
      <c r="W34" s="3543">
        <f t="shared" si="14"/>
        <v>100</v>
      </c>
      <c r="X34" s="482"/>
      <c r="Y34" s="4512"/>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584" t="s">
        <v>1606</v>
      </c>
      <c r="Q35" s="1507" t="str">
        <f t="shared" si="11"/>
        <v>市政基础设施</v>
      </c>
      <c r="R35" s="3764" t="s">
        <v>13</v>
      </c>
      <c r="S35" s="3766">
        <f t="shared" si="12"/>
        <v>100</v>
      </c>
      <c r="T35" s="3764" t="s">
        <v>13</v>
      </c>
      <c r="U35" s="3766">
        <f t="shared" si="13"/>
        <v>100</v>
      </c>
      <c r="V35" s="3764" t="s">
        <v>13</v>
      </c>
      <c r="W35" s="3766">
        <f t="shared" si="14"/>
        <v>100</v>
      </c>
      <c r="X35" s="910"/>
      <c r="Y35" s="4512"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584"/>
      <c r="Q36" s="1507" t="str">
        <f t="shared" si="11"/>
        <v>内部装修</v>
      </c>
      <c r="R36" s="3764" t="s">
        <v>13</v>
      </c>
      <c r="S36" s="3766">
        <f t="shared" si="12"/>
        <v>100</v>
      </c>
      <c r="T36" s="3764" t="s">
        <v>13</v>
      </c>
      <c r="U36" s="3766">
        <f t="shared" si="13"/>
        <v>100</v>
      </c>
      <c r="V36" s="3764" t="s">
        <v>13</v>
      </c>
      <c r="W36" s="3766">
        <f t="shared" si="14"/>
        <v>100</v>
      </c>
      <c r="X36" s="910"/>
      <c r="Y36" s="4512"/>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584"/>
      <c r="Q37" s="1507" t="str">
        <f t="shared" si="11"/>
        <v>内部装修状况</v>
      </c>
      <c r="R37" s="3764" t="s">
        <v>13</v>
      </c>
      <c r="S37" s="3766">
        <f t="shared" si="12"/>
        <v>100</v>
      </c>
      <c r="T37" s="3764" t="s">
        <v>13</v>
      </c>
      <c r="U37" s="3766">
        <f t="shared" si="13"/>
        <v>100</v>
      </c>
      <c r="V37" s="3764" t="s">
        <v>13</v>
      </c>
      <c r="W37" s="3766">
        <f t="shared" si="14"/>
        <v>100</v>
      </c>
      <c r="X37" s="910"/>
      <c r="Y37" s="4512"/>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584"/>
      <c r="Q38" s="2865">
        <f t="shared" si="11"/>
        <v>111</v>
      </c>
      <c r="R38" s="3765" t="s">
        <v>13</v>
      </c>
      <c r="S38" s="3767">
        <f t="shared" si="12"/>
        <v>100</v>
      </c>
      <c r="T38" s="3765" t="s">
        <v>13</v>
      </c>
      <c r="U38" s="3767">
        <f t="shared" si="13"/>
        <v>100</v>
      </c>
      <c r="V38" s="3765" t="s">
        <v>13</v>
      </c>
      <c r="W38" s="3767">
        <f t="shared" si="14"/>
        <v>100</v>
      </c>
      <c r="X38" s="484"/>
      <c r="Y38" s="4512"/>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584"/>
      <c r="Q39" s="1507">
        <f t="shared" si="11"/>
        <v>111</v>
      </c>
      <c r="R39" s="3764" t="s">
        <v>13</v>
      </c>
      <c r="S39" s="3766">
        <f t="shared" si="12"/>
        <v>100</v>
      </c>
      <c r="T39" s="3764" t="s">
        <v>13</v>
      </c>
      <c r="U39" s="3766">
        <f t="shared" si="13"/>
        <v>100</v>
      </c>
      <c r="V39" s="3764" t="s">
        <v>13</v>
      </c>
      <c r="W39" s="3766">
        <f t="shared" si="14"/>
        <v>100</v>
      </c>
      <c r="X39" s="910"/>
      <c r="Y39" s="4512"/>
      <c r="Z39" s="908">
        <f t="shared" si="15"/>
        <v>111</v>
      </c>
      <c r="AA39" s="908">
        <f t="shared" si="3"/>
        <v>1</v>
      </c>
      <c r="AB39" s="908">
        <f t="shared" si="4"/>
        <v>1</v>
      </c>
      <c r="AC39" s="908">
        <f t="shared" si="5"/>
        <v>1</v>
      </c>
    </row>
    <row r="40" spans="1:29" ht="15.75"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585"/>
      <c r="Q40" s="1507">
        <f t="shared" si="11"/>
        <v>111</v>
      </c>
      <c r="R40" s="3764" t="s">
        <v>13</v>
      </c>
      <c r="S40" s="3766">
        <f t="shared" si="12"/>
        <v>100</v>
      </c>
      <c r="T40" s="3764" t="s">
        <v>13</v>
      </c>
      <c r="U40" s="3766">
        <f t="shared" si="13"/>
        <v>100</v>
      </c>
      <c r="V40" s="3764" t="s">
        <v>13</v>
      </c>
      <c r="W40" s="3766">
        <f t="shared" si="14"/>
        <v>100</v>
      </c>
      <c r="X40" s="910"/>
      <c r="Y40" s="4513"/>
      <c r="Z40" s="908">
        <f t="shared" si="15"/>
        <v>111</v>
      </c>
      <c r="AA40" s="908">
        <f t="shared" si="3"/>
        <v>1</v>
      </c>
      <c r="AB40" s="908">
        <f t="shared" si="4"/>
        <v>1</v>
      </c>
      <c r="AC40" s="908">
        <f t="shared" si="5"/>
        <v>1</v>
      </c>
    </row>
    <row r="41" spans="1:29" ht="15">
      <c r="A41" s="286" t="s">
        <v>1618</v>
      </c>
      <c r="B41" s="287"/>
      <c r="C41" s="765" t="s">
        <v>0</v>
      </c>
      <c r="D41" s="288"/>
      <c r="E41" s="3206"/>
      <c r="F41" s="3154"/>
      <c r="G41" s="3207"/>
      <c r="H41" s="3155"/>
      <c r="I41" s="3206"/>
      <c r="J41" s="3155"/>
      <c r="K41" s="2863"/>
      <c r="L41" s="605"/>
      <c r="M41" s="593"/>
      <c r="N41" s="593"/>
      <c r="O41" s="593"/>
      <c r="P41" s="4514" t="str">
        <f>A41</f>
        <v>成交单价（元/平方米）</v>
      </c>
      <c r="Q41" s="4514"/>
      <c r="R41" s="4515">
        <f>E41</f>
        <v>0</v>
      </c>
      <c r="S41" s="4515"/>
      <c r="T41" s="4515">
        <f>G41</f>
        <v>0</v>
      </c>
      <c r="U41" s="4515"/>
      <c r="V41" s="4515">
        <f>I41</f>
        <v>0</v>
      </c>
      <c r="W41" s="4515"/>
      <c r="X41" s="265"/>
      <c r="Y41" s="486"/>
      <c r="Z41" s="265"/>
      <c r="AA41" s="265"/>
      <c r="AB41" s="265"/>
      <c r="AC41" s="265"/>
    </row>
    <row r="42" spans="1:29" ht="15.75" thickBot="1">
      <c r="A42" s="289" t="s">
        <v>1703</v>
      </c>
      <c r="B42" s="290"/>
      <c r="C42" s="3737" t="e">
        <f>R43</f>
        <v>#DIV/0!</v>
      </c>
      <c r="D42" s="3849" t="s">
        <v>2045</v>
      </c>
      <c r="E42" s="2886" t="e">
        <f>R42</f>
        <v>#DIV/0!</v>
      </c>
      <c r="F42" s="2802"/>
      <c r="G42" s="2885" t="e">
        <f>T42</f>
        <v>#DIV/0!</v>
      </c>
      <c r="H42" s="2802"/>
      <c r="I42" s="2886" t="e">
        <f>V42</f>
        <v>#DIV/0!</v>
      </c>
      <c r="J42" s="2802"/>
      <c r="K42" s="2856">
        <f>F42+H42+J42</f>
        <v>0</v>
      </c>
      <c r="L42" s="605"/>
      <c r="M42" s="593"/>
      <c r="N42" s="593"/>
      <c r="O42" s="593"/>
      <c r="P42" s="4514" t="str">
        <f>A42</f>
        <v>比较价值（元/平方米）</v>
      </c>
      <c r="Q42" s="4514"/>
      <c r="R42" s="4515" t="e">
        <f>IF(F1="售价",ROUND(PRODUCT(R41,AA7:AA40),0),ROUND(PRODUCT(R41,AA7:AA40),1))</f>
        <v>#DIV/0!</v>
      </c>
      <c r="S42" s="4515"/>
      <c r="T42" s="4515" t="e">
        <f>IF(F1="售价",ROUND(PRODUCT(T41,AB7:AB40),0),ROUND(PRODUCT(T41,AB7:AB40),1))</f>
        <v>#DIV/0!</v>
      </c>
      <c r="U42" s="4515"/>
      <c r="V42" s="4515" t="e">
        <f>IF(F1="售价",ROUND(PRODUCT(V41,AC7:AC40),0),ROUND(PRODUCT(V41,AC7:AC40),1))</f>
        <v>#DIV/0!</v>
      </c>
      <c r="W42" s="4515"/>
      <c r="X42" s="265"/>
      <c r="Y42" s="265"/>
      <c r="Z42" s="265"/>
      <c r="AA42" s="265"/>
      <c r="AB42" s="265"/>
      <c r="AC42" s="265"/>
    </row>
    <row r="43" spans="1:29" ht="15.75" thickBot="1">
      <c r="A43" s="291" t="s">
        <v>1704</v>
      </c>
      <c r="B43" s="292"/>
      <c r="C43" s="3749" t="e">
        <f>R43</f>
        <v>#DIV/0!</v>
      </c>
      <c r="D43" s="241"/>
      <c r="E43" s="241"/>
      <c r="F43" s="241"/>
      <c r="G43" s="241"/>
      <c r="H43" s="241"/>
      <c r="I43" s="241"/>
      <c r="J43" s="241"/>
      <c r="K43" s="487"/>
      <c r="L43" s="605"/>
      <c r="M43" s="593"/>
      <c r="N43" s="593"/>
      <c r="O43" s="593"/>
      <c r="P43" s="4574" t="str">
        <f>A43</f>
        <v>估价对象XX用房的比较价值（楼面单价，元/平方米）</v>
      </c>
      <c r="Q43" s="4575"/>
      <c r="R43" s="4576" t="e">
        <f>IF(F1="售价",ROUND(IF(D42="简单平均",AVERAGE(R42:V42),R42*F42+T42*H42+V42*J42),0),ROUND(IF(D42="简单平均",AVERAGE(R42:V42),R42*F42+T42*H42+V42*J42),1))</f>
        <v>#DIV/0!</v>
      </c>
      <c r="S43" s="4576"/>
      <c r="T43" s="4576"/>
      <c r="U43" s="4576"/>
      <c r="V43" s="4576"/>
      <c r="W43" s="457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9"/>
      <c r="Q48" s="3189"/>
      <c r="R48" s="3189"/>
      <c r="S48" s="3189"/>
      <c r="T48" s="3189"/>
      <c r="U48" s="3189"/>
      <c r="V48" s="3189"/>
      <c r="W48" s="3189"/>
    </row>
    <row r="49" spans="1:23" s="301" customFormat="1">
      <c r="A49" s="1985"/>
      <c r="B49" s="1988"/>
      <c r="C49" s="1989"/>
      <c r="D49" s="1985"/>
      <c r="E49" s="1985"/>
      <c r="F49" s="1985"/>
      <c r="G49" s="1985"/>
      <c r="H49" s="1985"/>
      <c r="I49" s="1985"/>
      <c r="J49" s="1985"/>
      <c r="K49" s="1990"/>
      <c r="L49" s="608"/>
      <c r="M49" s="606"/>
      <c r="N49" s="606"/>
      <c r="O49" s="606"/>
      <c r="P49" s="3189"/>
      <c r="Q49" s="3189"/>
      <c r="R49" s="3189"/>
      <c r="S49" s="3189"/>
      <c r="T49" s="3189"/>
      <c r="U49" s="3189"/>
      <c r="V49" s="3189"/>
      <c r="W49" s="3189"/>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0"/>
      <c r="Q51" s="3191"/>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2"/>
      <c r="Q52" s="3192"/>
      <c r="R52" s="3192"/>
      <c r="S52" s="3192"/>
      <c r="T52" s="3192"/>
      <c r="U52" s="3192"/>
      <c r="V52" s="3192"/>
      <c r="W52" s="3192"/>
    </row>
    <row r="53" spans="1:23" s="46" customFormat="1" ht="15">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75" thickBot="1">
      <c r="A54" s="312" t="s">
        <v>1626</v>
      </c>
      <c r="B54" s="313"/>
      <c r="C54" s="314"/>
      <c r="D54" s="315"/>
      <c r="E54" s="315"/>
      <c r="F54" s="315"/>
      <c r="G54" s="315"/>
      <c r="H54" s="315"/>
      <c r="I54" s="315"/>
      <c r="J54" s="315"/>
      <c r="K54" s="315"/>
      <c r="L54" s="315"/>
      <c r="M54" s="316"/>
      <c r="N54" s="2026"/>
      <c r="O54" s="2027"/>
      <c r="P54" s="3191"/>
      <c r="Q54" s="3191"/>
      <c r="R54" s="3193"/>
      <c r="S54" s="3193"/>
      <c r="T54" s="3193"/>
      <c r="U54" s="3193"/>
      <c r="V54" s="3193"/>
      <c r="W54" s="3193"/>
    </row>
    <row r="55" spans="1:23" s="46" customFormat="1" ht="15">
      <c r="A55" s="318" t="s">
        <v>1591</v>
      </c>
      <c r="B55" s="307"/>
      <c r="C55" s="319" t="s">
        <v>1686</v>
      </c>
      <c r="D55" s="20"/>
      <c r="E55" s="20"/>
      <c r="F55" s="20"/>
      <c r="G55" s="20"/>
      <c r="H55" s="20"/>
      <c r="I55" s="20"/>
      <c r="J55" s="20"/>
      <c r="K55" s="20"/>
      <c r="L55" s="320"/>
      <c r="M55" s="321"/>
      <c r="N55" s="610"/>
      <c r="O55" s="610"/>
      <c r="P55" s="2604"/>
      <c r="Q55" s="3191"/>
      <c r="R55" s="3193"/>
      <c r="S55" s="3193"/>
      <c r="T55" s="3193"/>
      <c r="U55" s="3193"/>
      <c r="V55" s="3193"/>
      <c r="W55" s="3193"/>
    </row>
    <row r="56" spans="1:23" s="46" customFormat="1" ht="15.75"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c r="A57" s="262" t="s">
        <v>1629</v>
      </c>
      <c r="B57" s="322" t="s">
        <v>1595</v>
      </c>
      <c r="C57" s="323">
        <f>C9</f>
        <v>0</v>
      </c>
      <c r="D57" s="324"/>
      <c r="E57" s="324"/>
      <c r="F57" s="324"/>
      <c r="G57" s="324"/>
      <c r="H57" s="324"/>
      <c r="I57" s="324"/>
      <c r="J57" s="324"/>
      <c r="K57" s="325"/>
      <c r="L57" s="326"/>
      <c r="M57" s="327"/>
      <c r="N57" s="611"/>
      <c r="O57" s="611"/>
      <c r="P57" s="3194"/>
      <c r="Q57" s="3191"/>
    </row>
    <row r="58" spans="1:23" ht="15.75" thickBot="1">
      <c r="A58" s="254"/>
      <c r="B58" s="328"/>
      <c r="C58" s="329">
        <v>100</v>
      </c>
      <c r="D58" s="329"/>
      <c r="E58" s="329"/>
      <c r="F58" s="329"/>
      <c r="G58" s="329"/>
      <c r="H58" s="329"/>
      <c r="I58" s="329"/>
      <c r="J58" s="329"/>
      <c r="K58" s="329"/>
      <c r="L58" s="329"/>
      <c r="M58" s="330"/>
      <c r="N58" s="612"/>
      <c r="O58" s="612"/>
      <c r="P58" s="3194"/>
      <c r="Q58" s="3191"/>
    </row>
    <row r="59" spans="1:23" ht="27.75" thickTop="1">
      <c r="A59" s="254"/>
      <c r="B59" s="331" t="s">
        <v>1598</v>
      </c>
      <c r="C59" s="372"/>
      <c r="D59" s="372"/>
      <c r="E59" s="372"/>
      <c r="F59" s="372"/>
      <c r="G59" s="372"/>
      <c r="H59" s="372"/>
      <c r="I59" s="372"/>
      <c r="J59" s="372"/>
      <c r="K59" s="373"/>
      <c r="L59" s="374"/>
      <c r="M59" s="375"/>
      <c r="N59" s="611"/>
      <c r="O59" s="611"/>
      <c r="P59" s="3194"/>
      <c r="Q59" s="3191"/>
    </row>
    <row r="60" spans="1:23" ht="15.75" thickBot="1">
      <c r="A60" s="254"/>
      <c r="B60" s="336" t="s">
        <v>3887</v>
      </c>
      <c r="C60" s="329"/>
      <c r="D60" s="329"/>
      <c r="E60" s="329"/>
      <c r="F60" s="329"/>
      <c r="G60" s="329"/>
      <c r="H60" s="329"/>
      <c r="I60" s="329"/>
      <c r="J60" s="329"/>
      <c r="K60" s="329"/>
      <c r="L60" s="329"/>
      <c r="M60" s="330"/>
      <c r="N60" s="612"/>
      <c r="O60" s="612"/>
      <c r="P60" s="3194"/>
      <c r="Q60" s="3191"/>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ht="15">
      <c r="A62" s="254"/>
      <c r="B62" s="341"/>
      <c r="C62" s="342">
        <v>0</v>
      </c>
      <c r="D62" s="342">
        <v>0.5</v>
      </c>
      <c r="E62" s="342">
        <v>1</v>
      </c>
      <c r="F62" s="342">
        <v>1.5</v>
      </c>
      <c r="G62" s="342">
        <v>2</v>
      </c>
      <c r="H62" s="342"/>
      <c r="I62" s="342"/>
      <c r="J62" s="342"/>
      <c r="K62" s="343"/>
      <c r="L62" s="344"/>
      <c r="M62" s="345"/>
      <c r="N62" s="611"/>
      <c r="O62" s="611"/>
      <c r="P62" s="3194"/>
      <c r="Q62" s="319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5.75"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5.75"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5.75"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5.75"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5.75"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5.75"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5.75"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5.75"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5.75"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5.75"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5.75"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5.75"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5.75" thickTop="1">
      <c r="A86" s="254"/>
      <c r="B86" s="339">
        <f>B28</f>
        <v>111</v>
      </c>
      <c r="C86" s="20"/>
      <c r="D86" s="20"/>
      <c r="E86" s="20"/>
      <c r="F86" s="20"/>
      <c r="G86" s="376"/>
      <c r="H86" s="376"/>
      <c r="I86" s="376"/>
      <c r="J86" s="376"/>
      <c r="K86" s="377"/>
      <c r="L86" s="378"/>
      <c r="M86" s="379"/>
      <c r="N86" s="611"/>
      <c r="O86" s="611"/>
      <c r="P86" s="3194"/>
      <c r="Q86" s="3191"/>
    </row>
    <row r="87" spans="1:23" ht="15.75" thickBot="1">
      <c r="A87" s="260"/>
      <c r="B87" s="360"/>
      <c r="C87" s="361"/>
      <c r="D87" s="361"/>
      <c r="E87" s="361"/>
      <c r="F87" s="361"/>
      <c r="G87" s="380"/>
      <c r="H87" s="380"/>
      <c r="I87" s="380"/>
      <c r="J87" s="380"/>
      <c r="K87" s="380"/>
      <c r="L87" s="380"/>
      <c r="M87" s="381"/>
      <c r="N87" s="612"/>
      <c r="O87" s="612"/>
      <c r="P87" s="3194"/>
      <c r="Q87" s="3191"/>
    </row>
    <row r="88" spans="1:23">
      <c r="A88" s="262" t="s">
        <v>1604</v>
      </c>
      <c r="B88" s="322" t="s">
        <v>1646</v>
      </c>
      <c r="C88" s="324"/>
      <c r="D88" s="324"/>
      <c r="E88" s="324"/>
      <c r="F88" s="324"/>
      <c r="G88" s="324"/>
      <c r="H88" s="324"/>
      <c r="I88" s="324"/>
      <c r="J88" s="324"/>
      <c r="K88" s="325"/>
      <c r="L88" s="326"/>
      <c r="M88" s="327"/>
      <c r="N88" s="611"/>
      <c r="O88" s="611"/>
      <c r="P88" s="3194"/>
      <c r="Q88" s="319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5.75"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5"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5.75"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5" thickTop="1">
      <c r="A110" s="280"/>
      <c r="B110" s="331">
        <f>B39</f>
        <v>111</v>
      </c>
      <c r="C110" s="347"/>
      <c r="D110" s="347"/>
      <c r="E110" s="347"/>
      <c r="F110" s="347"/>
      <c r="G110" s="347"/>
      <c r="H110" s="348"/>
      <c r="I110" s="348"/>
      <c r="J110" s="348"/>
      <c r="K110" s="348"/>
      <c r="L110" s="349"/>
      <c r="M110" s="350"/>
      <c r="N110" s="611"/>
      <c r="O110" s="611"/>
      <c r="P110" s="3194"/>
      <c r="Q110" s="3191"/>
    </row>
    <row r="111" spans="1:23" ht="15.75" thickBot="1">
      <c r="A111" s="254"/>
      <c r="B111" s="336"/>
      <c r="C111" s="352"/>
      <c r="D111" s="329"/>
      <c r="E111" s="329"/>
      <c r="F111" s="329"/>
      <c r="G111" s="352"/>
      <c r="H111" s="354"/>
      <c r="I111" s="354"/>
      <c r="J111" s="354"/>
      <c r="K111" s="354"/>
      <c r="L111" s="354"/>
      <c r="M111" s="355"/>
      <c r="N111" s="612"/>
      <c r="O111" s="612"/>
      <c r="P111" s="3194"/>
      <c r="Q111" s="3191"/>
    </row>
    <row r="112" spans="1:23" ht="15" thickTop="1">
      <c r="A112" s="280"/>
      <c r="B112" s="339">
        <f>B40</f>
        <v>111</v>
      </c>
      <c r="C112" s="20"/>
      <c r="D112" s="20"/>
      <c r="E112" s="20"/>
      <c r="F112" s="20"/>
      <c r="G112" s="376"/>
      <c r="H112" s="376"/>
      <c r="I112" s="376"/>
      <c r="J112" s="376"/>
      <c r="K112" s="20"/>
      <c r="L112" s="320"/>
      <c r="M112" s="379"/>
      <c r="N112" s="611"/>
      <c r="O112" s="611"/>
      <c r="P112" s="3194"/>
      <c r="Q112" s="3191"/>
    </row>
    <row r="113" spans="1:17" ht="15.75"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0" t="s">
        <v>3483</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82" t="s">
        <v>1680</v>
      </c>
      <c r="D4" s="4483"/>
      <c r="E4" s="4484" t="s">
        <v>1681</v>
      </c>
      <c r="F4" s="4485"/>
      <c r="G4" s="4482" t="s">
        <v>1682</v>
      </c>
      <c r="H4" s="4483"/>
      <c r="I4" s="4482" t="s">
        <v>1683</v>
      </c>
      <c r="J4" s="4483"/>
      <c r="K4" s="393" t="s">
        <v>1684</v>
      </c>
      <c r="L4" s="1974"/>
      <c r="M4" s="1975"/>
      <c r="N4" s="1975"/>
      <c r="O4" s="1975"/>
      <c r="P4" s="4587" t="s">
        <v>1685</v>
      </c>
      <c r="Q4" s="4588"/>
      <c r="R4" s="4572" t="s">
        <v>1681</v>
      </c>
      <c r="S4" s="4573"/>
      <c r="T4" s="4572" t="s">
        <v>1682</v>
      </c>
      <c r="U4" s="4573"/>
      <c r="V4" s="4577" t="s">
        <v>1683</v>
      </c>
      <c r="W4" s="4577"/>
      <c r="X4" s="910"/>
      <c r="Y4" s="4572" t="s">
        <v>1685</v>
      </c>
      <c r="Z4" s="4573"/>
      <c r="AA4" s="4552" t="s">
        <v>1681</v>
      </c>
      <c r="AB4" s="4463" t="s">
        <v>1682</v>
      </c>
      <c r="AC4" s="4552" t="s">
        <v>1683</v>
      </c>
    </row>
    <row r="5" spans="1:29" ht="15">
      <c r="A5" s="238"/>
      <c r="B5" s="239"/>
      <c r="C5" s="4580" t="s">
        <v>1583</v>
      </c>
      <c r="D5" s="4472"/>
      <c r="E5" s="4578" t="s">
        <v>1584</v>
      </c>
      <c r="F5" s="4579"/>
      <c r="G5" s="4580" t="s">
        <v>1585</v>
      </c>
      <c r="H5" s="4472"/>
      <c r="I5" s="4580" t="s">
        <v>1586</v>
      </c>
      <c r="J5" s="4472"/>
      <c r="K5" s="393"/>
      <c r="L5" s="1974"/>
      <c r="M5" s="1975"/>
      <c r="N5" s="1975"/>
      <c r="O5" s="1975"/>
      <c r="P5" s="4589"/>
      <c r="Q5" s="4590"/>
      <c r="R5" s="4500"/>
      <c r="S5" s="4501"/>
      <c r="T5" s="4500"/>
      <c r="U5" s="4501"/>
      <c r="V5" s="4577"/>
      <c r="W5" s="4577"/>
      <c r="X5" s="910"/>
      <c r="Y5" s="4500"/>
      <c r="Z5" s="4501"/>
      <c r="AA5" s="4463"/>
      <c r="AB5" s="4463"/>
      <c r="AC5" s="4463"/>
    </row>
    <row r="6" spans="1:29" ht="15.75" thickBot="1">
      <c r="A6" s="240"/>
      <c r="B6" s="241"/>
      <c r="C6" s="4473" t="s">
        <v>1587</v>
      </c>
      <c r="D6" s="4474"/>
      <c r="E6" s="4475" t="s">
        <v>1587</v>
      </c>
      <c r="F6" s="4476"/>
      <c r="G6" s="4473" t="s">
        <v>1587</v>
      </c>
      <c r="H6" s="4474"/>
      <c r="I6" s="4473" t="s">
        <v>1587</v>
      </c>
      <c r="J6" s="4474"/>
      <c r="K6" s="393" t="s">
        <v>1588</v>
      </c>
      <c r="L6" s="1974"/>
      <c r="M6" s="1975"/>
      <c r="N6" s="1975"/>
      <c r="O6" s="1975"/>
      <c r="P6" s="4591"/>
      <c r="Q6" s="4592"/>
      <c r="R6" s="4500"/>
      <c r="S6" s="4501"/>
      <c r="T6" s="4502"/>
      <c r="U6" s="4503"/>
      <c r="V6" s="4577"/>
      <c r="W6" s="4577"/>
      <c r="X6" s="910"/>
      <c r="Y6" s="4502"/>
      <c r="Z6" s="4503"/>
      <c r="AA6" s="4464"/>
      <c r="AB6" s="4464"/>
      <c r="AC6" s="4464"/>
    </row>
    <row r="7" spans="1:29" s="46" customFormat="1" ht="15.75" thickBot="1">
      <c r="A7" s="242" t="s">
        <v>1589</v>
      </c>
      <c r="B7" s="243"/>
      <c r="C7" s="244">
        <f>'数据-取费表'!B2</f>
        <v>46051</v>
      </c>
      <c r="D7" s="2899">
        <v>100</v>
      </c>
      <c r="E7" s="245"/>
      <c r="F7" s="3751">
        <f>SUMIF(48:48,YEAR(E7)&amp;"-"&amp;MONTH(E7),49:49)</f>
        <v>0</v>
      </c>
      <c r="G7" s="245"/>
      <c r="H7" s="3757">
        <f>SUMIF(48:48,YEAR(G7)&amp;"-"&amp;MONTH(G7),49:49)</f>
        <v>0</v>
      </c>
      <c r="I7" s="245"/>
      <c r="J7" s="3757">
        <f>SUMIF(48:48,YEAR(I7)&amp;"-"&amp;MONTH(I7),49:49)</f>
        <v>0</v>
      </c>
      <c r="K7" s="22"/>
      <c r="L7" s="1976"/>
      <c r="M7" s="1929"/>
      <c r="N7" s="1929"/>
      <c r="O7" s="1929"/>
      <c r="P7" s="4465" t="s">
        <v>1590</v>
      </c>
      <c r="Q7" s="4593"/>
      <c r="R7" s="3770" t="s">
        <v>13</v>
      </c>
      <c r="S7" s="3773">
        <f t="shared" ref="S7:S14" si="0">F7</f>
        <v>0</v>
      </c>
      <c r="T7" s="3770" t="s">
        <v>13</v>
      </c>
      <c r="U7" s="3773">
        <f t="shared" ref="U7:U14" si="1">H7</f>
        <v>0</v>
      </c>
      <c r="V7" s="3770" t="s">
        <v>13</v>
      </c>
      <c r="W7" s="3773">
        <f t="shared" ref="W7:W14" si="2">J7</f>
        <v>0</v>
      </c>
      <c r="X7" s="482"/>
      <c r="Y7" s="4465" t="s">
        <v>1590</v>
      </c>
      <c r="Z7" s="4466"/>
      <c r="AA7" s="28" t="e">
        <f>D7/F7</f>
        <v>#DIV/0!</v>
      </c>
      <c r="AB7" s="28" t="e">
        <f>D7/H7</f>
        <v>#DIV/0!</v>
      </c>
      <c r="AC7" s="28" t="e">
        <f>D7/J7</f>
        <v>#DIV/0!</v>
      </c>
    </row>
    <row r="8" spans="1:29" s="46" customFormat="1" ht="15.7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6"/>
      <c r="M8" s="1929"/>
      <c r="N8" s="1929"/>
      <c r="O8" s="1929"/>
      <c r="P8" s="4465" t="s">
        <v>1593</v>
      </c>
      <c r="Q8" s="4466"/>
      <c r="R8" s="3770" t="s">
        <v>13</v>
      </c>
      <c r="S8" s="3773">
        <f t="shared" si="0"/>
        <v>100</v>
      </c>
      <c r="T8" s="3770" t="s">
        <v>13</v>
      </c>
      <c r="U8" s="3773">
        <f t="shared" si="1"/>
        <v>100</v>
      </c>
      <c r="V8" s="3770" t="s">
        <v>13</v>
      </c>
      <c r="W8" s="3773">
        <f t="shared" si="2"/>
        <v>100</v>
      </c>
      <c r="X8" s="482"/>
      <c r="Y8" s="4465" t="s">
        <v>1593</v>
      </c>
      <c r="Z8" s="4466"/>
      <c r="AA8" s="28">
        <f t="shared" ref="AA8:AA36" si="3">D8/F8</f>
        <v>1</v>
      </c>
      <c r="AB8" s="28">
        <f t="shared" ref="AB8:AB36" si="4">D8/H8</f>
        <v>1</v>
      </c>
      <c r="AC8" s="28">
        <f t="shared" ref="AC8:AC36" si="5">D8/J8</f>
        <v>1</v>
      </c>
    </row>
    <row r="9" spans="1:29" s="46" customFormat="1">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6"/>
      <c r="M9" s="1929"/>
      <c r="N9" s="1929"/>
      <c r="O9" s="1929"/>
      <c r="P9" s="4586" t="s">
        <v>1596</v>
      </c>
      <c r="Q9" s="389" t="str">
        <f t="shared" ref="Q9:Q14" si="6">B9</f>
        <v>用途</v>
      </c>
      <c r="R9" s="3770" t="s">
        <v>13</v>
      </c>
      <c r="S9" s="3773">
        <f t="shared" si="0"/>
        <v>100</v>
      </c>
      <c r="T9" s="3770" t="s">
        <v>13</v>
      </c>
      <c r="U9" s="3773">
        <f t="shared" si="1"/>
        <v>100</v>
      </c>
      <c r="V9" s="3770" t="s">
        <v>13</v>
      </c>
      <c r="W9" s="3773">
        <f t="shared" si="2"/>
        <v>100</v>
      </c>
      <c r="X9" s="482"/>
      <c r="Y9" s="4478" t="s">
        <v>1597</v>
      </c>
      <c r="Z9" s="28" t="str">
        <f t="shared" ref="Z9:Z14" si="7">Q9</f>
        <v>用途</v>
      </c>
      <c r="AA9" s="28">
        <f t="shared" si="3"/>
        <v>1</v>
      </c>
      <c r="AB9" s="28">
        <f t="shared" si="4"/>
        <v>1</v>
      </c>
      <c r="AC9" s="28">
        <f t="shared" si="5"/>
        <v>1</v>
      </c>
    </row>
    <row r="10" spans="1:29" s="253" customFormat="1" ht="27">
      <c r="A10" s="413"/>
      <c r="B10" s="414" t="s">
        <v>1598</v>
      </c>
      <c r="C10" s="2476"/>
      <c r="D10" s="2901">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6"/>
      <c r="Q10" s="389" t="str">
        <f t="shared" si="6"/>
        <v>土地使用年限（年）</v>
      </c>
      <c r="R10" s="3770" t="s">
        <v>13</v>
      </c>
      <c r="S10" s="3773">
        <f t="shared" si="0"/>
        <v>100</v>
      </c>
      <c r="T10" s="3770" t="s">
        <v>13</v>
      </c>
      <c r="U10" s="3773">
        <f t="shared" si="1"/>
        <v>100</v>
      </c>
      <c r="V10" s="3770" t="s">
        <v>13</v>
      </c>
      <c r="W10" s="3773">
        <f t="shared" si="2"/>
        <v>100</v>
      </c>
      <c r="X10" s="482"/>
      <c r="Y10" s="4478"/>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6"/>
      <c r="Q11" s="389">
        <f t="shared" si="6"/>
        <v>111</v>
      </c>
      <c r="R11" s="3770" t="s">
        <v>13</v>
      </c>
      <c r="S11" s="3773">
        <f t="shared" si="0"/>
        <v>100</v>
      </c>
      <c r="T11" s="3770" t="s">
        <v>13</v>
      </c>
      <c r="U11" s="3773">
        <f t="shared" si="1"/>
        <v>100</v>
      </c>
      <c r="V11" s="3770" t="s">
        <v>13</v>
      </c>
      <c r="W11" s="3773">
        <f t="shared" si="2"/>
        <v>100</v>
      </c>
      <c r="X11" s="482"/>
      <c r="Y11" s="4478"/>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6"/>
      <c r="Q12" s="389">
        <f t="shared" si="6"/>
        <v>111</v>
      </c>
      <c r="R12" s="3770" t="s">
        <v>13</v>
      </c>
      <c r="S12" s="3773">
        <f t="shared" si="0"/>
        <v>100</v>
      </c>
      <c r="T12" s="3770" t="s">
        <v>13</v>
      </c>
      <c r="U12" s="3773">
        <f t="shared" si="1"/>
        <v>100</v>
      </c>
      <c r="V12" s="3770" t="s">
        <v>13</v>
      </c>
      <c r="W12" s="3773">
        <f t="shared" si="2"/>
        <v>100</v>
      </c>
      <c r="X12" s="482"/>
      <c r="Y12" s="4478"/>
      <c r="Z12" s="28">
        <f t="shared" si="7"/>
        <v>111</v>
      </c>
      <c r="AA12" s="28">
        <f>D12/F12</f>
        <v>1</v>
      </c>
      <c r="AB12" s="28">
        <f>D12/H12</f>
        <v>1</v>
      </c>
      <c r="AC12" s="28">
        <f>D12/J12</f>
        <v>1</v>
      </c>
    </row>
    <row r="13" spans="1:29" ht="15.75"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0"/>
      <c r="M13" s="1975"/>
      <c r="N13" s="1975"/>
      <c r="O13" s="1975"/>
      <c r="P13" s="4586"/>
      <c r="Q13" s="389">
        <f t="shared" si="6"/>
        <v>111</v>
      </c>
      <c r="R13" s="3770" t="s">
        <v>13</v>
      </c>
      <c r="S13" s="3773">
        <f t="shared" si="0"/>
        <v>100</v>
      </c>
      <c r="T13" s="3770" t="s">
        <v>13</v>
      </c>
      <c r="U13" s="3773">
        <f t="shared" si="1"/>
        <v>100</v>
      </c>
      <c r="V13" s="3770" t="s">
        <v>13</v>
      </c>
      <c r="W13" s="3773">
        <f t="shared" si="2"/>
        <v>100</v>
      </c>
      <c r="X13" s="482"/>
      <c r="Y13" s="4478"/>
      <c r="Z13" s="28">
        <f t="shared" si="7"/>
        <v>111</v>
      </c>
      <c r="AA13" s="28">
        <f t="shared" si="3"/>
        <v>1</v>
      </c>
      <c r="AB13" s="28">
        <f t="shared" si="4"/>
        <v>1</v>
      </c>
      <c r="AC13" s="28">
        <f t="shared" si="5"/>
        <v>1</v>
      </c>
    </row>
    <row r="14" spans="1:29" ht="85.5">
      <c r="A14" s="235" t="s">
        <v>1600</v>
      </c>
      <c r="B14" s="403" t="s">
        <v>1743</v>
      </c>
      <c r="C14" s="1424" t="str">
        <f>IF(B1="工业",估价对象房地状况!G4,估价对象房地状况!C6)</f>
        <v>估价对象周边道路状况、公共交通通达情况、停车便捷程度，综合评价交通便捷度较好</v>
      </c>
      <c r="D14" s="2905">
        <v>100</v>
      </c>
      <c r="E14" s="263"/>
      <c r="F14" s="3759">
        <f>SUMIF(63:63,E15,64:64)-SUMIF(63:63,C15,64:64)+100</f>
        <v>100</v>
      </c>
      <c r="G14" s="264"/>
      <c r="H14" s="3753">
        <f>SUMIF(63:63,G15,64:64)-SUMIF(63:63,C15,64:64)+100</f>
        <v>100</v>
      </c>
      <c r="I14" s="263"/>
      <c r="J14" s="3753">
        <f>SUMIF(63:63,I15,64:64)-SUMIF(63:63,C15,64:64)+100</f>
        <v>100</v>
      </c>
      <c r="K14" s="396"/>
      <c r="L14" s="1980"/>
      <c r="M14" s="1975"/>
      <c r="N14" s="1975"/>
      <c r="O14" s="1975"/>
      <c r="P14" s="4507" t="s">
        <v>1601</v>
      </c>
      <c r="Q14" s="907" t="str">
        <f t="shared" si="6"/>
        <v>交通便捷度</v>
      </c>
      <c r="R14" s="3771" t="s">
        <v>13</v>
      </c>
      <c r="S14" s="3774">
        <f t="shared" si="0"/>
        <v>100</v>
      </c>
      <c r="T14" s="3771" t="s">
        <v>13</v>
      </c>
      <c r="U14" s="3774">
        <f t="shared" si="1"/>
        <v>100</v>
      </c>
      <c r="V14" s="3771" t="s">
        <v>13</v>
      </c>
      <c r="W14" s="3774">
        <f t="shared" si="2"/>
        <v>100</v>
      </c>
      <c r="X14" s="910"/>
      <c r="Y14" s="4507"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0"/>
      <c r="M15" s="1975"/>
      <c r="N15" s="1975"/>
      <c r="O15" s="1975"/>
      <c r="P15" s="4508"/>
      <c r="Q15" s="907"/>
      <c r="R15" s="3771"/>
      <c r="S15" s="3774"/>
      <c r="T15" s="3771"/>
      <c r="U15" s="3774"/>
      <c r="V15" s="3771"/>
      <c r="W15" s="3774"/>
      <c r="X15" s="910"/>
      <c r="Y15" s="4508"/>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8">
        <v>100</v>
      </c>
      <c r="E16" s="273"/>
      <c r="F16" s="3762">
        <f>SUMIF(65:65,E17,66:66)-SUMIF(65:65,C17,66:66)+100</f>
        <v>100</v>
      </c>
      <c r="G16" s="274"/>
      <c r="H16" s="3754">
        <f>SUMIF(65:65,G17,66:66)-SUMIF(65:65,C17,66:66)+100</f>
        <v>100</v>
      </c>
      <c r="I16" s="273"/>
      <c r="J16" s="3754">
        <f>SUMIF(65:65,I17,66:66)-SUMIF(65:65,C17,66:66)+100</f>
        <v>100</v>
      </c>
      <c r="K16" s="396"/>
      <c r="L16" s="1980"/>
      <c r="M16" s="1975"/>
      <c r="N16" s="1975"/>
      <c r="O16" s="1975"/>
      <c r="P16" s="4508"/>
      <c r="Q16" s="907" t="str">
        <f>B16</f>
        <v>公共配套设施</v>
      </c>
      <c r="R16" s="3771" t="s">
        <v>13</v>
      </c>
      <c r="S16" s="3774">
        <f>F16</f>
        <v>100</v>
      </c>
      <c r="T16" s="3771" t="s">
        <v>13</v>
      </c>
      <c r="U16" s="3774">
        <f>H16</f>
        <v>100</v>
      </c>
      <c r="V16" s="3771" t="s">
        <v>13</v>
      </c>
      <c r="W16" s="3774">
        <f>J16</f>
        <v>100</v>
      </c>
      <c r="X16" s="910"/>
      <c r="Y16" s="4508"/>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0"/>
      <c r="M17" s="1975"/>
      <c r="N17" s="1975"/>
      <c r="O17" s="1975"/>
      <c r="P17" s="4508"/>
      <c r="Q17" s="907"/>
      <c r="R17" s="3771"/>
      <c r="S17" s="3774"/>
      <c r="T17" s="3771"/>
      <c r="U17" s="3774"/>
      <c r="V17" s="3771"/>
      <c r="W17" s="3774"/>
      <c r="X17" s="910"/>
      <c r="Y17" s="4508"/>
      <c r="Z17" s="908"/>
      <c r="AA17" s="908">
        <v>1</v>
      </c>
      <c r="AB17" s="908">
        <v>1</v>
      </c>
      <c r="AC17" s="908">
        <v>1</v>
      </c>
    </row>
    <row r="18" spans="1:29" ht="28.5">
      <c r="A18" s="238"/>
      <c r="B18" s="407" t="s">
        <v>1723</v>
      </c>
      <c r="C18" s="1365" t="str">
        <f>IF(B1="工业",估价对象房地状况!G6,估价对象房地状况!C8)</f>
        <v>估价对象所在区域基础设施水平</v>
      </c>
      <c r="D18" s="2907">
        <v>100</v>
      </c>
      <c r="E18" s="270"/>
      <c r="F18" s="3762">
        <f>SUMIF(67:67,E19,68:68)-SUMIF(67:67,C19,68:68)+100</f>
        <v>100</v>
      </c>
      <c r="G18" s="271"/>
      <c r="H18" s="3754">
        <f>SUMIF(67:67,G19,68:68)-SUMIF(67:67,C19,68:68)+100</f>
        <v>100</v>
      </c>
      <c r="I18" s="270"/>
      <c r="J18" s="3754">
        <f>SUMIF(67:67,I19,68:68)-SUMIF(67:67,C19,68:68)+100</f>
        <v>100</v>
      </c>
      <c r="K18" s="396"/>
      <c r="L18" s="1980"/>
      <c r="M18" s="1975"/>
      <c r="N18" s="1975"/>
      <c r="O18" s="1975"/>
      <c r="P18" s="4508"/>
      <c r="Q18" s="907" t="str">
        <f>B18</f>
        <v>基础设施水平</v>
      </c>
      <c r="R18" s="3771" t="s">
        <v>13</v>
      </c>
      <c r="S18" s="3774">
        <f>F18</f>
        <v>100</v>
      </c>
      <c r="T18" s="3771" t="s">
        <v>13</v>
      </c>
      <c r="U18" s="3774">
        <f>H18</f>
        <v>100</v>
      </c>
      <c r="V18" s="3771" t="s">
        <v>13</v>
      </c>
      <c r="W18" s="3774">
        <f>J18</f>
        <v>100</v>
      </c>
      <c r="X18" s="910"/>
      <c r="Y18" s="4508"/>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0"/>
      <c r="M19" s="1975"/>
      <c r="N19" s="1975"/>
      <c r="O19" s="1975"/>
      <c r="P19" s="4508"/>
      <c r="Q19" s="907"/>
      <c r="R19" s="3771"/>
      <c r="S19" s="3774"/>
      <c r="T19" s="3771"/>
      <c r="U19" s="3774"/>
      <c r="V19" s="3771"/>
      <c r="W19" s="3774"/>
      <c r="X19" s="910"/>
      <c r="Y19" s="4508"/>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8">
        <v>100</v>
      </c>
      <c r="E20" s="273"/>
      <c r="F20" s="3762">
        <f>SUMIF(69:69,E21,70:70)-SUMIF(69:69,C21,70:70)+100</f>
        <v>100</v>
      </c>
      <c r="G20" s="274"/>
      <c r="H20" s="268">
        <f>SUMIF(69:69,G21,70:70)-SUMIF(69:69,C21,70:70)+100</f>
        <v>100</v>
      </c>
      <c r="I20" s="270"/>
      <c r="J20" s="268">
        <f>SUMIF(69:69,I21,70:70)-SUMIF(69:69,C21,70:70)+100</f>
        <v>100</v>
      </c>
      <c r="K20" s="396"/>
      <c r="L20" s="1980"/>
      <c r="M20" s="1975"/>
      <c r="N20" s="1975"/>
      <c r="O20" s="1975"/>
      <c r="P20" s="4508"/>
      <c r="Q20" s="907" t="str">
        <f>B20</f>
        <v>自然及人文环境</v>
      </c>
      <c r="R20" s="3771" t="s">
        <v>13</v>
      </c>
      <c r="S20" s="3774">
        <f>F20</f>
        <v>100</v>
      </c>
      <c r="T20" s="3771" t="s">
        <v>13</v>
      </c>
      <c r="U20" s="3774">
        <f>H20</f>
        <v>100</v>
      </c>
      <c r="V20" s="3771" t="s">
        <v>13</v>
      </c>
      <c r="W20" s="3774">
        <f>J20</f>
        <v>100</v>
      </c>
      <c r="X20" s="910"/>
      <c r="Y20" s="4508"/>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0"/>
      <c r="M21" s="1975"/>
      <c r="N21" s="1975"/>
      <c r="O21" s="1975"/>
      <c r="P21" s="4508"/>
      <c r="Q21" s="907"/>
      <c r="R21" s="3771"/>
      <c r="S21" s="3774"/>
      <c r="T21" s="3771"/>
      <c r="U21" s="3774"/>
      <c r="V21" s="3771"/>
      <c r="W21" s="3774"/>
      <c r="X21" s="910"/>
      <c r="Y21" s="4508"/>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0"/>
      <c r="M22" s="1975"/>
      <c r="N22" s="1975"/>
      <c r="O22" s="1975"/>
      <c r="P22" s="4508"/>
      <c r="Q22" s="907" t="str">
        <f>B22</f>
        <v>楼层</v>
      </c>
      <c r="R22" s="3771" t="s">
        <v>13</v>
      </c>
      <c r="S22" s="3774">
        <f>F22</f>
        <v>100</v>
      </c>
      <c r="T22" s="3771" t="s">
        <v>13</v>
      </c>
      <c r="U22" s="3774">
        <f>H22</f>
        <v>100</v>
      </c>
      <c r="V22" s="3771" t="s">
        <v>13</v>
      </c>
      <c r="W22" s="3774">
        <f>J22</f>
        <v>100</v>
      </c>
      <c r="X22" s="910"/>
      <c r="Y22" s="4508"/>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0"/>
      <c r="M23" s="1975"/>
      <c r="N23" s="1975"/>
      <c r="O23" s="1975"/>
      <c r="P23" s="4508"/>
      <c r="Q23" s="907">
        <f>B23</f>
        <v>111</v>
      </c>
      <c r="R23" s="3771" t="s">
        <v>13</v>
      </c>
      <c r="S23" s="3774">
        <f>F23</f>
        <v>100</v>
      </c>
      <c r="T23" s="3771" t="s">
        <v>13</v>
      </c>
      <c r="U23" s="3774">
        <f>H23</f>
        <v>100</v>
      </c>
      <c r="V23" s="3771" t="s">
        <v>13</v>
      </c>
      <c r="W23" s="3774">
        <f>J23</f>
        <v>100</v>
      </c>
      <c r="X23" s="910"/>
      <c r="Y23" s="4508"/>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0"/>
      <c r="M24" s="1975"/>
      <c r="N24" s="1975"/>
      <c r="O24" s="1975"/>
      <c r="P24" s="4508"/>
      <c r="Q24" s="907">
        <f t="shared" ref="Q24:Q36" si="11">B24</f>
        <v>111</v>
      </c>
      <c r="R24" s="3771" t="s">
        <v>13</v>
      </c>
      <c r="S24" s="3774">
        <f>F24</f>
        <v>100</v>
      </c>
      <c r="T24" s="3771" t="s">
        <v>13</v>
      </c>
      <c r="U24" s="3774">
        <f>H24</f>
        <v>100</v>
      </c>
      <c r="V24" s="3771" t="s">
        <v>13</v>
      </c>
      <c r="W24" s="3774">
        <f>J24</f>
        <v>100</v>
      </c>
      <c r="X24" s="910"/>
      <c r="Y24" s="4508"/>
      <c r="Z24" s="908">
        <f>Q24</f>
        <v>111</v>
      </c>
      <c r="AA24" s="908">
        <f t="shared" si="3"/>
        <v>1</v>
      </c>
      <c r="AB24" s="908">
        <f t="shared" si="4"/>
        <v>1</v>
      </c>
      <c r="AC24" s="908">
        <f t="shared" si="5"/>
        <v>1</v>
      </c>
    </row>
    <row r="25" spans="1:29" s="46" customFormat="1" ht="15.75"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6"/>
      <c r="M25" s="1929"/>
      <c r="N25" s="1929"/>
      <c r="O25" s="1929"/>
      <c r="P25" s="4508"/>
      <c r="Q25" s="389">
        <f t="shared" si="11"/>
        <v>111</v>
      </c>
      <c r="R25" s="3770" t="s">
        <v>13</v>
      </c>
      <c r="S25" s="3773">
        <f>F25</f>
        <v>100</v>
      </c>
      <c r="T25" s="3770" t="s">
        <v>13</v>
      </c>
      <c r="U25" s="3773">
        <f>H25</f>
        <v>100</v>
      </c>
      <c r="V25" s="3770" t="s">
        <v>13</v>
      </c>
      <c r="W25" s="3773">
        <f>J25</f>
        <v>100</v>
      </c>
      <c r="X25" s="482"/>
      <c r="Y25" s="4508"/>
      <c r="Z25" s="28">
        <f>Q25</f>
        <v>111</v>
      </c>
      <c r="AA25" s="908">
        <f>D25/F25</f>
        <v>1</v>
      </c>
      <c r="AB25" s="908">
        <f>D25/H25</f>
        <v>1</v>
      </c>
      <c r="AC25" s="908">
        <f>D25/J25</f>
        <v>1</v>
      </c>
    </row>
    <row r="26" spans="1:29" ht="28.5">
      <c r="A26" s="420" t="s">
        <v>1604</v>
      </c>
      <c r="B26" s="33" t="s">
        <v>1746</v>
      </c>
      <c r="C26" s="1425" t="str">
        <f>B1</f>
        <v>车库</v>
      </c>
      <c r="D26" s="2906">
        <v>100</v>
      </c>
      <c r="E26" s="266"/>
      <c r="F26" s="3760">
        <f>SUMIF(79:79,E26,80:80)-SUMIF(79:79,C26,80:80)+100</f>
        <v>0</v>
      </c>
      <c r="G26" s="266"/>
      <c r="H26" s="267">
        <f>SUMIF(79:79,G26,80:80)-SUMIF(79:79,C26,80:80)+100</f>
        <v>0</v>
      </c>
      <c r="I26" s="266"/>
      <c r="J26" s="267">
        <f>SUMIF(79:79,I26,80:80)-SUMIF(79:79,C26,80:80)+100</f>
        <v>0</v>
      </c>
      <c r="K26" s="394"/>
      <c r="L26" s="1980"/>
      <c r="M26" s="1975"/>
      <c r="N26" s="1975"/>
      <c r="O26" s="1975"/>
      <c r="P26" s="4594"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512"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79"/>
      <c r="M27" s="1981"/>
      <c r="N27" s="1981"/>
      <c r="O27" s="1981"/>
      <c r="P27" s="4512"/>
      <c r="Q27" s="483" t="str">
        <f t="shared" si="11"/>
        <v>项目停车位配比</v>
      </c>
      <c r="R27" s="3772" t="s">
        <v>13</v>
      </c>
      <c r="S27" s="3775">
        <f t="shared" si="12"/>
        <v>100</v>
      </c>
      <c r="T27" s="3772" t="s">
        <v>13</v>
      </c>
      <c r="U27" s="3775">
        <f t="shared" si="13"/>
        <v>100</v>
      </c>
      <c r="V27" s="3772" t="s">
        <v>13</v>
      </c>
      <c r="W27" s="3775">
        <f t="shared" si="14"/>
        <v>100</v>
      </c>
      <c r="X27" s="484"/>
      <c r="Y27" s="4512"/>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0"/>
      <c r="M28" s="1975"/>
      <c r="N28" s="1975"/>
      <c r="O28" s="1975"/>
      <c r="P28" s="4512"/>
      <c r="Q28" s="907" t="str">
        <f t="shared" si="11"/>
        <v>公共部分装修</v>
      </c>
      <c r="R28" s="3771" t="s">
        <v>13</v>
      </c>
      <c r="S28" s="3774">
        <f t="shared" si="12"/>
        <v>100</v>
      </c>
      <c r="T28" s="3771" t="s">
        <v>13</v>
      </c>
      <c r="U28" s="3774">
        <f t="shared" si="13"/>
        <v>100</v>
      </c>
      <c r="V28" s="3771" t="s">
        <v>13</v>
      </c>
      <c r="W28" s="3774">
        <f t="shared" si="14"/>
        <v>100</v>
      </c>
      <c r="X28" s="910"/>
      <c r="Y28" s="4512"/>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0"/>
      <c r="M29" s="1975"/>
      <c r="N29" s="1975"/>
      <c r="O29" s="1975"/>
      <c r="P29" s="4512"/>
      <c r="Q29" s="907" t="str">
        <f t="shared" si="11"/>
        <v>成新率</v>
      </c>
      <c r="R29" s="3771" t="s">
        <v>13</v>
      </c>
      <c r="S29" s="3774" t="e">
        <f t="shared" si="12"/>
        <v>#N/A</v>
      </c>
      <c r="T29" s="3771" t="s">
        <v>13</v>
      </c>
      <c r="U29" s="3774" t="e">
        <f t="shared" si="13"/>
        <v>#N/A</v>
      </c>
      <c r="V29" s="3771" t="s">
        <v>13</v>
      </c>
      <c r="W29" s="3774" t="e">
        <f t="shared" si="14"/>
        <v>#N/A</v>
      </c>
      <c r="X29" s="910"/>
      <c r="Y29" s="4512"/>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0"/>
      <c r="M30" s="1975"/>
      <c r="N30" s="1975"/>
      <c r="O30" s="1975"/>
      <c r="P30" s="4512"/>
      <c r="Q30" s="907" t="str">
        <f t="shared" si="11"/>
        <v>物业等级</v>
      </c>
      <c r="R30" s="3771" t="s">
        <v>13</v>
      </c>
      <c r="S30" s="3774">
        <f t="shared" si="12"/>
        <v>100</v>
      </c>
      <c r="T30" s="3771" t="s">
        <v>13</v>
      </c>
      <c r="U30" s="3774">
        <f t="shared" si="13"/>
        <v>100</v>
      </c>
      <c r="V30" s="3771" t="s">
        <v>13</v>
      </c>
      <c r="W30" s="3774">
        <f t="shared" si="14"/>
        <v>100</v>
      </c>
      <c r="X30" s="910"/>
      <c r="Y30" s="4512"/>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6"/>
      <c r="M31" s="1929"/>
      <c r="N31" s="1929"/>
      <c r="O31" s="1929"/>
      <c r="P31" s="4512"/>
      <c r="Q31" s="389" t="str">
        <f t="shared" si="11"/>
        <v>停车位面积</v>
      </c>
      <c r="R31" s="3770" t="s">
        <v>13</v>
      </c>
      <c r="S31" s="3773" t="e">
        <f t="shared" si="12"/>
        <v>#N/A</v>
      </c>
      <c r="T31" s="3770" t="s">
        <v>13</v>
      </c>
      <c r="U31" s="3773" t="e">
        <f t="shared" si="13"/>
        <v>#N/A</v>
      </c>
      <c r="V31" s="3770" t="s">
        <v>13</v>
      </c>
      <c r="W31" s="3773" t="e">
        <f t="shared" si="14"/>
        <v>#N/A</v>
      </c>
      <c r="X31" s="482"/>
      <c r="Y31" s="4512"/>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0"/>
      <c r="M32" s="1975"/>
      <c r="N32" s="1975"/>
      <c r="O32" s="1975"/>
      <c r="P32" s="4512" t="s">
        <v>1606</v>
      </c>
      <c r="Q32" s="907" t="str">
        <f t="shared" si="11"/>
        <v>车位类型</v>
      </c>
      <c r="R32" s="3771" t="s">
        <v>13</v>
      </c>
      <c r="S32" s="3774">
        <f t="shared" si="12"/>
        <v>100</v>
      </c>
      <c r="T32" s="3771" t="s">
        <v>13</v>
      </c>
      <c r="U32" s="3774">
        <f t="shared" si="13"/>
        <v>100</v>
      </c>
      <c r="V32" s="3771" t="s">
        <v>13</v>
      </c>
      <c r="W32" s="3774">
        <f t="shared" si="14"/>
        <v>100</v>
      </c>
      <c r="X32" s="910"/>
      <c r="Y32" s="4512"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0"/>
      <c r="M33" s="1975"/>
      <c r="N33" s="1975"/>
      <c r="O33" s="1975"/>
      <c r="P33" s="4512"/>
      <c r="Q33" s="907" t="str">
        <f t="shared" si="11"/>
        <v>是否直接入户</v>
      </c>
      <c r="R33" s="3771" t="s">
        <v>13</v>
      </c>
      <c r="S33" s="3774">
        <f t="shared" si="12"/>
        <v>100</v>
      </c>
      <c r="T33" s="3771" t="s">
        <v>13</v>
      </c>
      <c r="U33" s="3774">
        <f t="shared" si="13"/>
        <v>100</v>
      </c>
      <c r="V33" s="3771" t="s">
        <v>13</v>
      </c>
      <c r="W33" s="3774">
        <f t="shared" si="14"/>
        <v>100</v>
      </c>
      <c r="X33" s="910"/>
      <c r="Y33" s="4512"/>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0"/>
      <c r="M34" s="1975"/>
      <c r="N34" s="1975"/>
      <c r="O34" s="1975"/>
      <c r="P34" s="4512"/>
      <c r="Q34" s="907">
        <f t="shared" si="11"/>
        <v>111</v>
      </c>
      <c r="R34" s="3771" t="s">
        <v>13</v>
      </c>
      <c r="S34" s="3774">
        <f t="shared" si="12"/>
        <v>100</v>
      </c>
      <c r="T34" s="3771" t="s">
        <v>13</v>
      </c>
      <c r="U34" s="3774">
        <f t="shared" si="13"/>
        <v>100</v>
      </c>
      <c r="V34" s="3771" t="s">
        <v>13</v>
      </c>
      <c r="W34" s="3774">
        <f t="shared" si="14"/>
        <v>100</v>
      </c>
      <c r="X34" s="910"/>
      <c r="Y34" s="4512"/>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79"/>
      <c r="M35" s="1981"/>
      <c r="N35" s="1981"/>
      <c r="O35" s="1981"/>
      <c r="P35" s="4512"/>
      <c r="Q35" s="483">
        <f t="shared" si="11"/>
        <v>111</v>
      </c>
      <c r="R35" s="3772" t="s">
        <v>13</v>
      </c>
      <c r="S35" s="3775">
        <f t="shared" si="12"/>
        <v>100</v>
      </c>
      <c r="T35" s="3772" t="s">
        <v>13</v>
      </c>
      <c r="U35" s="3775">
        <f t="shared" si="13"/>
        <v>100</v>
      </c>
      <c r="V35" s="3772" t="s">
        <v>13</v>
      </c>
      <c r="W35" s="3775">
        <f t="shared" si="14"/>
        <v>100</v>
      </c>
      <c r="X35" s="484"/>
      <c r="Y35" s="4512"/>
      <c r="Z35" s="485">
        <f t="shared" si="15"/>
        <v>111</v>
      </c>
      <c r="AA35" s="908">
        <f t="shared" si="3"/>
        <v>1</v>
      </c>
      <c r="AB35" s="908">
        <f t="shared" si="4"/>
        <v>1</v>
      </c>
      <c r="AC35" s="908">
        <f t="shared" si="5"/>
        <v>1</v>
      </c>
    </row>
    <row r="36" spans="1:29" ht="15.75"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0"/>
      <c r="M36" s="1975"/>
      <c r="N36" s="1975"/>
      <c r="O36" s="1975"/>
      <c r="P36" s="4512"/>
      <c r="Q36" s="907">
        <f t="shared" si="11"/>
        <v>111</v>
      </c>
      <c r="R36" s="3771" t="s">
        <v>13</v>
      </c>
      <c r="S36" s="3774">
        <f t="shared" si="12"/>
        <v>100</v>
      </c>
      <c r="T36" s="3771" t="s">
        <v>13</v>
      </c>
      <c r="U36" s="3774">
        <f t="shared" si="13"/>
        <v>100</v>
      </c>
      <c r="V36" s="3771" t="s">
        <v>13</v>
      </c>
      <c r="W36" s="3774">
        <f t="shared" si="14"/>
        <v>100</v>
      </c>
      <c r="X36" s="910"/>
      <c r="Y36" s="4512"/>
      <c r="Z36" s="908">
        <f t="shared" si="15"/>
        <v>111</v>
      </c>
      <c r="AA36" s="908">
        <f t="shared" si="3"/>
        <v>1</v>
      </c>
      <c r="AB36" s="908">
        <f t="shared" si="4"/>
        <v>1</v>
      </c>
      <c r="AC36" s="908">
        <f t="shared" si="5"/>
        <v>1</v>
      </c>
    </row>
    <row r="37" spans="1:29" ht="15">
      <c r="A37" s="286" t="s">
        <v>1754</v>
      </c>
      <c r="B37" s="1426" t="s">
        <v>3243</v>
      </c>
      <c r="C37" s="765" t="s">
        <v>0</v>
      </c>
      <c r="D37" s="288"/>
      <c r="E37" s="3206"/>
      <c r="F37" s="3154"/>
      <c r="G37" s="3207"/>
      <c r="H37" s="3155"/>
      <c r="I37" s="3206"/>
      <c r="J37" s="3155"/>
      <c r="K37" s="3208"/>
      <c r="L37" s="1982"/>
      <c r="M37" s="1975"/>
      <c r="N37" s="1975"/>
      <c r="O37" s="1975"/>
      <c r="P37" s="4586" t="str">
        <f>A37</f>
        <v>成交单价</v>
      </c>
      <c r="Q37" s="4586"/>
      <c r="R37" s="4577">
        <f>E37</f>
        <v>0</v>
      </c>
      <c r="S37" s="4577"/>
      <c r="T37" s="4577">
        <f>G37</f>
        <v>0</v>
      </c>
      <c r="U37" s="4577"/>
      <c r="V37" s="4577">
        <f>I37</f>
        <v>0</v>
      </c>
      <c r="W37" s="4577"/>
      <c r="X37" s="265"/>
      <c r="Y37" s="486"/>
      <c r="Z37" s="265"/>
      <c r="AA37" s="265"/>
      <c r="AB37" s="265"/>
      <c r="AC37" s="265"/>
    </row>
    <row r="38" spans="1:29" ht="15.75" thickBot="1">
      <c r="A38" s="289" t="s">
        <v>1755</v>
      </c>
      <c r="B38" s="290" t="str">
        <f>B37</f>
        <v>元/平方米</v>
      </c>
      <c r="C38" s="3737" t="e">
        <f>R39</f>
        <v>#DIV/0!</v>
      </c>
      <c r="D38" s="3849" t="s">
        <v>2045</v>
      </c>
      <c r="E38" s="3748" t="e">
        <f>R38</f>
        <v>#DIV/0!</v>
      </c>
      <c r="F38" s="2802"/>
      <c r="G38" s="3737" t="e">
        <f>T38</f>
        <v>#DIV/0!</v>
      </c>
      <c r="H38" s="2802"/>
      <c r="I38" s="3748" t="e">
        <f>V38</f>
        <v>#DIV/0!</v>
      </c>
      <c r="J38" s="2802"/>
      <c r="K38" s="2856">
        <f>F38+H38+J38</f>
        <v>0</v>
      </c>
      <c r="L38" s="1982"/>
      <c r="M38" s="1975"/>
      <c r="N38" s="1975"/>
      <c r="O38" s="1975"/>
      <c r="P38" s="4586" t="str">
        <f>A38</f>
        <v>比较价值（元/平方米）</v>
      </c>
      <c r="Q38" s="4586"/>
      <c r="R38" s="4577" t="e">
        <f>IF(F1="售价",ROUND(PRODUCT(R37,AA7:AA36),0),ROUND(PRODUCT(R37,AA7:AA36),1))</f>
        <v>#DIV/0!</v>
      </c>
      <c r="S38" s="4577"/>
      <c r="T38" s="4577" t="e">
        <f>IF(F1="售价",ROUND(PRODUCT(T37,AB7:AB36),0),ROUND(PRODUCT(T37,AB7:AB36),1))</f>
        <v>#DIV/0!</v>
      </c>
      <c r="U38" s="4577"/>
      <c r="V38" s="4577" t="e">
        <f>IF(F1="售价",ROUND(PRODUCT(V37,AC7:AC36),0),ROUND(PRODUCT(V37,AC7:AC36),1))</f>
        <v>#DIV/0!</v>
      </c>
      <c r="W38" s="4577"/>
      <c r="X38" s="265"/>
      <c r="Y38" s="265"/>
      <c r="Z38" s="265"/>
      <c r="AA38" s="265"/>
      <c r="AB38" s="265"/>
      <c r="AC38" s="265"/>
    </row>
    <row r="39" spans="1:29" ht="15.75" thickBot="1">
      <c r="A39" s="291" t="s">
        <v>1756</v>
      </c>
      <c r="B39" s="292"/>
      <c r="C39" s="3749" t="e">
        <f>R39</f>
        <v>#DIV/0!</v>
      </c>
      <c r="D39" s="241"/>
      <c r="E39" s="241"/>
      <c r="F39" s="241"/>
      <c r="G39" s="241"/>
      <c r="H39" s="241"/>
      <c r="I39" s="241"/>
      <c r="J39" s="241"/>
      <c r="K39" s="399"/>
      <c r="L39" s="1982"/>
      <c r="M39" s="1975"/>
      <c r="N39" s="1975"/>
      <c r="O39" s="1975"/>
      <c r="P39" s="4595" t="str">
        <f>A39</f>
        <v>估价对象XX用房的比较价值（楼面单价，元/平方米）</v>
      </c>
      <c r="Q39" s="4596"/>
      <c r="R39" s="4597" t="e">
        <f>IF(F1="售价",ROUND(IF(D38="简单平均",AVERAGE(R38:W38),R38*F38+T38*H38+V38*J38),0),ROUND(IF(D38="简单平均",AVERAGE(R38:V38),R38*F38+T38*H38+V38*J38),1))</f>
        <v>#DIV/0!</v>
      </c>
      <c r="S39" s="4597"/>
      <c r="T39" s="4597"/>
      <c r="U39" s="4597"/>
      <c r="V39" s="4597"/>
      <c r="W39" s="459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3888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t="e">
        <f>IF(E2="——",C37,ROUND(B2*10000/D3,0))</f>
        <v>#DIV/0!</v>
      </c>
      <c r="C3" s="234" t="s">
        <v>1678</v>
      </c>
      <c r="D3" s="2881">
        <f>SUMIF('数据-汇总表'!$C19:$C33,D1,'数据-汇总表'!$E19:$E33)</f>
        <v>0</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82" t="s">
        <v>1680</v>
      </c>
      <c r="D4" s="4483"/>
      <c r="E4" s="4484" t="s">
        <v>1681</v>
      </c>
      <c r="F4" s="4485"/>
      <c r="G4" s="4482" t="s">
        <v>1682</v>
      </c>
      <c r="H4" s="4483"/>
      <c r="I4" s="4482" t="s">
        <v>1683</v>
      </c>
      <c r="J4" s="4483"/>
      <c r="K4" s="393" t="s">
        <v>1684</v>
      </c>
      <c r="L4" s="1974"/>
      <c r="M4" s="1975"/>
      <c r="N4" s="1975"/>
      <c r="O4" s="1975"/>
      <c r="P4" s="4587" t="s">
        <v>1685</v>
      </c>
      <c r="Q4" s="4588"/>
      <c r="R4" s="4572" t="s">
        <v>1681</v>
      </c>
      <c r="S4" s="4573"/>
      <c r="T4" s="4572" t="s">
        <v>1682</v>
      </c>
      <c r="U4" s="4573"/>
      <c r="V4" s="4577" t="s">
        <v>1683</v>
      </c>
      <c r="W4" s="4577"/>
      <c r="X4" s="910"/>
      <c r="Y4" s="4572" t="s">
        <v>1685</v>
      </c>
      <c r="Z4" s="4573"/>
      <c r="AA4" s="4552" t="s">
        <v>1681</v>
      </c>
      <c r="AB4" s="4463" t="s">
        <v>1682</v>
      </c>
      <c r="AC4" s="4552" t="s">
        <v>1683</v>
      </c>
    </row>
    <row r="5" spans="1:29" ht="15">
      <c r="A5" s="238"/>
      <c r="B5" s="239"/>
      <c r="C5" s="4580" t="s">
        <v>1583</v>
      </c>
      <c r="D5" s="4472"/>
      <c r="E5" s="4578" t="s">
        <v>1584</v>
      </c>
      <c r="F5" s="4579"/>
      <c r="G5" s="4580" t="s">
        <v>1585</v>
      </c>
      <c r="H5" s="4472"/>
      <c r="I5" s="4580" t="s">
        <v>1586</v>
      </c>
      <c r="J5" s="4472"/>
      <c r="K5" s="393"/>
      <c r="L5" s="1974"/>
      <c r="M5" s="1975"/>
      <c r="N5" s="1975"/>
      <c r="O5" s="1975"/>
      <c r="P5" s="4589"/>
      <c r="Q5" s="4590"/>
      <c r="R5" s="4500"/>
      <c r="S5" s="4501"/>
      <c r="T5" s="4500"/>
      <c r="U5" s="4501"/>
      <c r="V5" s="4577"/>
      <c r="W5" s="4577"/>
      <c r="X5" s="910"/>
      <c r="Y5" s="4500"/>
      <c r="Z5" s="4501"/>
      <c r="AA5" s="4463"/>
      <c r="AB5" s="4463"/>
      <c r="AC5" s="4463"/>
    </row>
    <row r="6" spans="1:29" ht="15.75" thickBot="1">
      <c r="A6" s="240"/>
      <c r="B6" s="241"/>
      <c r="C6" s="4473" t="s">
        <v>1587</v>
      </c>
      <c r="D6" s="4474"/>
      <c r="E6" s="4475" t="s">
        <v>1587</v>
      </c>
      <c r="F6" s="4476"/>
      <c r="G6" s="4473" t="s">
        <v>1587</v>
      </c>
      <c r="H6" s="4474"/>
      <c r="I6" s="4473" t="s">
        <v>1587</v>
      </c>
      <c r="J6" s="4474"/>
      <c r="K6" s="393" t="s">
        <v>1588</v>
      </c>
      <c r="L6" s="1974"/>
      <c r="M6" s="1975"/>
      <c r="N6" s="1975"/>
      <c r="O6" s="1975"/>
      <c r="P6" s="4591"/>
      <c r="Q6" s="4592"/>
      <c r="R6" s="4500"/>
      <c r="S6" s="4501"/>
      <c r="T6" s="4502"/>
      <c r="U6" s="4503"/>
      <c r="V6" s="4577"/>
      <c r="W6" s="4577"/>
      <c r="X6" s="910"/>
      <c r="Y6" s="4502"/>
      <c r="Z6" s="4503"/>
      <c r="AA6" s="4464"/>
      <c r="AB6" s="4464"/>
      <c r="AC6" s="4464"/>
    </row>
    <row r="7" spans="1:29" s="46" customFormat="1" ht="15.75" thickBot="1">
      <c r="A7" s="242" t="s">
        <v>1589</v>
      </c>
      <c r="B7" s="243"/>
      <c r="C7" s="244">
        <f>'数据-取费表'!B2</f>
        <v>46051</v>
      </c>
      <c r="D7" s="2899">
        <v>100</v>
      </c>
      <c r="E7" s="245"/>
      <c r="F7" s="3751">
        <f>SUMIF(46:46,YEAR(E7)&amp;"-"&amp;MONTH(E7),47:47)</f>
        <v>0</v>
      </c>
      <c r="G7" s="1427"/>
      <c r="H7" s="3757">
        <f>SUMIF(46:46,YEAR(G7)&amp;"-"&amp;MONTH(G7),47:47)</f>
        <v>0</v>
      </c>
      <c r="I7" s="245"/>
      <c r="J7" s="3757">
        <f>SUMIF(46:46,YEAR(I7)&amp;"-"&amp;MONTH(I7),47:47)</f>
        <v>0</v>
      </c>
      <c r="K7" s="22"/>
      <c r="L7" s="1976"/>
      <c r="M7" s="1929"/>
      <c r="N7" s="1929"/>
      <c r="O7" s="1929"/>
      <c r="P7" s="4465" t="s">
        <v>1590</v>
      </c>
      <c r="Q7" s="4593"/>
      <c r="R7" s="3770" t="s">
        <v>13</v>
      </c>
      <c r="S7" s="3773">
        <f t="shared" ref="S7:S14" si="0">F7</f>
        <v>0</v>
      </c>
      <c r="T7" s="3770" t="s">
        <v>13</v>
      </c>
      <c r="U7" s="3773">
        <f t="shared" ref="U7:U14" si="1">H7</f>
        <v>0</v>
      </c>
      <c r="V7" s="3770" t="s">
        <v>13</v>
      </c>
      <c r="W7" s="3773">
        <f t="shared" ref="W7:W14" si="2">J7</f>
        <v>0</v>
      </c>
      <c r="X7" s="482"/>
      <c r="Y7" s="4465" t="s">
        <v>1590</v>
      </c>
      <c r="Z7" s="4466"/>
      <c r="AA7" s="28" t="e">
        <f>D7/F7</f>
        <v>#DIV/0!</v>
      </c>
      <c r="AB7" s="28" t="e">
        <f>D7/H7</f>
        <v>#DIV/0!</v>
      </c>
      <c r="AC7" s="28" t="e">
        <f>D7/J7</f>
        <v>#DIV/0!</v>
      </c>
    </row>
    <row r="8" spans="1:29" s="46" customFormat="1" ht="15.75" thickBot="1">
      <c r="A8" s="242" t="s">
        <v>1591</v>
      </c>
      <c r="B8" s="243"/>
      <c r="C8" s="246"/>
      <c r="D8" s="2899">
        <v>100</v>
      </c>
      <c r="E8" s="246"/>
      <c r="F8" s="3751">
        <f>SUMIF(49:49,E8,50:50)-SUMIF(49:49,C8,50:50)+100</f>
        <v>100</v>
      </c>
      <c r="G8" s="246"/>
      <c r="H8" s="3757">
        <f>SUMIF(49:49,G8,50:50)-SUMIF(49:49,C8,50:50)+100</f>
        <v>100</v>
      </c>
      <c r="I8" s="246"/>
      <c r="J8" s="3757">
        <f>SUMIF(49:49,I8,50:50)-SUMIF(49:49,C8,50:50)+100</f>
        <v>100</v>
      </c>
      <c r="K8" s="22"/>
      <c r="L8" s="1976"/>
      <c r="M8" s="1929"/>
      <c r="N8" s="1929"/>
      <c r="O8" s="1929"/>
      <c r="P8" s="4465" t="s">
        <v>1593</v>
      </c>
      <c r="Q8" s="4466"/>
      <c r="R8" s="3770" t="s">
        <v>13</v>
      </c>
      <c r="S8" s="3773">
        <f t="shared" si="0"/>
        <v>100</v>
      </c>
      <c r="T8" s="3770" t="s">
        <v>13</v>
      </c>
      <c r="U8" s="3773">
        <f t="shared" si="1"/>
        <v>100</v>
      </c>
      <c r="V8" s="3770" t="s">
        <v>13</v>
      </c>
      <c r="W8" s="3773">
        <f t="shared" si="2"/>
        <v>100</v>
      </c>
      <c r="X8" s="482"/>
      <c r="Y8" s="4465" t="s">
        <v>1593</v>
      </c>
      <c r="Z8" s="4466"/>
      <c r="AA8" s="28">
        <f t="shared" ref="AA8:AA34" si="3">D8/F8</f>
        <v>1</v>
      </c>
      <c r="AB8" s="28">
        <f t="shared" ref="AB8:AB34" si="4">D8/H8</f>
        <v>1</v>
      </c>
      <c r="AC8" s="28">
        <f t="shared" ref="AC8:AC34" si="5">D8/J8</f>
        <v>1</v>
      </c>
    </row>
    <row r="9" spans="1:29" s="46" customFormat="1">
      <c r="A9" s="247" t="s">
        <v>1594</v>
      </c>
      <c r="B9" s="34" t="s">
        <v>1595</v>
      </c>
      <c r="C9" s="248"/>
      <c r="D9" s="2900">
        <v>100</v>
      </c>
      <c r="E9" s="250"/>
      <c r="F9" s="34">
        <f>SUMIF(51:51,E9,52:52)-SUMIF(51:51,C9,52:52)+100</f>
        <v>100</v>
      </c>
      <c r="G9" s="250"/>
      <c r="H9" s="33">
        <f>SUMIF(51:51,G9,52:52)-SUMIF(51:51,C9,52:52)+100</f>
        <v>100</v>
      </c>
      <c r="I9" s="250"/>
      <c r="J9" s="33">
        <f>SUMIF(51:51,I9,52:52)-SUMIF(51:51,C9,52:52)+100</f>
        <v>100</v>
      </c>
      <c r="K9" s="22"/>
      <c r="L9" s="1976"/>
      <c r="M9" s="1929"/>
      <c r="N9" s="1929"/>
      <c r="O9" s="2028"/>
      <c r="P9" s="4586" t="s">
        <v>1596</v>
      </c>
      <c r="Q9" s="389" t="str">
        <f t="shared" ref="Q9:Q14" si="6">B9</f>
        <v>用途</v>
      </c>
      <c r="R9" s="3770" t="s">
        <v>13</v>
      </c>
      <c r="S9" s="3773">
        <f t="shared" si="0"/>
        <v>100</v>
      </c>
      <c r="T9" s="3770" t="s">
        <v>13</v>
      </c>
      <c r="U9" s="3773">
        <f t="shared" si="1"/>
        <v>100</v>
      </c>
      <c r="V9" s="3770" t="s">
        <v>13</v>
      </c>
      <c r="W9" s="3773">
        <f t="shared" si="2"/>
        <v>100</v>
      </c>
      <c r="X9" s="482"/>
      <c r="Y9" s="4478" t="s">
        <v>1597</v>
      </c>
      <c r="Z9" s="28" t="str">
        <f t="shared" ref="Z9:Z14" si="7">Q9</f>
        <v>用途</v>
      </c>
      <c r="AA9" s="28">
        <f t="shared" si="3"/>
        <v>1</v>
      </c>
      <c r="AB9" s="28">
        <f t="shared" si="4"/>
        <v>1</v>
      </c>
      <c r="AC9" s="28">
        <f t="shared" si="5"/>
        <v>1</v>
      </c>
    </row>
    <row r="10" spans="1:29" s="253" customFormat="1" ht="27">
      <c r="A10" s="251"/>
      <c r="B10" s="252" t="s">
        <v>1598</v>
      </c>
      <c r="C10" s="2476"/>
      <c r="D10" s="2901">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6"/>
      <c r="Q10" s="389" t="str">
        <f t="shared" si="6"/>
        <v>土地使用年限（年）</v>
      </c>
      <c r="R10" s="3770" t="s">
        <v>13</v>
      </c>
      <c r="S10" s="3773">
        <f t="shared" si="0"/>
        <v>100</v>
      </c>
      <c r="T10" s="3770" t="s">
        <v>13</v>
      </c>
      <c r="U10" s="3773">
        <f t="shared" si="1"/>
        <v>100</v>
      </c>
      <c r="V10" s="3770" t="s">
        <v>13</v>
      </c>
      <c r="W10" s="3773">
        <f t="shared" si="2"/>
        <v>100</v>
      </c>
      <c r="X10" s="482"/>
      <c r="Y10" s="4478"/>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6"/>
      <c r="Q11" s="389">
        <f t="shared" si="6"/>
        <v>111</v>
      </c>
      <c r="R11" s="3770" t="s">
        <v>13</v>
      </c>
      <c r="S11" s="3773">
        <f t="shared" si="0"/>
        <v>100</v>
      </c>
      <c r="T11" s="3770" t="s">
        <v>13</v>
      </c>
      <c r="U11" s="3773">
        <f t="shared" si="1"/>
        <v>100</v>
      </c>
      <c r="V11" s="3770" t="s">
        <v>13</v>
      </c>
      <c r="W11" s="3773">
        <f t="shared" si="2"/>
        <v>100</v>
      </c>
      <c r="X11" s="482"/>
      <c r="Y11" s="4478"/>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6"/>
      <c r="Q12" s="389">
        <f t="shared" si="6"/>
        <v>111</v>
      </c>
      <c r="R12" s="3770" t="s">
        <v>13</v>
      </c>
      <c r="S12" s="3773">
        <f t="shared" si="0"/>
        <v>100</v>
      </c>
      <c r="T12" s="3770" t="s">
        <v>13</v>
      </c>
      <c r="U12" s="3773">
        <f t="shared" si="1"/>
        <v>100</v>
      </c>
      <c r="V12" s="3770" t="s">
        <v>13</v>
      </c>
      <c r="W12" s="3773">
        <f t="shared" si="2"/>
        <v>100</v>
      </c>
      <c r="X12" s="482"/>
      <c r="Y12" s="4478"/>
      <c r="Z12" s="28">
        <f t="shared" si="7"/>
        <v>111</v>
      </c>
      <c r="AA12" s="28">
        <f>D12/F12</f>
        <v>1</v>
      </c>
      <c r="AB12" s="28">
        <f>D12/H12</f>
        <v>1</v>
      </c>
      <c r="AC12" s="28">
        <f>D12/J12</f>
        <v>1</v>
      </c>
    </row>
    <row r="13" spans="1:29" ht="15.75" thickBot="1">
      <c r="A13" s="254"/>
      <c r="B13" s="310">
        <v>111</v>
      </c>
      <c r="C13" s="259"/>
      <c r="D13" s="2903">
        <v>100</v>
      </c>
      <c r="E13" s="278"/>
      <c r="F13" s="252">
        <f>SUMIF(59:59,E13,60:60)-SUMIF(59:59,C13,60:60)+100</f>
        <v>100</v>
      </c>
      <c r="G13" s="1428"/>
      <c r="H13" s="3752">
        <f>SUMIF(59:59,G13,60:60)-SUMIF(59:59,C13,60:60)+100</f>
        <v>100</v>
      </c>
      <c r="I13" s="278"/>
      <c r="J13" s="3755">
        <f>SUMIF(59:59,I13,60:60)-SUMIF(59:59,C13,60:60)+100</f>
        <v>100</v>
      </c>
      <c r="K13" s="395"/>
      <c r="L13" s="1980"/>
      <c r="M13" s="1975"/>
      <c r="N13" s="1975"/>
      <c r="O13" s="2030"/>
      <c r="P13" s="4586"/>
      <c r="Q13" s="389">
        <f t="shared" si="6"/>
        <v>111</v>
      </c>
      <c r="R13" s="3770" t="s">
        <v>13</v>
      </c>
      <c r="S13" s="3773">
        <f t="shared" si="0"/>
        <v>100</v>
      </c>
      <c r="T13" s="3770" t="s">
        <v>13</v>
      </c>
      <c r="U13" s="3773">
        <f t="shared" si="1"/>
        <v>100</v>
      </c>
      <c r="V13" s="3770" t="s">
        <v>13</v>
      </c>
      <c r="W13" s="3773">
        <f t="shared" si="2"/>
        <v>100</v>
      </c>
      <c r="X13" s="482"/>
      <c r="Y13" s="4478"/>
      <c r="Z13" s="28">
        <f t="shared" si="7"/>
        <v>111</v>
      </c>
      <c r="AA13" s="28">
        <f t="shared" si="3"/>
        <v>1</v>
      </c>
      <c r="AB13" s="28">
        <f t="shared" si="4"/>
        <v>1</v>
      </c>
      <c r="AC13" s="28">
        <f t="shared" si="5"/>
        <v>1</v>
      </c>
    </row>
    <row r="14" spans="1:29" ht="85.5">
      <c r="A14" s="262" t="s">
        <v>1600</v>
      </c>
      <c r="B14" s="32" t="s">
        <v>1743</v>
      </c>
      <c r="C14" s="1424" t="str">
        <f>IF(B1="工业",估价对象房地状况!G4,估价对象房地状况!C6)</f>
        <v>估价对象周边道路状况、公共交通通达情况、停车便捷程度，综合评价交通便捷度较好</v>
      </c>
      <c r="D14" s="2905">
        <v>100</v>
      </c>
      <c r="E14" s="263"/>
      <c r="F14" s="3759">
        <f>SUMIF(61:61,E15,62:62)-SUMIF(61:61,C15,62:62)+100</f>
        <v>100</v>
      </c>
      <c r="G14" s="264"/>
      <c r="H14" s="3753">
        <f>SUMIF(61:61,G15,62:62)-SUMIF(61:61,C15,62:62)+100</f>
        <v>100</v>
      </c>
      <c r="I14" s="263"/>
      <c r="J14" s="3753">
        <f>SUMIF(61:61,I15,62:62)-SUMIF(61:61,C15,62:62)+100</f>
        <v>100</v>
      </c>
      <c r="K14" s="396"/>
      <c r="L14" s="1980"/>
      <c r="M14" s="1975"/>
      <c r="N14" s="1975"/>
      <c r="O14" s="2030"/>
      <c r="P14" s="4507" t="s">
        <v>1601</v>
      </c>
      <c r="Q14" s="907" t="str">
        <f t="shared" si="6"/>
        <v>交通便捷度</v>
      </c>
      <c r="R14" s="3771" t="s">
        <v>13</v>
      </c>
      <c r="S14" s="3774">
        <f t="shared" si="0"/>
        <v>100</v>
      </c>
      <c r="T14" s="3771" t="s">
        <v>13</v>
      </c>
      <c r="U14" s="3774">
        <f t="shared" si="1"/>
        <v>100</v>
      </c>
      <c r="V14" s="3771" t="s">
        <v>13</v>
      </c>
      <c r="W14" s="3774">
        <f t="shared" si="2"/>
        <v>100</v>
      </c>
      <c r="X14" s="910"/>
      <c r="Y14" s="4507" t="s">
        <v>1601</v>
      </c>
      <c r="Z14" s="908" t="str">
        <f t="shared" si="7"/>
        <v>交通便捷度</v>
      </c>
      <c r="AA14" s="908">
        <f t="shared" si="3"/>
        <v>1</v>
      </c>
      <c r="AB14" s="908">
        <f t="shared" si="4"/>
        <v>1</v>
      </c>
      <c r="AC14" s="908">
        <f t="shared" si="5"/>
        <v>1</v>
      </c>
    </row>
    <row r="15" spans="1:29" ht="15">
      <c r="A15" s="254"/>
      <c r="B15" s="265"/>
      <c r="C15" s="266"/>
      <c r="D15" s="2906"/>
      <c r="E15" s="266"/>
      <c r="F15" s="3760"/>
      <c r="G15" s="266"/>
      <c r="H15" s="268"/>
      <c r="I15" s="266"/>
      <c r="J15" s="267"/>
      <c r="K15" s="397"/>
      <c r="L15" s="1980"/>
      <c r="M15" s="1975"/>
      <c r="N15" s="1975"/>
      <c r="O15" s="2030"/>
      <c r="P15" s="4508"/>
      <c r="Q15" s="907"/>
      <c r="R15" s="3771"/>
      <c r="S15" s="3774"/>
      <c r="T15" s="3771"/>
      <c r="U15" s="3774"/>
      <c r="V15" s="3771"/>
      <c r="W15" s="3774"/>
      <c r="X15" s="910"/>
      <c r="Y15" s="4508"/>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8">
        <v>100</v>
      </c>
      <c r="E16" s="273"/>
      <c r="F16" s="3762">
        <f>SUMIF(63:63,E17,64:64)-SUMIF(63:63,C17,64:64)+100</f>
        <v>100</v>
      </c>
      <c r="G16" s="274"/>
      <c r="H16" s="3754">
        <f>SUMIF(63:63,G17,64:64)-SUMIF(63:63,C17,64:64)+100</f>
        <v>100</v>
      </c>
      <c r="I16" s="273"/>
      <c r="J16" s="3754">
        <f>SUMIF(63:63,I17,64:64)-SUMIF(63:63,C17,64:64)+100</f>
        <v>100</v>
      </c>
      <c r="K16" s="396"/>
      <c r="L16" s="1980"/>
      <c r="M16" s="1975"/>
      <c r="N16" s="1975"/>
      <c r="O16" s="2030"/>
      <c r="P16" s="4508"/>
      <c r="Q16" s="907" t="str">
        <f>B16</f>
        <v>公共配套设施</v>
      </c>
      <c r="R16" s="3771" t="s">
        <v>13</v>
      </c>
      <c r="S16" s="3774">
        <f>F16</f>
        <v>100</v>
      </c>
      <c r="T16" s="3771" t="s">
        <v>13</v>
      </c>
      <c r="U16" s="3774">
        <f>H16</f>
        <v>100</v>
      </c>
      <c r="V16" s="3771" t="s">
        <v>13</v>
      </c>
      <c r="W16" s="3774">
        <f>J16</f>
        <v>100</v>
      </c>
      <c r="X16" s="910"/>
      <c r="Y16" s="4508"/>
      <c r="Z16" s="908" t="str">
        <f>Q16</f>
        <v>公共配套设施</v>
      </c>
      <c r="AA16" s="908">
        <f t="shared" si="3"/>
        <v>1</v>
      </c>
      <c r="AB16" s="908">
        <f t="shared" si="4"/>
        <v>1</v>
      </c>
      <c r="AC16" s="908">
        <f t="shared" si="5"/>
        <v>1</v>
      </c>
    </row>
    <row r="17" spans="1:29" ht="15">
      <c r="A17" s="254"/>
      <c r="B17" s="272"/>
      <c r="C17" s="1366"/>
      <c r="D17" s="2906"/>
      <c r="E17" s="266"/>
      <c r="F17" s="3760"/>
      <c r="G17" s="266"/>
      <c r="H17" s="267"/>
      <c r="I17" s="266"/>
      <c r="J17" s="267"/>
      <c r="K17" s="397"/>
      <c r="L17" s="1980"/>
      <c r="M17" s="1975"/>
      <c r="N17" s="1975"/>
      <c r="O17" s="2030"/>
      <c r="P17" s="4508"/>
      <c r="Q17" s="907"/>
      <c r="R17" s="3771"/>
      <c r="S17" s="3774"/>
      <c r="T17" s="3771"/>
      <c r="U17" s="3774"/>
      <c r="V17" s="3771"/>
      <c r="W17" s="3774"/>
      <c r="X17" s="910"/>
      <c r="Y17" s="4508"/>
      <c r="Z17" s="908"/>
      <c r="AA17" s="908">
        <v>1</v>
      </c>
      <c r="AB17" s="908">
        <v>1</v>
      </c>
      <c r="AC17" s="908">
        <v>1</v>
      </c>
    </row>
    <row r="18" spans="1:29" ht="28.5">
      <c r="A18" s="254"/>
      <c r="B18" s="759" t="s">
        <v>1723</v>
      </c>
      <c r="C18" s="1365" t="str">
        <f>IF(B1="工业",估价对象房地状况!G6,估价对象房地状况!C8)</f>
        <v>估价对象所在区域基础设施水平</v>
      </c>
      <c r="D18" s="2908">
        <v>100</v>
      </c>
      <c r="E18" s="270"/>
      <c r="F18" s="3762">
        <f>SUMIF(65:65,E19,66:66)-SUMIF(65:65,C19,66:66)+100</f>
        <v>100</v>
      </c>
      <c r="G18" s="271"/>
      <c r="H18" s="3754">
        <f>SUMIF(65:65,G19,66:66)-SUMIF(65:65,C19,66:66)+100</f>
        <v>100</v>
      </c>
      <c r="I18" s="273"/>
      <c r="J18" s="3754">
        <f>SUMIF(65:65,I19,66:66)-SUMIF(65:65,C19,66:66)+100</f>
        <v>100</v>
      </c>
      <c r="K18" s="396"/>
      <c r="L18" s="1980"/>
      <c r="M18" s="1975"/>
      <c r="N18" s="1975"/>
      <c r="O18" s="2030"/>
      <c r="P18" s="4508"/>
      <c r="Q18" s="907" t="str">
        <f>B18</f>
        <v>基础设施水平</v>
      </c>
      <c r="R18" s="3771" t="s">
        <v>13</v>
      </c>
      <c r="S18" s="3774">
        <f>F18</f>
        <v>100</v>
      </c>
      <c r="T18" s="3771" t="s">
        <v>13</v>
      </c>
      <c r="U18" s="3774">
        <f>H18</f>
        <v>100</v>
      </c>
      <c r="V18" s="3771" t="s">
        <v>13</v>
      </c>
      <c r="W18" s="3774">
        <f>J18</f>
        <v>100</v>
      </c>
      <c r="X18" s="910"/>
      <c r="Y18" s="4508"/>
      <c r="Z18" s="908" t="str">
        <f>Q18</f>
        <v>基础设施水平</v>
      </c>
      <c r="AA18" s="908">
        <f t="shared" ref="AA18" si="8">D18/F18</f>
        <v>1</v>
      </c>
      <c r="AB18" s="908">
        <f t="shared" ref="AB18" si="9">D18/H18</f>
        <v>1</v>
      </c>
      <c r="AC18" s="908">
        <f t="shared" ref="AC18" si="10">D18/J18</f>
        <v>1</v>
      </c>
    </row>
    <row r="19" spans="1:29" ht="15">
      <c r="A19" s="254"/>
      <c r="B19" s="759"/>
      <c r="C19" s="1366"/>
      <c r="D19" s="2907"/>
      <c r="E19" s="1366"/>
      <c r="F19" s="3761"/>
      <c r="G19" s="1366"/>
      <c r="H19" s="267"/>
      <c r="I19" s="266"/>
      <c r="J19" s="267"/>
      <c r="K19" s="758"/>
      <c r="L19" s="1980"/>
      <c r="M19" s="1975"/>
      <c r="N19" s="1975"/>
      <c r="O19" s="2030"/>
      <c r="P19" s="4508"/>
      <c r="Q19" s="907"/>
      <c r="R19" s="3771"/>
      <c r="S19" s="3774"/>
      <c r="T19" s="3771"/>
      <c r="U19" s="3774"/>
      <c r="V19" s="3771"/>
      <c r="W19" s="3774"/>
      <c r="X19" s="910"/>
      <c r="Y19" s="4508"/>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8">
        <v>100</v>
      </c>
      <c r="E20" s="273"/>
      <c r="F20" s="3762">
        <f>SUMIF(67:67,E21,68:68)-SUMIF(67:67,C21,68:68)+100</f>
        <v>100</v>
      </c>
      <c r="G20" s="274"/>
      <c r="H20" s="268">
        <f>SUMIF(67:67,G21,68:68)-SUMIF(67:67,C21,68:68)+100</f>
        <v>100</v>
      </c>
      <c r="I20" s="270"/>
      <c r="J20" s="268">
        <f>SUMIF(67:67,I21,68:68)-SUMIF(67:67,C21,68:68)+100</f>
        <v>100</v>
      </c>
      <c r="K20" s="396"/>
      <c r="L20" s="1980"/>
      <c r="M20" s="1975"/>
      <c r="N20" s="1975"/>
      <c r="O20" s="2030"/>
      <c r="P20" s="4508"/>
      <c r="Q20" s="907" t="str">
        <f>B20</f>
        <v>自然及人文环境</v>
      </c>
      <c r="R20" s="3771" t="s">
        <v>13</v>
      </c>
      <c r="S20" s="3774">
        <f>F20</f>
        <v>100</v>
      </c>
      <c r="T20" s="3771" t="s">
        <v>13</v>
      </c>
      <c r="U20" s="3774">
        <f>H20</f>
        <v>100</v>
      </c>
      <c r="V20" s="3771" t="s">
        <v>13</v>
      </c>
      <c r="W20" s="3774">
        <f>J20</f>
        <v>100</v>
      </c>
      <c r="X20" s="910"/>
      <c r="Y20" s="4508"/>
      <c r="Z20" s="908" t="str">
        <f>Q20</f>
        <v>自然及人文环境</v>
      </c>
      <c r="AA20" s="908">
        <f t="shared" si="3"/>
        <v>1</v>
      </c>
      <c r="AB20" s="908">
        <f t="shared" si="4"/>
        <v>1</v>
      </c>
      <c r="AC20" s="908">
        <f t="shared" si="5"/>
        <v>1</v>
      </c>
    </row>
    <row r="21" spans="1:29" ht="15">
      <c r="A21" s="254"/>
      <c r="B21" s="272"/>
      <c r="C21" s="266"/>
      <c r="D21" s="2906"/>
      <c r="E21" s="266"/>
      <c r="F21" s="3760"/>
      <c r="G21" s="266"/>
      <c r="H21" s="267"/>
      <c r="I21" s="266"/>
      <c r="J21" s="267"/>
      <c r="K21" s="397"/>
      <c r="L21" s="1980"/>
      <c r="M21" s="1975"/>
      <c r="N21" s="1975"/>
      <c r="O21" s="2030"/>
      <c r="P21" s="4508"/>
      <c r="Q21" s="907"/>
      <c r="R21" s="3771"/>
      <c r="S21" s="3774"/>
      <c r="T21" s="3771"/>
      <c r="U21" s="3774"/>
      <c r="V21" s="3771"/>
      <c r="W21" s="3774"/>
      <c r="X21" s="910"/>
      <c r="Y21" s="4508"/>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0"/>
      <c r="M22" s="1975"/>
      <c r="N22" s="1975"/>
      <c r="O22" s="2030"/>
      <c r="P22" s="4508"/>
      <c r="Q22" s="907" t="str">
        <f>B22</f>
        <v>楼层</v>
      </c>
      <c r="R22" s="3771" t="s">
        <v>13</v>
      </c>
      <c r="S22" s="3774">
        <f>F22</f>
        <v>100</v>
      </c>
      <c r="T22" s="3771" t="s">
        <v>13</v>
      </c>
      <c r="U22" s="3774">
        <f>H22</f>
        <v>100</v>
      </c>
      <c r="V22" s="3771" t="s">
        <v>13</v>
      </c>
      <c r="W22" s="3774">
        <f>J22</f>
        <v>100</v>
      </c>
      <c r="X22" s="910"/>
      <c r="Y22" s="4508"/>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0"/>
      <c r="M23" s="1975"/>
      <c r="N23" s="1975"/>
      <c r="O23" s="2030"/>
      <c r="P23" s="4508"/>
      <c r="Q23" s="907">
        <f>B23</f>
        <v>111</v>
      </c>
      <c r="R23" s="3771" t="s">
        <v>13</v>
      </c>
      <c r="S23" s="3774">
        <f>F23</f>
        <v>100</v>
      </c>
      <c r="T23" s="3771" t="s">
        <v>13</v>
      </c>
      <c r="U23" s="3774">
        <f>H23</f>
        <v>100</v>
      </c>
      <c r="V23" s="3771" t="s">
        <v>13</v>
      </c>
      <c r="W23" s="3774">
        <f>J23</f>
        <v>100</v>
      </c>
      <c r="X23" s="910"/>
      <c r="Y23" s="4508"/>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0"/>
      <c r="M24" s="1975"/>
      <c r="N24" s="1975"/>
      <c r="O24" s="2030"/>
      <c r="P24" s="4508"/>
      <c r="Q24" s="907">
        <f t="shared" ref="Q24:Q34" si="11">B24</f>
        <v>111</v>
      </c>
      <c r="R24" s="3771" t="s">
        <v>13</v>
      </c>
      <c r="S24" s="3774">
        <f>F24</f>
        <v>100</v>
      </c>
      <c r="T24" s="3771" t="s">
        <v>13</v>
      </c>
      <c r="U24" s="3774">
        <f>H24</f>
        <v>100</v>
      </c>
      <c r="V24" s="3771" t="s">
        <v>13</v>
      </c>
      <c r="W24" s="3774">
        <f>J24</f>
        <v>100</v>
      </c>
      <c r="X24" s="910"/>
      <c r="Y24" s="4508"/>
      <c r="Z24" s="908">
        <f>Q24</f>
        <v>111</v>
      </c>
      <c r="AA24" s="908">
        <f t="shared" si="3"/>
        <v>1</v>
      </c>
      <c r="AB24" s="908">
        <f t="shared" si="4"/>
        <v>1</v>
      </c>
      <c r="AC24" s="908">
        <f t="shared" si="5"/>
        <v>1</v>
      </c>
    </row>
    <row r="25" spans="1:29" s="46" customFormat="1" ht="15.75" thickBot="1">
      <c r="A25" s="257"/>
      <c r="B25" s="310">
        <v>111</v>
      </c>
      <c r="C25" s="1429"/>
      <c r="D25" s="2912">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8"/>
      <c r="Q25" s="389">
        <f t="shared" si="11"/>
        <v>111</v>
      </c>
      <c r="R25" s="3770" t="s">
        <v>13</v>
      </c>
      <c r="S25" s="3773">
        <f>F25</f>
        <v>100</v>
      </c>
      <c r="T25" s="3770" t="s">
        <v>13</v>
      </c>
      <c r="U25" s="3773">
        <f>H25</f>
        <v>100</v>
      </c>
      <c r="V25" s="3770" t="s">
        <v>13</v>
      </c>
      <c r="W25" s="3773">
        <f>J25</f>
        <v>100</v>
      </c>
      <c r="X25" s="482"/>
      <c r="Y25" s="4508"/>
      <c r="Z25" s="28">
        <f>Q25</f>
        <v>111</v>
      </c>
      <c r="AA25" s="908">
        <f>D25/F25</f>
        <v>1</v>
      </c>
      <c r="AB25" s="908">
        <f>D25/H25</f>
        <v>1</v>
      </c>
      <c r="AC25" s="908">
        <f>D25/J25</f>
        <v>1</v>
      </c>
    </row>
    <row r="26" spans="1:29" ht="28.5">
      <c r="A26" s="276" t="s">
        <v>1604</v>
      </c>
      <c r="B26" s="34" t="s">
        <v>1748</v>
      </c>
      <c r="C26" s="1420"/>
      <c r="D26" s="2910">
        <v>100</v>
      </c>
      <c r="E26" s="1420"/>
      <c r="F26" s="3776">
        <f>SUMIF(77:77,E26,78:78)-SUMIF(77:77,C26,78:78)+100</f>
        <v>100</v>
      </c>
      <c r="G26" s="1420"/>
      <c r="H26" s="3758">
        <f>SUMIF(77:77,G26,78:78)-SUMIF(77:77,C26,78:78)+100</f>
        <v>100</v>
      </c>
      <c r="I26" s="1420"/>
      <c r="J26" s="3758">
        <f>SUMIF(77:77,I26,78:78)-SUMIF(77:77,C26,78:78)+100</f>
        <v>100</v>
      </c>
      <c r="K26" s="394"/>
      <c r="L26" s="1980"/>
      <c r="M26" s="1975"/>
      <c r="N26" s="1975"/>
      <c r="O26" s="2030"/>
      <c r="P26" s="4594"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512"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1">
        <v>100</v>
      </c>
      <c r="E27" s="283"/>
      <c r="F27" s="909" t="e">
        <f>LOOKUP(E27,80:80,81:81)-LOOKUP(C27,80:80,81:81)+100</f>
        <v>#N/A</v>
      </c>
      <c r="G27" s="284"/>
      <c r="H27" s="3755" t="e">
        <f>LOOKUP(G27,80:80,81:81)-LOOKUP(C27,80:80,81:81)+100</f>
        <v>#N/A</v>
      </c>
      <c r="I27" s="284"/>
      <c r="J27" s="3755" t="e">
        <f>LOOKUP(I27,80:80,81:81)-LOOKUP(C27,80:80,81:81)+100</f>
        <v>#N/A</v>
      </c>
      <c r="K27" s="394"/>
      <c r="L27" s="1979"/>
      <c r="M27" s="1981"/>
      <c r="N27" s="1981"/>
      <c r="O27" s="2031"/>
      <c r="P27" s="4512"/>
      <c r="Q27" s="483" t="str">
        <f t="shared" si="11"/>
        <v>成新率</v>
      </c>
      <c r="R27" s="3772" t="s">
        <v>13</v>
      </c>
      <c r="S27" s="3775" t="e">
        <f t="shared" si="12"/>
        <v>#N/A</v>
      </c>
      <c r="T27" s="3772" t="s">
        <v>13</v>
      </c>
      <c r="U27" s="3775" t="e">
        <f t="shared" si="13"/>
        <v>#N/A</v>
      </c>
      <c r="V27" s="3772" t="s">
        <v>13</v>
      </c>
      <c r="W27" s="3775" t="e">
        <f t="shared" si="14"/>
        <v>#N/A</v>
      </c>
      <c r="X27" s="484"/>
      <c r="Y27" s="4512"/>
      <c r="Z27" s="485" t="str">
        <f t="shared" si="15"/>
        <v>成新率</v>
      </c>
      <c r="AA27" s="908" t="e">
        <f t="shared" si="3"/>
        <v>#N/A</v>
      </c>
      <c r="AB27" s="908" t="e">
        <f t="shared" si="4"/>
        <v>#N/A</v>
      </c>
      <c r="AC27" s="908" t="e">
        <f t="shared" si="5"/>
        <v>#N/A</v>
      </c>
    </row>
    <row r="28" spans="1:29" ht="15">
      <c r="A28" s="280"/>
      <c r="B28" s="252" t="s">
        <v>1750</v>
      </c>
      <c r="C28" s="275"/>
      <c r="D28" s="2903">
        <v>100</v>
      </c>
      <c r="E28" s="275"/>
      <c r="F28" s="909">
        <f>SUMIF(82:82,E28,83:83)-SUMIF(82:82,C28,83:83)+100</f>
        <v>100</v>
      </c>
      <c r="G28" s="275"/>
      <c r="H28" s="3755">
        <f>SUMIF(82:82,G28,83:83)-SUMIF(82:82,C28,83:83)+100</f>
        <v>100</v>
      </c>
      <c r="I28" s="275"/>
      <c r="J28" s="3755">
        <f>SUMIF(82:82,I28,83:83)-SUMIF(82:82,C28,83:83)+100</f>
        <v>100</v>
      </c>
      <c r="K28" s="394"/>
      <c r="L28" s="1980"/>
      <c r="M28" s="1975"/>
      <c r="N28" s="1975"/>
      <c r="O28" s="2030"/>
      <c r="P28" s="4512"/>
      <c r="Q28" s="907" t="str">
        <f t="shared" si="11"/>
        <v>物业等级</v>
      </c>
      <c r="R28" s="3771" t="s">
        <v>13</v>
      </c>
      <c r="S28" s="3774">
        <f t="shared" si="12"/>
        <v>100</v>
      </c>
      <c r="T28" s="3771" t="s">
        <v>13</v>
      </c>
      <c r="U28" s="3774">
        <f t="shared" si="13"/>
        <v>100</v>
      </c>
      <c r="V28" s="3771" t="s">
        <v>13</v>
      </c>
      <c r="W28" s="3774">
        <f t="shared" si="14"/>
        <v>100</v>
      </c>
      <c r="X28" s="910"/>
      <c r="Y28" s="4512"/>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0"/>
      <c r="M29" s="1975"/>
      <c r="N29" s="1975"/>
      <c r="O29" s="2030"/>
      <c r="P29" s="4512"/>
      <c r="Q29" s="907" t="str">
        <f t="shared" si="11"/>
        <v>有无电梯</v>
      </c>
      <c r="R29" s="3771" t="s">
        <v>13</v>
      </c>
      <c r="S29" s="3774">
        <f t="shared" si="12"/>
        <v>100</v>
      </c>
      <c r="T29" s="3771" t="s">
        <v>13</v>
      </c>
      <c r="U29" s="3774">
        <f t="shared" si="13"/>
        <v>100</v>
      </c>
      <c r="V29" s="3771" t="s">
        <v>13</v>
      </c>
      <c r="W29" s="3774">
        <f t="shared" si="14"/>
        <v>100</v>
      </c>
      <c r="X29" s="910"/>
      <c r="Y29" s="4512"/>
      <c r="Z29" s="908" t="str">
        <f t="shared" si="15"/>
        <v>有无电梯</v>
      </c>
      <c r="AA29" s="908">
        <f t="shared" si="3"/>
        <v>1</v>
      </c>
      <c r="AB29" s="908">
        <f t="shared" si="4"/>
        <v>1</v>
      </c>
      <c r="AC29" s="908">
        <f t="shared" si="5"/>
        <v>1</v>
      </c>
    </row>
    <row r="30" spans="1:29" ht="15">
      <c r="A30" s="280"/>
      <c r="B30" s="252" t="s">
        <v>1771</v>
      </c>
      <c r="C30" s="278"/>
      <c r="D30" s="2903">
        <v>100</v>
      </c>
      <c r="E30" s="278"/>
      <c r="F30" s="909" t="e">
        <f>LOOKUP(E30,87:87,88:88)-LOOKUP(C30,87:87,88:88)+100</f>
        <v>#N/A</v>
      </c>
      <c r="G30" s="278"/>
      <c r="H30" s="3755" t="e">
        <f>LOOKUP(G30,87:87,88:88)-LOOKUP(C30,87:87,88:88)+100</f>
        <v>#N/A</v>
      </c>
      <c r="I30" s="278"/>
      <c r="J30" s="3755" t="e">
        <f>LOOKUP(I30,87:87,88:88)-LOOKUP(C30,87:87,88:88)+100</f>
        <v>#N/A</v>
      </c>
      <c r="K30" s="395"/>
      <c r="L30" s="1980"/>
      <c r="M30" s="1975"/>
      <c r="N30" s="1975"/>
      <c r="O30" s="2030"/>
      <c r="P30" s="4512"/>
      <c r="Q30" s="907" t="str">
        <f t="shared" si="11"/>
        <v>建筑面积</v>
      </c>
      <c r="R30" s="3771" t="s">
        <v>13</v>
      </c>
      <c r="S30" s="3774" t="e">
        <f t="shared" si="12"/>
        <v>#N/A</v>
      </c>
      <c r="T30" s="3771" t="s">
        <v>13</v>
      </c>
      <c r="U30" s="3774" t="e">
        <f t="shared" si="13"/>
        <v>#N/A</v>
      </c>
      <c r="V30" s="3771" t="s">
        <v>13</v>
      </c>
      <c r="W30" s="3774" t="e">
        <f t="shared" si="14"/>
        <v>#N/A</v>
      </c>
      <c r="X30" s="910"/>
      <c r="Y30" s="4512"/>
      <c r="Z30" s="908" t="str">
        <f t="shared" si="15"/>
        <v>建筑面积</v>
      </c>
      <c r="AA30" s="908" t="e">
        <f t="shared" si="3"/>
        <v>#N/A</v>
      </c>
      <c r="AB30" s="908" t="e">
        <f t="shared" si="4"/>
        <v>#N/A</v>
      </c>
      <c r="AC30" s="908" t="e">
        <f t="shared" si="5"/>
        <v>#N/A</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6"/>
      <c r="M31" s="1929"/>
      <c r="N31" s="1929"/>
      <c r="O31" s="2028"/>
      <c r="P31" s="4512"/>
      <c r="Q31" s="389" t="str">
        <f t="shared" si="11"/>
        <v>是否封闭</v>
      </c>
      <c r="R31" s="3770" t="s">
        <v>13</v>
      </c>
      <c r="S31" s="3773">
        <f t="shared" si="12"/>
        <v>100</v>
      </c>
      <c r="T31" s="3770" t="s">
        <v>13</v>
      </c>
      <c r="U31" s="3773">
        <f t="shared" si="13"/>
        <v>100</v>
      </c>
      <c r="V31" s="3770" t="s">
        <v>13</v>
      </c>
      <c r="W31" s="3773">
        <f t="shared" si="14"/>
        <v>100</v>
      </c>
      <c r="X31" s="482"/>
      <c r="Y31" s="4512"/>
      <c r="Z31" s="28" t="str">
        <f t="shared" si="15"/>
        <v>是否封闭</v>
      </c>
      <c r="AA31" s="28">
        <f t="shared" si="3"/>
        <v>1</v>
      </c>
      <c r="AB31" s="28">
        <f t="shared" si="4"/>
        <v>1</v>
      </c>
      <c r="AC31" s="28">
        <f t="shared" si="5"/>
        <v>1</v>
      </c>
    </row>
    <row r="32" spans="1:29" ht="15">
      <c r="A32" s="280"/>
      <c r="B32" s="310">
        <v>111</v>
      </c>
      <c r="C32" s="258"/>
      <c r="D32" s="2903">
        <v>100</v>
      </c>
      <c r="E32" s="278"/>
      <c r="F32" s="909">
        <f>SUMIF(91:91,E32,92:92)-SUMIF(91:91,C32,92:92)+100</f>
        <v>100</v>
      </c>
      <c r="G32" s="278"/>
      <c r="H32" s="3755">
        <f>SUMIF(91:91,G32,92:92)-SUMIF(91:91,C32,92:92)+100</f>
        <v>100</v>
      </c>
      <c r="I32" s="278"/>
      <c r="J32" s="3755">
        <f>SUMIF(91:91,I32,92:92)-SUMIF(91:91,C32,92:92)+100</f>
        <v>100</v>
      </c>
      <c r="K32" s="395"/>
      <c r="L32" s="1980"/>
      <c r="M32" s="1975"/>
      <c r="N32" s="1975"/>
      <c r="O32" s="2030"/>
      <c r="P32" s="4512" t="s">
        <v>1606</v>
      </c>
      <c r="Q32" s="907">
        <f t="shared" si="11"/>
        <v>111</v>
      </c>
      <c r="R32" s="3771" t="s">
        <v>13</v>
      </c>
      <c r="S32" s="3774">
        <f t="shared" si="12"/>
        <v>100</v>
      </c>
      <c r="T32" s="3771" t="s">
        <v>13</v>
      </c>
      <c r="U32" s="3774">
        <f t="shared" si="13"/>
        <v>100</v>
      </c>
      <c r="V32" s="3771" t="s">
        <v>13</v>
      </c>
      <c r="W32" s="3774">
        <f t="shared" si="14"/>
        <v>100</v>
      </c>
      <c r="X32" s="910"/>
      <c r="Y32" s="4512" t="s">
        <v>1606</v>
      </c>
      <c r="Z32" s="908">
        <f t="shared" si="15"/>
        <v>111</v>
      </c>
      <c r="AA32" s="908">
        <f t="shared" si="3"/>
        <v>1</v>
      </c>
      <c r="AB32" s="908">
        <f t="shared" si="4"/>
        <v>1</v>
      </c>
      <c r="AC32" s="908">
        <f t="shared" si="5"/>
        <v>1</v>
      </c>
    </row>
    <row r="33" spans="1:30" ht="15">
      <c r="A33" s="280"/>
      <c r="B33" s="310">
        <v>111</v>
      </c>
      <c r="C33" s="258"/>
      <c r="D33" s="2903">
        <v>100</v>
      </c>
      <c r="E33" s="278"/>
      <c r="F33" s="909">
        <f>SUMIF(93:93,E33,94:94)-SUMIF(93:93,C33,94:94)+100</f>
        <v>100</v>
      </c>
      <c r="G33" s="278"/>
      <c r="H33" s="3755">
        <f>SUMIF(93:93,G33,94:94)-SUMIF(93:93,C33,94:94)+100</f>
        <v>100</v>
      </c>
      <c r="I33" s="278"/>
      <c r="J33" s="3755">
        <f>SUMIF(93:93,I33,94:94)-SUMIF(93:93,C33,94:94)+100</f>
        <v>100</v>
      </c>
      <c r="K33" s="395"/>
      <c r="L33" s="1980"/>
      <c r="M33" s="1975"/>
      <c r="N33" s="1975"/>
      <c r="O33" s="2030"/>
      <c r="P33" s="4512"/>
      <c r="Q33" s="907">
        <f t="shared" si="11"/>
        <v>111</v>
      </c>
      <c r="R33" s="3771" t="s">
        <v>13</v>
      </c>
      <c r="S33" s="3774">
        <f t="shared" si="12"/>
        <v>100</v>
      </c>
      <c r="T33" s="3771" t="s">
        <v>13</v>
      </c>
      <c r="U33" s="3774">
        <f t="shared" si="13"/>
        <v>100</v>
      </c>
      <c r="V33" s="3771" t="s">
        <v>13</v>
      </c>
      <c r="W33" s="3774">
        <f t="shared" si="14"/>
        <v>100</v>
      </c>
      <c r="X33" s="910"/>
      <c r="Y33" s="4512"/>
      <c r="Z33" s="908">
        <f t="shared" si="15"/>
        <v>111</v>
      </c>
      <c r="AA33" s="908">
        <f t="shared" si="3"/>
        <v>1</v>
      </c>
      <c r="AB33" s="908">
        <f t="shared" si="4"/>
        <v>1</v>
      </c>
      <c r="AC33" s="908">
        <f t="shared" si="5"/>
        <v>1</v>
      </c>
    </row>
    <row r="34" spans="1:30" ht="15.75" thickBot="1">
      <c r="A34" s="285"/>
      <c r="B34" s="1362">
        <v>111</v>
      </c>
      <c r="C34" s="261"/>
      <c r="D34" s="2904">
        <v>100</v>
      </c>
      <c r="E34" s="1428"/>
      <c r="F34" s="3756">
        <f>SUMIF(95:95,E34,96:96)-SUMIF(95:95,C34,96:96)+100</f>
        <v>100</v>
      </c>
      <c r="G34" s="1428"/>
      <c r="H34" s="3752">
        <f>SUMIF(95:95,G34,96:96)-SUMIF(95:95,C34,96:96)+100</f>
        <v>100</v>
      </c>
      <c r="I34" s="1428"/>
      <c r="J34" s="3752">
        <f>SUMIF(95:95,I34,96:96)-SUMIF(95:95,C34,96:96)+100</f>
        <v>100</v>
      </c>
      <c r="K34" s="395"/>
      <c r="L34" s="1980"/>
      <c r="M34" s="1975"/>
      <c r="N34" s="1975"/>
      <c r="O34" s="2030"/>
      <c r="P34" s="4512"/>
      <c r="Q34" s="907">
        <f t="shared" si="11"/>
        <v>111</v>
      </c>
      <c r="R34" s="3771" t="s">
        <v>13</v>
      </c>
      <c r="S34" s="3774">
        <f t="shared" si="12"/>
        <v>100</v>
      </c>
      <c r="T34" s="3771" t="s">
        <v>13</v>
      </c>
      <c r="U34" s="3774">
        <f t="shared" si="13"/>
        <v>100</v>
      </c>
      <c r="V34" s="3771" t="s">
        <v>13</v>
      </c>
      <c r="W34" s="3774">
        <f t="shared" si="14"/>
        <v>100</v>
      </c>
      <c r="X34" s="910"/>
      <c r="Y34" s="4512"/>
      <c r="Z34" s="908">
        <f t="shared" si="15"/>
        <v>111</v>
      </c>
      <c r="AA34" s="908">
        <f t="shared" si="3"/>
        <v>1</v>
      </c>
      <c r="AB34" s="908">
        <f t="shared" si="4"/>
        <v>1</v>
      </c>
      <c r="AC34" s="908">
        <f t="shared" si="5"/>
        <v>1</v>
      </c>
    </row>
    <row r="35" spans="1:30" ht="15">
      <c r="A35" s="286" t="s">
        <v>1618</v>
      </c>
      <c r="B35" s="287"/>
      <c r="C35" s="765" t="s">
        <v>0</v>
      </c>
      <c r="D35" s="288"/>
      <c r="E35" s="3206"/>
      <c r="F35" s="3154"/>
      <c r="G35" s="3207"/>
      <c r="H35" s="3155"/>
      <c r="I35" s="3206"/>
      <c r="J35" s="3155"/>
      <c r="K35" s="2863"/>
      <c r="L35" s="1982"/>
      <c r="M35" s="1975"/>
      <c r="N35" s="1975"/>
      <c r="O35" s="1975"/>
      <c r="P35" s="4586" t="str">
        <f>A35</f>
        <v>成交单价（元/平方米）</v>
      </c>
      <c r="Q35" s="4586"/>
      <c r="R35" s="4577">
        <f>E35</f>
        <v>0</v>
      </c>
      <c r="S35" s="4577"/>
      <c r="T35" s="4577">
        <f>G35</f>
        <v>0</v>
      </c>
      <c r="U35" s="4577"/>
      <c r="V35" s="4577">
        <f>I35</f>
        <v>0</v>
      </c>
      <c r="W35" s="4577"/>
      <c r="X35" s="265"/>
      <c r="Y35" s="486"/>
      <c r="Z35" s="265"/>
      <c r="AA35" s="265"/>
      <c r="AB35" s="265"/>
      <c r="AC35" s="265"/>
    </row>
    <row r="36" spans="1:30" ht="15.75" thickBot="1">
      <c r="A36" s="289" t="s">
        <v>1703</v>
      </c>
      <c r="B36" s="290"/>
      <c r="C36" s="3737" t="e">
        <f>R37</f>
        <v>#DIV/0!</v>
      </c>
      <c r="D36" s="3849" t="s">
        <v>2045</v>
      </c>
      <c r="E36" s="3748" t="e">
        <f>R36</f>
        <v>#DIV/0!</v>
      </c>
      <c r="F36" s="2802"/>
      <c r="G36" s="3737" t="e">
        <f>T36</f>
        <v>#DIV/0!</v>
      </c>
      <c r="H36" s="2802"/>
      <c r="I36" s="3748" t="e">
        <f>V36</f>
        <v>#DIV/0!</v>
      </c>
      <c r="J36" s="2802"/>
      <c r="K36" s="2856">
        <f>F36+H36+J36</f>
        <v>0</v>
      </c>
      <c r="L36" s="1982"/>
      <c r="M36" s="1975"/>
      <c r="N36" s="1975"/>
      <c r="O36" s="1975"/>
      <c r="P36" s="4586" t="str">
        <f>A36</f>
        <v>比较价值（元/平方米）</v>
      </c>
      <c r="Q36" s="4586"/>
      <c r="R36" s="4577" t="e">
        <f>IF(F1="售价",ROUND(PRODUCT(R35,AA7:AA34),0),ROUND(PRODUCT(R35,AA7:AA34),1))</f>
        <v>#DIV/0!</v>
      </c>
      <c r="S36" s="4577"/>
      <c r="T36" s="4577" t="e">
        <f>IF(F1="售价",ROUND(PRODUCT(T35,AB7:AB34),0),ROUND(PRODUCT(T35,AB7:AB34),1))</f>
        <v>#DIV/0!</v>
      </c>
      <c r="U36" s="4577"/>
      <c r="V36" s="4577" t="e">
        <f>IF(F1="售价",ROUND(PRODUCT(V35,AC7:AC34),0),ROUND(PRODUCT(V35,AC7:AC34),1))</f>
        <v>#DIV/0!</v>
      </c>
      <c r="W36" s="4577"/>
      <c r="X36" s="265"/>
      <c r="Y36" s="265"/>
      <c r="Z36" s="265"/>
      <c r="AA36" s="265"/>
      <c r="AB36" s="265"/>
      <c r="AC36" s="265"/>
    </row>
    <row r="37" spans="1:30" ht="15.75" thickBot="1">
      <c r="A37" s="291" t="s">
        <v>1704</v>
      </c>
      <c r="B37" s="292"/>
      <c r="C37" s="3749" t="e">
        <f>R37</f>
        <v>#DIV/0!</v>
      </c>
      <c r="D37" s="241"/>
      <c r="E37" s="241"/>
      <c r="F37" s="241"/>
      <c r="G37" s="241"/>
      <c r="H37" s="241"/>
      <c r="I37" s="241"/>
      <c r="J37" s="241"/>
      <c r="K37" s="487"/>
      <c r="L37" s="1982"/>
      <c r="M37" s="1975"/>
      <c r="N37" s="1975"/>
      <c r="O37" s="1975"/>
      <c r="P37" s="4595" t="str">
        <f>A37</f>
        <v>估价对象XX用房的比较价值（楼面单价，元/平方米）</v>
      </c>
      <c r="Q37" s="4596"/>
      <c r="R37" s="4597" t="e">
        <f>IF(F1="售价",ROUND(IF(D36="简单平均",AVERAGE(R36:W36),R36*F36+T36*H36+V36*J36),0),ROUND(IF(D36="简单平均",AVERAGE(R36:V36),R36*F36+T36*H36+V36*J36),1))</f>
        <v>#DIV/0!</v>
      </c>
      <c r="S37" s="4597"/>
      <c r="T37" s="4597"/>
      <c r="U37" s="4597"/>
      <c r="V37" s="4597"/>
      <c r="W37" s="459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3887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4"/>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3"/>
      <c r="E3" s="587"/>
      <c r="F3" s="588"/>
      <c r="G3" s="587"/>
      <c r="H3" s="587"/>
      <c r="I3" s="587"/>
      <c r="J3" s="587"/>
      <c r="K3" s="3124"/>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IF(B48="单位面积地价",C50,ROUND(B2*10000/'数据-汇总表'!D3,0))</f>
        <v>#DIV/0!</v>
      </c>
      <c r="C4" s="1337" t="s">
        <v>3640</v>
      </c>
      <c r="D4" s="587"/>
      <c r="E4" s="587"/>
      <c r="F4" s="588"/>
      <c r="G4" s="587"/>
      <c r="H4" s="587"/>
      <c r="I4" s="587"/>
      <c r="J4" s="587"/>
      <c r="K4" s="3124"/>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3124"/>
      <c r="L5" s="1991"/>
      <c r="M5" s="1992"/>
      <c r="N5" s="1992"/>
      <c r="O5" s="1992"/>
      <c r="P5" s="232"/>
      <c r="Q5" s="232"/>
      <c r="R5" s="232"/>
      <c r="S5" s="232"/>
      <c r="T5" s="232"/>
      <c r="U5" s="232"/>
      <c r="V5" s="232"/>
      <c r="W5" s="232"/>
      <c r="X5" s="232"/>
      <c r="Y5" s="232"/>
      <c r="Z5" s="232"/>
      <c r="AA5" s="232"/>
      <c r="AB5" s="232"/>
      <c r="AC5" s="481"/>
    </row>
    <row r="6" spans="1:29" ht="15">
      <c r="A6" s="235" t="s">
        <v>1679</v>
      </c>
      <c r="B6" s="236"/>
      <c r="C6" s="4563" t="s">
        <v>1680</v>
      </c>
      <c r="D6" s="4564"/>
      <c r="E6" s="4565" t="s">
        <v>1681</v>
      </c>
      <c r="F6" s="4566"/>
      <c r="G6" s="4563" t="s">
        <v>1682</v>
      </c>
      <c r="H6" s="4564"/>
      <c r="I6" s="4563" t="s">
        <v>1683</v>
      </c>
      <c r="J6" s="4564"/>
      <c r="K6" s="2864" t="s">
        <v>1684</v>
      </c>
      <c r="L6" s="1974"/>
      <c r="M6" s="1975"/>
      <c r="N6" s="1975"/>
      <c r="O6" s="1975"/>
      <c r="P6" s="4567" t="s">
        <v>1685</v>
      </c>
      <c r="Q6" s="4568"/>
      <c r="R6" s="4553" t="s">
        <v>1681</v>
      </c>
      <c r="S6" s="4554"/>
      <c r="T6" s="4553" t="s">
        <v>1682</v>
      </c>
      <c r="U6" s="4554"/>
      <c r="V6" s="4495" t="s">
        <v>1683</v>
      </c>
      <c r="W6" s="4495"/>
      <c r="X6" s="910"/>
      <c r="Y6" s="4572" t="s">
        <v>1685</v>
      </c>
      <c r="Z6" s="4573"/>
      <c r="AA6" s="4552" t="s">
        <v>1681</v>
      </c>
      <c r="AB6" s="4463" t="s">
        <v>1682</v>
      </c>
      <c r="AC6" s="4552" t="s">
        <v>1683</v>
      </c>
    </row>
    <row r="7" spans="1:29" ht="15">
      <c r="A7" s="238"/>
      <c r="B7" s="239"/>
      <c r="C7" s="4557" t="s">
        <v>1583</v>
      </c>
      <c r="D7" s="4558"/>
      <c r="E7" s="4555" t="s">
        <v>1584</v>
      </c>
      <c r="F7" s="4556"/>
      <c r="G7" s="4557" t="s">
        <v>1585</v>
      </c>
      <c r="H7" s="4558"/>
      <c r="I7" s="4557" t="s">
        <v>1586</v>
      </c>
      <c r="J7" s="4558"/>
      <c r="K7" s="2864"/>
      <c r="L7" s="1974"/>
      <c r="M7" s="1975"/>
      <c r="N7" s="1975"/>
      <c r="O7" s="1975"/>
      <c r="P7" s="4569"/>
      <c r="Q7" s="4489"/>
      <c r="R7" s="4469"/>
      <c r="S7" s="4470"/>
      <c r="T7" s="4469"/>
      <c r="U7" s="4470"/>
      <c r="V7" s="4495"/>
      <c r="W7" s="4495"/>
      <c r="X7" s="910"/>
      <c r="Y7" s="4500"/>
      <c r="Z7" s="4501"/>
      <c r="AA7" s="4463"/>
      <c r="AB7" s="4463"/>
      <c r="AC7" s="4463"/>
    </row>
    <row r="8" spans="1:29" ht="15.75" thickBot="1">
      <c r="A8" s="240"/>
      <c r="B8" s="241"/>
      <c r="C8" s="4559" t="s">
        <v>1587</v>
      </c>
      <c r="D8" s="4560"/>
      <c r="E8" s="4561" t="s">
        <v>1587</v>
      </c>
      <c r="F8" s="4562"/>
      <c r="G8" s="4559" t="s">
        <v>1587</v>
      </c>
      <c r="H8" s="4560"/>
      <c r="I8" s="4559" t="s">
        <v>1587</v>
      </c>
      <c r="J8" s="4560"/>
      <c r="K8" s="2864" t="s">
        <v>1588</v>
      </c>
      <c r="L8" s="1974"/>
      <c r="M8" s="1975"/>
      <c r="N8" s="1975"/>
      <c r="O8" s="1975"/>
      <c r="P8" s="4570"/>
      <c r="Q8" s="4491"/>
      <c r="R8" s="4469"/>
      <c r="S8" s="4470"/>
      <c r="T8" s="4492"/>
      <c r="U8" s="4493"/>
      <c r="V8" s="4495"/>
      <c r="W8" s="4495"/>
      <c r="X8" s="910"/>
      <c r="Y8" s="4502"/>
      <c r="Z8" s="4503"/>
      <c r="AA8" s="4464"/>
      <c r="AB8" s="4464"/>
      <c r="AC8" s="4464"/>
    </row>
    <row r="9" spans="1:29" s="46" customFormat="1" ht="15.75" thickBot="1">
      <c r="A9" s="3090" t="s">
        <v>1589</v>
      </c>
      <c r="B9" s="3091"/>
      <c r="C9" s="2812">
        <f>'数据-取费表'!B2</f>
        <v>46051</v>
      </c>
      <c r="D9" s="2887">
        <v>100</v>
      </c>
      <c r="E9" s="2841"/>
      <c r="F9" s="3721">
        <f>SUMIF(71:71,YEAR(E9)&amp;"-"&amp;INT((MONTH(E9)+2)/3),72:72)</f>
        <v>0</v>
      </c>
      <c r="G9" s="3121"/>
      <c r="H9" s="3733">
        <f>SUMIF(71:71,YEAR(G9)&amp;"-"&amp;INT((MONTH(G9)+2)/3),72:72)</f>
        <v>0</v>
      </c>
      <c r="I9" s="3121"/>
      <c r="J9" s="3733">
        <f>SUMIF(71:71,YEAR(I9)&amp;"-"&amp;INT((MONTH(I9)+2)/3),72:72)</f>
        <v>0</v>
      </c>
      <c r="K9" s="3125"/>
      <c r="L9" s="1976"/>
      <c r="M9" s="1929"/>
      <c r="N9" s="1929"/>
      <c r="O9" s="1929"/>
      <c r="P9" s="4571" t="s">
        <v>1590</v>
      </c>
      <c r="Q9" s="4504"/>
      <c r="R9" s="3763" t="s">
        <v>13</v>
      </c>
      <c r="S9" s="3543">
        <f t="shared" ref="S9:S17" si="0">F9</f>
        <v>0</v>
      </c>
      <c r="T9" s="3763" t="s">
        <v>13</v>
      </c>
      <c r="U9" s="3543">
        <f t="shared" ref="U9:U17" si="1">H9</f>
        <v>0</v>
      </c>
      <c r="V9" s="3763" t="s">
        <v>13</v>
      </c>
      <c r="W9" s="3543">
        <f t="shared" ref="W9:W17" si="2">J9</f>
        <v>0</v>
      </c>
      <c r="X9" s="482"/>
      <c r="Y9" s="4465" t="s">
        <v>1590</v>
      </c>
      <c r="Z9" s="4466"/>
      <c r="AA9" s="28" t="e">
        <f>D9/F9</f>
        <v>#DIV/0!</v>
      </c>
      <c r="AB9" s="28" t="e">
        <f>D9/H9</f>
        <v>#DIV/0!</v>
      </c>
      <c r="AC9" s="28" t="e">
        <f>D9/J9</f>
        <v>#DIV/0!</v>
      </c>
    </row>
    <row r="10" spans="1:29" s="46" customFormat="1" ht="15.75" thickBot="1">
      <c r="A10" s="3090" t="s">
        <v>1591</v>
      </c>
      <c r="B10" s="3091"/>
      <c r="C10" s="2813"/>
      <c r="D10" s="2887">
        <v>100</v>
      </c>
      <c r="E10" s="2813"/>
      <c r="F10" s="3721">
        <f>SUMIF(74:74,E10,75:75)-SUMIF(74:74,C10,75:75)+100</f>
        <v>100</v>
      </c>
      <c r="G10" s="2813"/>
      <c r="H10" s="3733">
        <f>SUMIF(74:74,G10,75:75)-SUMIF(74:74,C10,75:75)+100</f>
        <v>100</v>
      </c>
      <c r="I10" s="2813"/>
      <c r="J10" s="3733">
        <f>SUMIF(74:74,I10,75:75)-SUMIF(74:74,C10,75:75)+100</f>
        <v>100</v>
      </c>
      <c r="K10" s="3125"/>
      <c r="L10" s="1976"/>
      <c r="M10" s="1929"/>
      <c r="N10" s="1929"/>
      <c r="O10" s="1929"/>
      <c r="P10" s="4571" t="s">
        <v>1593</v>
      </c>
      <c r="Q10" s="4497"/>
      <c r="R10" s="3763" t="s">
        <v>13</v>
      </c>
      <c r="S10" s="3543">
        <f t="shared" si="0"/>
        <v>100</v>
      </c>
      <c r="T10" s="3763" t="s">
        <v>13</v>
      </c>
      <c r="U10" s="3543">
        <f t="shared" si="1"/>
        <v>100</v>
      </c>
      <c r="V10" s="3763" t="s">
        <v>13</v>
      </c>
      <c r="W10" s="3543">
        <f t="shared" si="2"/>
        <v>100</v>
      </c>
      <c r="X10" s="482"/>
      <c r="Y10" s="4465" t="s">
        <v>1593</v>
      </c>
      <c r="Z10" s="4466"/>
      <c r="AA10" s="28">
        <f t="shared" ref="AA10:AA47" si="3">D10/F10</f>
        <v>1</v>
      </c>
      <c r="AB10" s="28">
        <f t="shared" ref="AB10:AB47" si="4">D10/H10</f>
        <v>1</v>
      </c>
      <c r="AC10" s="28">
        <f t="shared" ref="AC10:AC47" si="5">D10/J10</f>
        <v>1</v>
      </c>
    </row>
    <row r="11" spans="1:29" s="46" customFormat="1">
      <c r="A11" s="3030" t="s">
        <v>1594</v>
      </c>
      <c r="B11" s="2793" t="s">
        <v>1595</v>
      </c>
      <c r="C11" s="3092"/>
      <c r="D11" s="2888">
        <v>100</v>
      </c>
      <c r="E11" s="3092"/>
      <c r="F11" s="3734">
        <f>SUMIF(76:76,E11,77:77)-SUMIF(76:76,C11,77:77)+100</f>
        <v>100</v>
      </c>
      <c r="G11" s="3092"/>
      <c r="H11" s="3734">
        <f>SUMIF(76:76,G11,77:77)-SUMIF(76:76,C11,77:77)+100</f>
        <v>100</v>
      </c>
      <c r="I11" s="3092"/>
      <c r="J11" s="3734">
        <f>SUMIF(76:76,I11,77:77)-SUMIF(76:76,C11,77:77)+100</f>
        <v>100</v>
      </c>
      <c r="K11" s="3125"/>
      <c r="L11" s="1976"/>
      <c r="M11" s="1929"/>
      <c r="N11" s="1929"/>
      <c r="O11" s="2028"/>
      <c r="P11" s="4514" t="s">
        <v>1596</v>
      </c>
      <c r="Q11" s="1698" t="str">
        <f t="shared" ref="Q11:Q17" si="6">B11</f>
        <v>用途</v>
      </c>
      <c r="R11" s="3763" t="s">
        <v>13</v>
      </c>
      <c r="S11" s="3543">
        <f t="shared" si="0"/>
        <v>100</v>
      </c>
      <c r="T11" s="3763" t="s">
        <v>13</v>
      </c>
      <c r="U11" s="3543">
        <f t="shared" si="1"/>
        <v>100</v>
      </c>
      <c r="V11" s="3763" t="s">
        <v>13</v>
      </c>
      <c r="W11" s="3543">
        <f t="shared" si="2"/>
        <v>100</v>
      </c>
      <c r="X11" s="482"/>
      <c r="Y11" s="4478"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67"/>
      <c r="F12" s="3735">
        <f>ROUND(100/'数据-取费表'!G16,1)</f>
        <v>109.3</v>
      </c>
      <c r="G12" s="2873"/>
      <c r="H12" s="3735">
        <f>ROUND(100/'数据-取费表'!G16,1)</f>
        <v>109.3</v>
      </c>
      <c r="I12" s="2873"/>
      <c r="J12" s="3735">
        <f>ROUND(100/'数据-取费表'!G16,1)</f>
        <v>109.3</v>
      </c>
      <c r="K12" s="3126"/>
      <c r="L12" s="1977"/>
      <c r="M12" s="1978"/>
      <c r="N12" s="1978"/>
      <c r="O12" s="2029"/>
      <c r="P12" s="4514"/>
      <c r="Q12" s="1698" t="str">
        <f t="shared" si="6"/>
        <v>土地使用年限（年）</v>
      </c>
      <c r="R12" s="3763" t="s">
        <v>13</v>
      </c>
      <c r="S12" s="3543">
        <f t="shared" si="0"/>
        <v>109.3</v>
      </c>
      <c r="T12" s="3763" t="s">
        <v>13</v>
      </c>
      <c r="U12" s="3543">
        <f t="shared" si="1"/>
        <v>109.3</v>
      </c>
      <c r="V12" s="3763" t="s">
        <v>13</v>
      </c>
      <c r="W12" s="3543">
        <f t="shared" si="2"/>
        <v>109.3</v>
      </c>
      <c r="X12" s="482"/>
      <c r="Y12" s="4478"/>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f>LOOKUP(E13,81:81,82:82)-LOOKUP(C13,81:81,82:82)+100</f>
        <v>100</v>
      </c>
      <c r="G13" s="2844"/>
      <c r="H13" s="3735">
        <f>LOOKUP(G13,81:81,82:82)-LOOKUP(C13,81:81,82:82)+100</f>
        <v>100</v>
      </c>
      <c r="I13" s="2816"/>
      <c r="J13" s="3735">
        <f>LOOKUP(I13,81:81,82:82)-LOOKUP(C13,81:81,82:82)+100</f>
        <v>100</v>
      </c>
      <c r="K13" s="3150"/>
      <c r="L13" s="1979"/>
      <c r="M13" s="1975"/>
      <c r="N13" s="1975"/>
      <c r="O13" s="2030"/>
      <c r="P13" s="4514"/>
      <c r="Q13" s="1698" t="str">
        <f t="shared" si="6"/>
        <v>容积率</v>
      </c>
      <c r="R13" s="3763" t="s">
        <v>13</v>
      </c>
      <c r="S13" s="3543">
        <f t="shared" si="0"/>
        <v>100</v>
      </c>
      <c r="T13" s="3763" t="s">
        <v>13</v>
      </c>
      <c r="U13" s="3543">
        <f t="shared" si="1"/>
        <v>100</v>
      </c>
      <c r="V13" s="3763" t="s">
        <v>13</v>
      </c>
      <c r="W13" s="3543">
        <f t="shared" si="2"/>
        <v>100</v>
      </c>
      <c r="X13" s="482"/>
      <c r="Y13" s="4478"/>
      <c r="Z13" s="28" t="str">
        <f t="shared" si="7"/>
        <v>容积率</v>
      </c>
      <c r="AA13" s="28">
        <f t="shared" si="3"/>
        <v>1</v>
      </c>
      <c r="AB13" s="28">
        <f t="shared" si="4"/>
        <v>1</v>
      </c>
      <c r="AC13" s="28">
        <f t="shared" si="5"/>
        <v>1</v>
      </c>
    </row>
    <row r="14" spans="1:29" s="46" customFormat="1" ht="15">
      <c r="A14" s="3095"/>
      <c r="B14" s="2794" t="s">
        <v>1780</v>
      </c>
      <c r="C14" s="2817"/>
      <c r="D14" s="2890">
        <v>100</v>
      </c>
      <c r="E14" s="2867"/>
      <c r="F14" s="3735">
        <f>SUMIF(83:83,E14,84:84)-SUMIF(83:83,C14,84:84)+100</f>
        <v>100</v>
      </c>
      <c r="G14" s="2873"/>
      <c r="H14" s="3735">
        <f>SUMIF(83:83,G14,84:84)-SUMIF(83:83,C14,84:84)+100</f>
        <v>100</v>
      </c>
      <c r="I14" s="2867"/>
      <c r="J14" s="3735">
        <f>SUMIF(83:83,I14,84:84)-SUMIF(83:83,C14,84:84)+100</f>
        <v>100</v>
      </c>
      <c r="K14" s="3151"/>
      <c r="L14" s="1976"/>
      <c r="M14" s="1929"/>
      <c r="N14" s="1929"/>
      <c r="O14" s="2028"/>
      <c r="P14" s="4514"/>
      <c r="Q14" s="1698" t="str">
        <f t="shared" si="6"/>
        <v>配建</v>
      </c>
      <c r="R14" s="3763" t="s">
        <v>13</v>
      </c>
      <c r="S14" s="3543">
        <f t="shared" si="0"/>
        <v>100</v>
      </c>
      <c r="T14" s="3763" t="s">
        <v>13</v>
      </c>
      <c r="U14" s="3543">
        <f t="shared" si="1"/>
        <v>100</v>
      </c>
      <c r="V14" s="3763" t="s">
        <v>13</v>
      </c>
      <c r="W14" s="3543">
        <f t="shared" si="2"/>
        <v>100</v>
      </c>
      <c r="X14" s="482"/>
      <c r="Y14" s="4478"/>
      <c r="Z14" s="28" t="str">
        <f t="shared" si="7"/>
        <v>配建</v>
      </c>
      <c r="AA14" s="28">
        <f>D14/F14</f>
        <v>1</v>
      </c>
      <c r="AB14" s="28">
        <f>D14/H14</f>
        <v>1</v>
      </c>
      <c r="AC14" s="28">
        <f>D14/J14</f>
        <v>1</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0"/>
      <c r="M15" s="1975"/>
      <c r="N15" s="1975"/>
      <c r="O15" s="2030"/>
      <c r="P15" s="4514"/>
      <c r="Q15" s="1698">
        <f t="shared" si="6"/>
        <v>111</v>
      </c>
      <c r="R15" s="3763" t="s">
        <v>13</v>
      </c>
      <c r="S15" s="3543">
        <f t="shared" si="0"/>
        <v>100</v>
      </c>
      <c r="T15" s="3763" t="s">
        <v>13</v>
      </c>
      <c r="U15" s="3543">
        <f t="shared" si="1"/>
        <v>100</v>
      </c>
      <c r="V15" s="3763" t="s">
        <v>13</v>
      </c>
      <c r="W15" s="3543">
        <f t="shared" si="2"/>
        <v>100</v>
      </c>
      <c r="X15" s="482"/>
      <c r="Y15" s="4478"/>
      <c r="Z15" s="28">
        <f t="shared" si="7"/>
        <v>111</v>
      </c>
      <c r="AA15" s="28">
        <f>D15/F15</f>
        <v>1</v>
      </c>
      <c r="AB15" s="28">
        <f>D15/H15</f>
        <v>1</v>
      </c>
      <c r="AC15" s="28">
        <f>D15/J15</f>
        <v>1</v>
      </c>
    </row>
    <row r="16" spans="1:29" ht="15.75"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0"/>
      <c r="M16" s="1975"/>
      <c r="N16" s="1975"/>
      <c r="O16" s="2030"/>
      <c r="P16" s="4514"/>
      <c r="Q16" s="1698">
        <f t="shared" si="6"/>
        <v>111</v>
      </c>
      <c r="R16" s="3763" t="s">
        <v>13</v>
      </c>
      <c r="S16" s="3543">
        <f t="shared" si="0"/>
        <v>100</v>
      </c>
      <c r="T16" s="3763" t="s">
        <v>13</v>
      </c>
      <c r="U16" s="3543">
        <f t="shared" si="1"/>
        <v>100</v>
      </c>
      <c r="V16" s="3763" t="s">
        <v>13</v>
      </c>
      <c r="W16" s="3543">
        <f t="shared" si="2"/>
        <v>100</v>
      </c>
      <c r="X16" s="482"/>
      <c r="Y16" s="4478"/>
      <c r="Z16" s="28">
        <f t="shared" si="7"/>
        <v>111</v>
      </c>
      <c r="AA16" s="28">
        <f>D16/F16</f>
        <v>1</v>
      </c>
      <c r="AB16" s="28">
        <f>D16/H16</f>
        <v>1</v>
      </c>
      <c r="AC16" s="28">
        <f>D16/J16</f>
        <v>1</v>
      </c>
    </row>
    <row r="17" spans="1:29" ht="85.5">
      <c r="A17" s="3097" t="s">
        <v>1600</v>
      </c>
      <c r="B17" s="2796" t="s">
        <v>1235</v>
      </c>
      <c r="C17" s="2820" t="str">
        <f>估价对象房地状况!C15</f>
        <v>估价对象周边居住用地比例、居住小区规模和社区发展完善程度，综合评价居住社区成熟度一般</v>
      </c>
      <c r="D17" s="2893">
        <v>100</v>
      </c>
      <c r="E17" s="2845"/>
      <c r="F17" s="3725">
        <f>SUMIF(89:89,E18,90:90)-SUMIF(89:89,C18,90:90)+100</f>
        <v>100</v>
      </c>
      <c r="G17" s="2845"/>
      <c r="H17" s="3725">
        <f>SUMIF(89:89,G18,90:90)-SUMIF(89:89,C18,90:90)+100</f>
        <v>100</v>
      </c>
      <c r="I17" s="2851"/>
      <c r="J17" s="3725">
        <f>SUMIF(89:89,I18,90:90)-SUMIF(89:89,C18,90:90)+100</f>
        <v>100</v>
      </c>
      <c r="K17" s="3150"/>
      <c r="L17" s="1980"/>
      <c r="M17" s="1975"/>
      <c r="N17" s="1975"/>
      <c r="O17" s="2030"/>
      <c r="P17" s="4581" t="s">
        <v>1601</v>
      </c>
      <c r="Q17" s="1507" t="str">
        <f t="shared" si="6"/>
        <v>居住社区成熟度</v>
      </c>
      <c r="R17" s="3764" t="s">
        <v>13</v>
      </c>
      <c r="S17" s="3766">
        <f t="shared" si="0"/>
        <v>100</v>
      </c>
      <c r="T17" s="3764" t="s">
        <v>13</v>
      </c>
      <c r="U17" s="3766">
        <f t="shared" si="1"/>
        <v>100</v>
      </c>
      <c r="V17" s="3764" t="s">
        <v>13</v>
      </c>
      <c r="W17" s="3766">
        <f t="shared" si="2"/>
        <v>100</v>
      </c>
      <c r="X17" s="910"/>
      <c r="Y17" s="4507" t="s">
        <v>1601</v>
      </c>
      <c r="Z17" s="908" t="str">
        <f t="shared" si="7"/>
        <v>居住社区成熟度</v>
      </c>
      <c r="AA17" s="908">
        <f t="shared" si="3"/>
        <v>1</v>
      </c>
      <c r="AB17" s="908">
        <f t="shared" si="4"/>
        <v>1</v>
      </c>
      <c r="AC17" s="908">
        <f t="shared" si="5"/>
        <v>1</v>
      </c>
    </row>
    <row r="18" spans="1:29" ht="15">
      <c r="A18" s="3094"/>
      <c r="B18" s="2797"/>
      <c r="C18" s="2821" t="s">
        <v>3619</v>
      </c>
      <c r="D18" s="2894"/>
      <c r="E18" s="2849" t="s">
        <v>3620</v>
      </c>
      <c r="F18" s="3726"/>
      <c r="G18" s="2849" t="s">
        <v>3619</v>
      </c>
      <c r="H18" s="3727"/>
      <c r="I18" s="2855" t="s">
        <v>3619</v>
      </c>
      <c r="J18" s="3726"/>
      <c r="K18" s="3151"/>
      <c r="L18" s="1980"/>
      <c r="M18" s="1975"/>
      <c r="N18" s="1975"/>
      <c r="O18" s="2030"/>
      <c r="P18" s="4582"/>
      <c r="Q18" s="1507"/>
      <c r="R18" s="3764"/>
      <c r="S18" s="3766"/>
      <c r="T18" s="3764"/>
      <c r="U18" s="3766"/>
      <c r="V18" s="3764"/>
      <c r="W18" s="3766"/>
      <c r="X18" s="910"/>
      <c r="Y18" s="4508"/>
      <c r="Z18" s="908"/>
      <c r="AA18" s="908">
        <v>1</v>
      </c>
      <c r="AB18" s="908">
        <v>1</v>
      </c>
      <c r="AC18" s="908">
        <v>1</v>
      </c>
    </row>
    <row r="19" spans="1:29" ht="57">
      <c r="A19" s="3094"/>
      <c r="B19" s="2798" t="s">
        <v>1687</v>
      </c>
      <c r="C19" s="2836" t="str">
        <f>估价对象房地状况!C16</f>
        <v>估价对象位于XX商圈，周边商业氛围成熟，人流量大，商业繁华度好</v>
      </c>
      <c r="D19" s="2895">
        <v>100</v>
      </c>
      <c r="E19" s="2846"/>
      <c r="F19" s="3727">
        <f>SUMIF(91:91,E20,92:92)-SUMIF(91:91,C20,92:92)+100</f>
        <v>100</v>
      </c>
      <c r="G19" s="2846"/>
      <c r="H19" s="3728">
        <f>SUMIF(91:91,G20,92:92)-SUMIF(91:91,C20,92:92)+100</f>
        <v>100</v>
      </c>
      <c r="I19" s="2852"/>
      <c r="J19" s="3728">
        <f>SUMIF(91:91,I20,92:92)-SUMIF(91:91,C20,92:92)+100</f>
        <v>100</v>
      </c>
      <c r="K19" s="3150"/>
      <c r="L19" s="1980"/>
      <c r="M19" s="1975"/>
      <c r="N19" s="1975"/>
      <c r="O19" s="2030"/>
      <c r="P19" s="4582"/>
      <c r="Q19" s="1507" t="str">
        <f>B19</f>
        <v>商业繁华度</v>
      </c>
      <c r="R19" s="3764" t="s">
        <v>13</v>
      </c>
      <c r="S19" s="3766">
        <f>F19</f>
        <v>100</v>
      </c>
      <c r="T19" s="3764" t="s">
        <v>13</v>
      </c>
      <c r="U19" s="3766">
        <f>H19</f>
        <v>100</v>
      </c>
      <c r="V19" s="3764" t="s">
        <v>13</v>
      </c>
      <c r="W19" s="3766">
        <f>J19</f>
        <v>100</v>
      </c>
      <c r="X19" s="910"/>
      <c r="Y19" s="4508"/>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0"/>
      <c r="M20" s="1975"/>
      <c r="N20" s="1975"/>
      <c r="O20" s="2030"/>
      <c r="P20" s="4582"/>
      <c r="Q20" s="1507"/>
      <c r="R20" s="3764"/>
      <c r="S20" s="3766"/>
      <c r="T20" s="3764"/>
      <c r="U20" s="3766"/>
      <c r="V20" s="3764"/>
      <c r="W20" s="3766"/>
      <c r="X20" s="910"/>
      <c r="Y20" s="4508"/>
      <c r="Z20" s="908"/>
      <c r="AA20" s="908">
        <v>1</v>
      </c>
      <c r="AB20" s="908">
        <v>1</v>
      </c>
      <c r="AC20" s="908">
        <v>1</v>
      </c>
    </row>
    <row r="21" spans="1:29" ht="71.25">
      <c r="A21" s="3094"/>
      <c r="B21" s="2798" t="s">
        <v>1721</v>
      </c>
      <c r="C21" s="2836" t="str">
        <f>估价对象房地状况!C17</f>
        <v>估价对象位于XX商圈，周边办公楼项目较多，入驻率高，办公集聚程度较好</v>
      </c>
      <c r="D21" s="2896">
        <v>100</v>
      </c>
      <c r="E21" s="2848"/>
      <c r="F21" s="3728">
        <f>SUMIF(93:93,E22,94:94)-SUMIF(93:93,C22,94:94)+100</f>
        <v>100</v>
      </c>
      <c r="G21" s="2848"/>
      <c r="H21" s="3727">
        <f>SUMIF(93:93,G22,94:94)-SUMIF(93:93,C22,94:94)+100</f>
        <v>100</v>
      </c>
      <c r="I21" s="2854"/>
      <c r="J21" s="3727">
        <f>SUMIF(93:93,I22,94:94)-SUMIF(93:93,C22,94:94)+100</f>
        <v>100</v>
      </c>
      <c r="K21" s="3150"/>
      <c r="L21" s="1980"/>
      <c r="M21" s="1975"/>
      <c r="N21" s="1975"/>
      <c r="O21" s="2030"/>
      <c r="P21" s="4582"/>
      <c r="Q21" s="1507" t="str">
        <f>B21</f>
        <v>办公集聚程度</v>
      </c>
      <c r="R21" s="3764" t="s">
        <v>13</v>
      </c>
      <c r="S21" s="3766">
        <f>F21</f>
        <v>100</v>
      </c>
      <c r="T21" s="3764" t="s">
        <v>13</v>
      </c>
      <c r="U21" s="3766">
        <f>H21</f>
        <v>100</v>
      </c>
      <c r="V21" s="3764" t="s">
        <v>13</v>
      </c>
      <c r="W21" s="3766">
        <f>J21</f>
        <v>100</v>
      </c>
      <c r="X21" s="910"/>
      <c r="Y21" s="4508"/>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0"/>
      <c r="M22" s="1975"/>
      <c r="N22" s="1975"/>
      <c r="O22" s="2030"/>
      <c r="P22" s="4582"/>
      <c r="Q22" s="1507"/>
      <c r="R22" s="3764"/>
      <c r="S22" s="3766"/>
      <c r="T22" s="3764"/>
      <c r="U22" s="3766"/>
      <c r="V22" s="3764"/>
      <c r="W22" s="3766"/>
      <c r="X22" s="910"/>
      <c r="Y22" s="4508"/>
      <c r="Z22" s="908"/>
      <c r="AA22" s="908">
        <v>1</v>
      </c>
      <c r="AB22" s="908">
        <v>1</v>
      </c>
      <c r="AC22" s="908">
        <v>1</v>
      </c>
    </row>
    <row r="23" spans="1:29" ht="71.25">
      <c r="A23" s="3094"/>
      <c r="B23" s="2798" t="s">
        <v>1743</v>
      </c>
      <c r="C23" s="2822" t="str">
        <f>估价对象房地状况!C18</f>
        <v>估价对象周边道路状况、公共交通通达情况、停车便捷程度，综合评价交通便捷度较好</v>
      </c>
      <c r="D23" s="2895">
        <v>100</v>
      </c>
      <c r="E23" s="2846"/>
      <c r="F23" s="3728">
        <f>SUMIF(95:95,E24,96:96)-SUMIF(95:95,C24,96:96)+100</f>
        <v>100</v>
      </c>
      <c r="G23" s="2846"/>
      <c r="H23" s="3727">
        <f>SUMIF(95:95,G24,96:96)-SUMIF(95:95,C24,96:96)+100</f>
        <v>100</v>
      </c>
      <c r="I23" s="2852"/>
      <c r="J23" s="3727">
        <f>SUMIF(95:95,I24,96:96)-SUMIF(95:95,C24,96:96)+100</f>
        <v>100</v>
      </c>
      <c r="K23" s="3150"/>
      <c r="L23" s="1980"/>
      <c r="M23" s="1975"/>
      <c r="N23" s="1975"/>
      <c r="O23" s="2030"/>
      <c r="P23" s="4582"/>
      <c r="Q23" s="1507" t="str">
        <f>B23</f>
        <v>交通便捷度</v>
      </c>
      <c r="R23" s="3764" t="s">
        <v>13</v>
      </c>
      <c r="S23" s="3766">
        <f>F23</f>
        <v>100</v>
      </c>
      <c r="T23" s="3764" t="s">
        <v>13</v>
      </c>
      <c r="U23" s="3766">
        <f>H23</f>
        <v>100</v>
      </c>
      <c r="V23" s="3764" t="s">
        <v>13</v>
      </c>
      <c r="W23" s="3766">
        <f>J23</f>
        <v>100</v>
      </c>
      <c r="X23" s="910"/>
      <c r="Y23" s="4508"/>
      <c r="Z23" s="908" t="str">
        <f>Q23</f>
        <v>交通便捷度</v>
      </c>
      <c r="AA23" s="908">
        <f t="shared" si="3"/>
        <v>1</v>
      </c>
      <c r="AB23" s="908">
        <f t="shared" si="4"/>
        <v>1</v>
      </c>
      <c r="AC23" s="908">
        <f t="shared" si="5"/>
        <v>1</v>
      </c>
    </row>
    <row r="24" spans="1:29" ht="15">
      <c r="A24" s="3094"/>
      <c r="B24" s="2800"/>
      <c r="C24" s="2821" t="s">
        <v>3619</v>
      </c>
      <c r="D24" s="2895"/>
      <c r="E24" s="2849" t="s">
        <v>3620</v>
      </c>
      <c r="F24" s="3726"/>
      <c r="G24" s="2849" t="s">
        <v>3619</v>
      </c>
      <c r="H24" s="3726"/>
      <c r="I24" s="2855" t="s">
        <v>3619</v>
      </c>
      <c r="J24" s="3726"/>
      <c r="K24" s="3151"/>
      <c r="L24" s="1980"/>
      <c r="M24" s="1975"/>
      <c r="N24" s="1975"/>
      <c r="O24" s="2030"/>
      <c r="P24" s="4582"/>
      <c r="Q24" s="1507"/>
      <c r="R24" s="3764"/>
      <c r="S24" s="3766"/>
      <c r="T24" s="3764"/>
      <c r="U24" s="3766"/>
      <c r="V24" s="3764"/>
      <c r="W24" s="3766"/>
      <c r="X24" s="910"/>
      <c r="Y24" s="4508"/>
      <c r="Z24" s="908"/>
      <c r="AA24" s="908">
        <v>1</v>
      </c>
      <c r="AB24" s="908">
        <v>1</v>
      </c>
      <c r="AC24" s="908">
        <v>1</v>
      </c>
    </row>
    <row r="25" spans="1:29" ht="15">
      <c r="A25" s="3098"/>
      <c r="B25" s="2798" t="s">
        <v>1781</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c r="L25" s="1980"/>
      <c r="M25" s="1975"/>
      <c r="N25" s="1975"/>
      <c r="O25" s="2030"/>
      <c r="P25" s="4582"/>
      <c r="Q25" s="1507" t="str">
        <f t="shared" ref="Q25:Q39" si="8">B25</f>
        <v>区域土地利用方向</v>
      </c>
      <c r="R25" s="3764" t="s">
        <v>13</v>
      </c>
      <c r="S25" s="3766">
        <f>F25</f>
        <v>100</v>
      </c>
      <c r="T25" s="3764" t="s">
        <v>13</v>
      </c>
      <c r="U25" s="3766">
        <f>H25</f>
        <v>100</v>
      </c>
      <c r="V25" s="3764" t="s">
        <v>13</v>
      </c>
      <c r="W25" s="3766">
        <f>J25</f>
        <v>100</v>
      </c>
      <c r="X25" s="910"/>
      <c r="Y25" s="4508"/>
      <c r="Z25" s="908" t="str">
        <f>Q25</f>
        <v>区域土地利用方向</v>
      </c>
      <c r="AA25" s="908">
        <f t="shared" si="3"/>
        <v>1</v>
      </c>
      <c r="AB25" s="908">
        <f t="shared" si="4"/>
        <v>1</v>
      </c>
      <c r="AC25" s="908">
        <f t="shared" si="5"/>
        <v>1</v>
      </c>
    </row>
    <row r="26" spans="1:29" ht="15">
      <c r="A26" s="3098"/>
      <c r="B26" s="2799"/>
      <c r="C26" s="2837"/>
      <c r="D26" s="2894"/>
      <c r="E26" s="2849"/>
      <c r="F26" s="3726"/>
      <c r="G26" s="2855"/>
      <c r="H26" s="3726"/>
      <c r="I26" s="2855"/>
      <c r="J26" s="3726"/>
      <c r="K26" s="3152"/>
      <c r="L26" s="1980"/>
      <c r="M26" s="1975"/>
      <c r="N26" s="1975"/>
      <c r="O26" s="2030"/>
      <c r="P26" s="4582"/>
      <c r="Q26" s="1507"/>
      <c r="R26" s="3764"/>
      <c r="S26" s="3766"/>
      <c r="T26" s="3764"/>
      <c r="U26" s="3766"/>
      <c r="V26" s="3764"/>
      <c r="W26" s="3766"/>
      <c r="X26" s="910"/>
      <c r="Y26" s="4508"/>
      <c r="Z26" s="908"/>
      <c r="AA26" s="908"/>
      <c r="AB26" s="908"/>
      <c r="AC26" s="908"/>
    </row>
    <row r="27" spans="1:29" ht="42.75">
      <c r="A27" s="3098"/>
      <c r="B27" s="2800" t="s">
        <v>1782</v>
      </c>
      <c r="C27" s="2836" t="str">
        <f>估价对象房地状况!C20</f>
        <v>区域自然环境：；人文环境；综合评价环境状况一般</v>
      </c>
      <c r="D27" s="2895">
        <v>100</v>
      </c>
      <c r="E27" s="2846"/>
      <c r="F27" s="3727">
        <f>SUMIF(99:99,E28,100:100)-SUMIF(99:99,C28,100:100)+100</f>
        <v>100</v>
      </c>
      <c r="G27" s="2846"/>
      <c r="H27" s="3727">
        <f>SUMIF(99:99,G28,100:100)-SUMIF(99:99,C28,100:100)+100</f>
        <v>100</v>
      </c>
      <c r="I27" s="2852"/>
      <c r="J27" s="3727">
        <f>SUMIF(99:99,I28,100:100)-SUMIF(99:99,C28,100:100)+100</f>
        <v>100</v>
      </c>
      <c r="K27" s="3150"/>
      <c r="L27" s="1980"/>
      <c r="M27" s="1975"/>
      <c r="N27" s="1975"/>
      <c r="O27" s="2030"/>
      <c r="P27" s="4582"/>
      <c r="Q27" s="1507" t="str">
        <f t="shared" si="8"/>
        <v>自然及人文环境状况</v>
      </c>
      <c r="R27" s="3764" t="s">
        <v>13</v>
      </c>
      <c r="S27" s="3766">
        <f>F27</f>
        <v>100</v>
      </c>
      <c r="T27" s="3764" t="s">
        <v>13</v>
      </c>
      <c r="U27" s="3766">
        <f>H27</f>
        <v>100</v>
      </c>
      <c r="V27" s="3764" t="s">
        <v>13</v>
      </c>
      <c r="W27" s="3766">
        <f>J27</f>
        <v>100</v>
      </c>
      <c r="X27" s="910"/>
      <c r="Y27" s="4508"/>
      <c r="Z27" s="908" t="str">
        <f>Q27</f>
        <v>自然及人文环境状况</v>
      </c>
      <c r="AA27" s="908">
        <f t="shared" si="3"/>
        <v>1</v>
      </c>
      <c r="AB27" s="908">
        <f t="shared" si="4"/>
        <v>1</v>
      </c>
      <c r="AC27" s="908">
        <f t="shared" si="5"/>
        <v>1</v>
      </c>
    </row>
    <row r="28" spans="1:29" ht="15">
      <c r="A28" s="3098"/>
      <c r="B28" s="2799"/>
      <c r="C28" s="2821"/>
      <c r="D28" s="2894"/>
      <c r="E28" s="2872"/>
      <c r="F28" s="3726"/>
      <c r="G28" s="2872"/>
      <c r="H28" s="3726"/>
      <c r="I28" s="2821"/>
      <c r="J28" s="3726"/>
      <c r="K28" s="3151"/>
      <c r="L28" s="1980"/>
      <c r="M28" s="1975"/>
      <c r="N28" s="1975"/>
      <c r="O28" s="2030"/>
      <c r="P28" s="4582"/>
      <c r="Q28" s="1507"/>
      <c r="R28" s="3764"/>
      <c r="S28" s="3766"/>
      <c r="T28" s="3764"/>
      <c r="U28" s="3766"/>
      <c r="V28" s="3764"/>
      <c r="W28" s="3766"/>
      <c r="X28" s="910"/>
      <c r="Y28" s="4508"/>
      <c r="Z28" s="908"/>
      <c r="AA28" s="908">
        <v>1</v>
      </c>
      <c r="AB28" s="908">
        <v>1</v>
      </c>
      <c r="AC28" s="908">
        <v>1</v>
      </c>
    </row>
    <row r="29" spans="1:29" s="46" customFormat="1" ht="42.75">
      <c r="A29" s="3100"/>
      <c r="B29" s="2800" t="s">
        <v>1688</v>
      </c>
      <c r="C29" s="2822" t="str">
        <f>估价对象房地状况!C21</f>
        <v>估价对象所在区域公共配套设施齐备情况</v>
      </c>
      <c r="D29" s="2895">
        <v>100</v>
      </c>
      <c r="E29" s="2846"/>
      <c r="F29" s="3727">
        <f>SUMIF(101:101,E30,102:102)-SUMIF(101:101,C30,102:102)+100</f>
        <v>100</v>
      </c>
      <c r="G29" s="2846"/>
      <c r="H29" s="3727">
        <f>SUMIF(101:101,G30,102:102)-SUMIF(101:101,C30,102:102)+100</f>
        <v>100</v>
      </c>
      <c r="I29" s="2852"/>
      <c r="J29" s="3727">
        <f>SUMIF(101:101,I30,102:102)-SUMIF(101:101,C30,102:102)+100</f>
        <v>100</v>
      </c>
      <c r="K29" s="3150"/>
      <c r="L29" s="1976"/>
      <c r="M29" s="1929"/>
      <c r="N29" s="1929"/>
      <c r="O29" s="2028"/>
      <c r="P29" s="4582"/>
      <c r="Q29" s="1698" t="str">
        <f t="shared" si="8"/>
        <v>公共配套设施</v>
      </c>
      <c r="R29" s="3763" t="s">
        <v>13</v>
      </c>
      <c r="S29" s="3543">
        <f>F29</f>
        <v>100</v>
      </c>
      <c r="T29" s="3763" t="s">
        <v>13</v>
      </c>
      <c r="U29" s="3543">
        <f>H29</f>
        <v>100</v>
      </c>
      <c r="V29" s="3763" t="s">
        <v>13</v>
      </c>
      <c r="W29" s="3543">
        <f>J29</f>
        <v>100</v>
      </c>
      <c r="X29" s="482"/>
      <c r="Y29" s="4508"/>
      <c r="Z29" s="28" t="str">
        <f>Q29</f>
        <v>公共配套设施</v>
      </c>
      <c r="AA29" s="908">
        <f>D29/F29</f>
        <v>1</v>
      </c>
      <c r="AB29" s="908">
        <f>D29/H29</f>
        <v>1</v>
      </c>
      <c r="AC29" s="908">
        <f>D29/J29</f>
        <v>1</v>
      </c>
    </row>
    <row r="30" spans="1:29" s="46" customFormat="1" ht="15">
      <c r="A30" s="3100"/>
      <c r="B30" s="2799"/>
      <c r="C30" s="3101" t="s">
        <v>3619</v>
      </c>
      <c r="D30" s="2894"/>
      <c r="E30" s="2872" t="s">
        <v>3620</v>
      </c>
      <c r="F30" s="3726"/>
      <c r="G30" s="2872" t="s">
        <v>3619</v>
      </c>
      <c r="H30" s="3726"/>
      <c r="I30" s="2821" t="s">
        <v>3619</v>
      </c>
      <c r="J30" s="3726"/>
      <c r="K30" s="3151"/>
      <c r="L30" s="1976"/>
      <c r="M30" s="1929"/>
      <c r="N30" s="1929"/>
      <c r="O30" s="2028"/>
      <c r="P30" s="4582"/>
      <c r="Q30" s="1698"/>
      <c r="R30" s="3763"/>
      <c r="S30" s="3543"/>
      <c r="T30" s="3763"/>
      <c r="U30" s="3543"/>
      <c r="V30" s="3763"/>
      <c r="W30" s="3543"/>
      <c r="X30" s="482"/>
      <c r="Y30" s="4508"/>
      <c r="Z30" s="28"/>
      <c r="AA30" s="908">
        <v>1</v>
      </c>
      <c r="AB30" s="908">
        <v>1</v>
      </c>
      <c r="AC30" s="908">
        <v>1</v>
      </c>
    </row>
    <row r="31" spans="1:29" s="46" customFormat="1" ht="28.5">
      <c r="A31" s="3100"/>
      <c r="B31" s="2800" t="s">
        <v>1689</v>
      </c>
      <c r="C31" s="2822" t="str">
        <f>估价对象房地状况!C22</f>
        <v>估价对象所在区域基础设施水平</v>
      </c>
      <c r="D31" s="2895">
        <v>100</v>
      </c>
      <c r="E31" s="2846"/>
      <c r="F31" s="3727">
        <f>SUMIF(103:103,E32,104:104)-SUMIF(103:103,C32,104:104)+100</f>
        <v>100</v>
      </c>
      <c r="G31" s="2846"/>
      <c r="H31" s="3727">
        <f>SUMIF(103:103,G32,104:104)-SUMIF(103:103,C32,104:104)+100</f>
        <v>100</v>
      </c>
      <c r="I31" s="2852"/>
      <c r="J31" s="3727">
        <f>SUMIF(103:103,I32,104:104)-SUMIF(103:103,C32,104:104)+100</f>
        <v>100</v>
      </c>
      <c r="K31" s="3150"/>
      <c r="L31" s="1976"/>
      <c r="M31" s="1929"/>
      <c r="N31" s="1929"/>
      <c r="O31" s="2028"/>
      <c r="P31" s="4582"/>
      <c r="Q31" s="1698" t="str">
        <f t="shared" ref="Q31" si="9">B31</f>
        <v>基础设施水平</v>
      </c>
      <c r="R31" s="3763" t="s">
        <v>13</v>
      </c>
      <c r="S31" s="3543">
        <f>F31</f>
        <v>100</v>
      </c>
      <c r="T31" s="3763" t="s">
        <v>13</v>
      </c>
      <c r="U31" s="3543">
        <f>H31</f>
        <v>100</v>
      </c>
      <c r="V31" s="3763" t="s">
        <v>13</v>
      </c>
      <c r="W31" s="3543">
        <f>J31</f>
        <v>100</v>
      </c>
      <c r="X31" s="482"/>
      <c r="Y31" s="4508"/>
      <c r="Z31" s="28" t="str">
        <f>Q31</f>
        <v>基础设施水平</v>
      </c>
      <c r="AA31" s="908">
        <f>D31/F31</f>
        <v>1</v>
      </c>
      <c r="AB31" s="908">
        <f>D31/H31</f>
        <v>1</v>
      </c>
      <c r="AC31" s="908">
        <f>D31/J31</f>
        <v>1</v>
      </c>
    </row>
    <row r="32" spans="1:29" s="46" customFormat="1" ht="15">
      <c r="A32" s="3100"/>
      <c r="B32" s="2799"/>
      <c r="C32" s="3101"/>
      <c r="D32" s="2894"/>
      <c r="E32" s="3117"/>
      <c r="F32" s="3726"/>
      <c r="G32" s="3117"/>
      <c r="H32" s="3726"/>
      <c r="I32" s="3117"/>
      <c r="J32" s="3726"/>
      <c r="K32" s="3151"/>
      <c r="L32" s="1976"/>
      <c r="M32" s="1929"/>
      <c r="N32" s="1929"/>
      <c r="O32" s="2028"/>
      <c r="P32" s="4582"/>
      <c r="Q32" s="1698"/>
      <c r="R32" s="3763"/>
      <c r="S32" s="3543"/>
      <c r="T32" s="3763"/>
      <c r="U32" s="3543"/>
      <c r="V32" s="3763"/>
      <c r="W32" s="3543"/>
      <c r="X32" s="482"/>
      <c r="Y32" s="4508"/>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0"/>
      <c r="M33" s="1975"/>
      <c r="N33" s="1975"/>
      <c r="O33" s="2030"/>
      <c r="P33" s="4582"/>
      <c r="Q33" s="1507" t="str">
        <f t="shared" si="8"/>
        <v>临街状况</v>
      </c>
      <c r="R33" s="3764" t="s">
        <v>13</v>
      </c>
      <c r="S33" s="3766">
        <f t="shared" ref="S33:S47" si="10">F33</f>
        <v>100</v>
      </c>
      <c r="T33" s="3764" t="s">
        <v>13</v>
      </c>
      <c r="U33" s="3766">
        <f t="shared" ref="U33:U47" si="11">H33</f>
        <v>100</v>
      </c>
      <c r="V33" s="3764" t="s">
        <v>13</v>
      </c>
      <c r="W33" s="3766">
        <f t="shared" ref="W33:W47" si="12">J33</f>
        <v>100</v>
      </c>
      <c r="X33" s="910"/>
      <c r="Y33" s="4508"/>
      <c r="Z33" s="908" t="str">
        <f t="shared" ref="Z33:Z47" si="13">Q33</f>
        <v>临街状况</v>
      </c>
      <c r="AA33" s="908">
        <f t="shared" si="3"/>
        <v>1</v>
      </c>
      <c r="AB33" s="908">
        <f t="shared" si="4"/>
        <v>1</v>
      </c>
      <c r="AC33" s="908">
        <f t="shared" si="5"/>
        <v>1</v>
      </c>
    </row>
    <row r="34" spans="1:29" ht="27">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0"/>
      <c r="M34" s="1975"/>
      <c r="N34" s="1975"/>
      <c r="O34" s="2030"/>
      <c r="P34" s="4582"/>
      <c r="Q34" s="1507" t="str">
        <f t="shared" si="8"/>
        <v>毗邻道路的类型与等级</v>
      </c>
      <c r="R34" s="3764" t="s">
        <v>13</v>
      </c>
      <c r="S34" s="3766">
        <f t="shared" si="10"/>
        <v>100</v>
      </c>
      <c r="T34" s="3764" t="s">
        <v>13</v>
      </c>
      <c r="U34" s="3766">
        <f t="shared" si="11"/>
        <v>100</v>
      </c>
      <c r="V34" s="3764" t="s">
        <v>13</v>
      </c>
      <c r="W34" s="3766">
        <f t="shared" si="12"/>
        <v>100</v>
      </c>
      <c r="X34" s="910"/>
      <c r="Y34" s="4508"/>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0"/>
      <c r="M35" s="1975"/>
      <c r="N35" s="1975"/>
      <c r="O35" s="2030"/>
      <c r="P35" s="4582"/>
      <c r="Q35" s="1507"/>
      <c r="R35" s="3764"/>
      <c r="S35" s="3766"/>
      <c r="T35" s="3764"/>
      <c r="U35" s="3766"/>
      <c r="V35" s="3764"/>
      <c r="W35" s="3766"/>
      <c r="X35" s="910"/>
      <c r="Y35" s="4508"/>
      <c r="Z35" s="908"/>
      <c r="AA35" s="908">
        <v>1</v>
      </c>
      <c r="AB35" s="908">
        <v>1</v>
      </c>
      <c r="AC35" s="908">
        <v>1</v>
      </c>
    </row>
    <row r="36" spans="1:29" ht="15">
      <c r="A36" s="3094"/>
      <c r="B36" s="2790" t="s">
        <v>1783</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0"/>
      <c r="M36" s="1975"/>
      <c r="N36" s="1975"/>
      <c r="O36" s="2030"/>
      <c r="P36" s="4582"/>
      <c r="Q36" s="1507" t="str">
        <f t="shared" si="8"/>
        <v>土地级别</v>
      </c>
      <c r="R36" s="3764" t="s">
        <v>13</v>
      </c>
      <c r="S36" s="3766">
        <f t="shared" si="10"/>
        <v>100</v>
      </c>
      <c r="T36" s="3764" t="s">
        <v>13</v>
      </c>
      <c r="U36" s="3766">
        <f t="shared" si="11"/>
        <v>100</v>
      </c>
      <c r="V36" s="3764" t="s">
        <v>13</v>
      </c>
      <c r="W36" s="3766">
        <f t="shared" si="12"/>
        <v>100</v>
      </c>
      <c r="X36" s="910"/>
      <c r="Y36" s="4508"/>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0"/>
      <c r="M37" s="1975"/>
      <c r="N37" s="1975"/>
      <c r="O37" s="2030"/>
      <c r="P37" s="4582"/>
      <c r="Q37" s="1507">
        <f t="shared" si="8"/>
        <v>111</v>
      </c>
      <c r="R37" s="3764" t="s">
        <v>13</v>
      </c>
      <c r="S37" s="3766">
        <f t="shared" si="10"/>
        <v>100</v>
      </c>
      <c r="T37" s="3764" t="s">
        <v>13</v>
      </c>
      <c r="U37" s="3766">
        <f t="shared" si="11"/>
        <v>100</v>
      </c>
      <c r="V37" s="3764" t="s">
        <v>13</v>
      </c>
      <c r="W37" s="3766">
        <f t="shared" si="12"/>
        <v>100</v>
      </c>
      <c r="X37" s="910"/>
      <c r="Y37" s="4508"/>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0"/>
      <c r="M38" s="1975"/>
      <c r="N38" s="1975"/>
      <c r="O38" s="2030"/>
      <c r="P38" s="4583" t="s">
        <v>1606</v>
      </c>
      <c r="Q38" s="1507">
        <f t="shared" si="8"/>
        <v>111</v>
      </c>
      <c r="R38" s="3764" t="s">
        <v>13</v>
      </c>
      <c r="S38" s="3766">
        <f t="shared" si="10"/>
        <v>100</v>
      </c>
      <c r="T38" s="3764" t="s">
        <v>13</v>
      </c>
      <c r="U38" s="3766">
        <f t="shared" si="11"/>
        <v>100</v>
      </c>
      <c r="V38" s="3764" t="s">
        <v>13</v>
      </c>
      <c r="W38" s="3766">
        <f t="shared" si="12"/>
        <v>100</v>
      </c>
      <c r="X38" s="910"/>
      <c r="Y38" s="4512" t="s">
        <v>1606</v>
      </c>
      <c r="Z38" s="908">
        <f t="shared" si="13"/>
        <v>111</v>
      </c>
      <c r="AA38" s="908">
        <f t="shared" si="3"/>
        <v>1</v>
      </c>
      <c r="AB38" s="908">
        <f t="shared" si="4"/>
        <v>1</v>
      </c>
      <c r="AC38" s="908">
        <f t="shared" si="5"/>
        <v>1</v>
      </c>
    </row>
    <row r="39" spans="1:29" s="279" customFormat="1" ht="15.75"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79"/>
      <c r="M39" s="1981"/>
      <c r="N39" s="1981"/>
      <c r="O39" s="2031"/>
      <c r="P39" s="4584"/>
      <c r="Q39" s="1507">
        <f t="shared" si="8"/>
        <v>111</v>
      </c>
      <c r="R39" s="3765" t="s">
        <v>13</v>
      </c>
      <c r="S39" s="3767">
        <f t="shared" si="10"/>
        <v>100</v>
      </c>
      <c r="T39" s="3765" t="s">
        <v>13</v>
      </c>
      <c r="U39" s="3767">
        <f t="shared" si="11"/>
        <v>100</v>
      </c>
      <c r="V39" s="3765" t="s">
        <v>13</v>
      </c>
      <c r="W39" s="3767">
        <f t="shared" si="12"/>
        <v>100</v>
      </c>
      <c r="X39" s="484"/>
      <c r="Y39" s="4512"/>
      <c r="Z39" s="485">
        <f t="shared" si="13"/>
        <v>111</v>
      </c>
      <c r="AA39" s="908">
        <f t="shared" si="3"/>
        <v>1</v>
      </c>
      <c r="AB39" s="908">
        <f t="shared" si="4"/>
        <v>1</v>
      </c>
      <c r="AC39" s="908">
        <f t="shared" si="5"/>
        <v>1</v>
      </c>
    </row>
    <row r="40" spans="1:29" ht="15">
      <c r="A40" s="3108" t="s">
        <v>1604</v>
      </c>
      <c r="B40" s="2799" t="s">
        <v>1784</v>
      </c>
      <c r="C40" s="3109"/>
      <c r="D40" s="2898">
        <v>100</v>
      </c>
      <c r="E40" s="3109"/>
      <c r="F40" s="3736" t="e">
        <f>LOOKUP(E40,118:118,119:119)-LOOKUP(C40,118:118,119:119)+100</f>
        <v>#N/A</v>
      </c>
      <c r="G40" s="3109"/>
      <c r="H40" s="3736" t="e">
        <f>LOOKUP(G40,118:118,119:119)-LOOKUP(C40,118:118,119:119)+100</f>
        <v>#N/A</v>
      </c>
      <c r="I40" s="3122"/>
      <c r="J40" s="3736" t="e">
        <f>LOOKUP(I40,118:118,119:119)-LOOKUP(C40,118:118,119:119)+100</f>
        <v>#N/A</v>
      </c>
      <c r="K40" s="2859"/>
      <c r="L40" s="1980"/>
      <c r="M40" s="1975"/>
      <c r="N40" s="1975"/>
      <c r="O40" s="2030"/>
      <c r="P40" s="4584"/>
      <c r="Q40" s="1507" t="str">
        <f>B40</f>
        <v>宗地面积</v>
      </c>
      <c r="R40" s="3764" t="s">
        <v>13</v>
      </c>
      <c r="S40" s="3766" t="e">
        <f t="shared" si="10"/>
        <v>#N/A</v>
      </c>
      <c r="T40" s="3764" t="s">
        <v>13</v>
      </c>
      <c r="U40" s="3766" t="e">
        <f t="shared" si="11"/>
        <v>#N/A</v>
      </c>
      <c r="V40" s="3764" t="s">
        <v>13</v>
      </c>
      <c r="W40" s="3766" t="e">
        <f t="shared" si="12"/>
        <v>#N/A</v>
      </c>
      <c r="X40" s="910"/>
      <c r="Y40" s="4512"/>
      <c r="Z40" s="908" t="str">
        <f t="shared" si="13"/>
        <v>宗地面积</v>
      </c>
      <c r="AA40" s="908" t="e">
        <f t="shared" si="3"/>
        <v>#N/A</v>
      </c>
      <c r="AB40" s="908" t="e">
        <f t="shared" si="4"/>
        <v>#N/A</v>
      </c>
      <c r="AC40" s="908" t="e">
        <f t="shared" si="5"/>
        <v>#N/A</v>
      </c>
    </row>
    <row r="41" spans="1:29" ht="15">
      <c r="A41" s="3108"/>
      <c r="B41" s="2790" t="s">
        <v>1785</v>
      </c>
      <c r="C41" s="2827"/>
      <c r="D41" s="2891">
        <v>100</v>
      </c>
      <c r="E41" s="2827"/>
      <c r="F41" s="3729">
        <f>SUMIF(120:120,E41,121:121)-SUMIF(120:120,C41,121:121)+100</f>
        <v>100</v>
      </c>
      <c r="G41" s="2827"/>
      <c r="H41" s="3729">
        <f>SUMIF(120:120,G41,121:121)-SUMIF(120:120,C41,121:121)+100</f>
        <v>100</v>
      </c>
      <c r="I41" s="2827"/>
      <c r="J41" s="3729">
        <f>SUMIF(120:120,I41,121:121)-SUMIF(120:120,C41,121:121)+100</f>
        <v>100</v>
      </c>
      <c r="K41" s="2858"/>
      <c r="L41" s="1980"/>
      <c r="M41" s="1975"/>
      <c r="N41" s="1975"/>
      <c r="O41" s="2030"/>
      <c r="P41" s="4584"/>
      <c r="Q41" s="1507" t="str">
        <f t="shared" ref="Q41:Q47" si="14">B41</f>
        <v>宗地形状</v>
      </c>
      <c r="R41" s="3764" t="s">
        <v>13</v>
      </c>
      <c r="S41" s="3766">
        <f t="shared" si="10"/>
        <v>100</v>
      </c>
      <c r="T41" s="3764" t="s">
        <v>13</v>
      </c>
      <c r="U41" s="3766">
        <f t="shared" si="11"/>
        <v>100</v>
      </c>
      <c r="V41" s="3764" t="s">
        <v>13</v>
      </c>
      <c r="W41" s="3766">
        <f t="shared" si="12"/>
        <v>100</v>
      </c>
      <c r="X41" s="910"/>
      <c r="Y41" s="4512"/>
      <c r="Z41" s="908" t="str">
        <f t="shared" si="13"/>
        <v>宗地形状</v>
      </c>
      <c r="AA41" s="908">
        <f t="shared" si="3"/>
        <v>1</v>
      </c>
      <c r="AB41" s="908">
        <f t="shared" si="4"/>
        <v>1</v>
      </c>
      <c r="AC41" s="908">
        <f t="shared" si="5"/>
        <v>1</v>
      </c>
    </row>
    <row r="42" spans="1:29" ht="15">
      <c r="A42" s="3108"/>
      <c r="B42" s="2790" t="s">
        <v>1786</v>
      </c>
      <c r="C42" s="2827"/>
      <c r="D42" s="2891">
        <v>100</v>
      </c>
      <c r="E42" s="2827"/>
      <c r="F42" s="3729">
        <f>SUMIF(122:122,E42,123:123)-SUMIF(122:122,C42,123:123)+100</f>
        <v>100</v>
      </c>
      <c r="G42" s="2827"/>
      <c r="H42" s="3729">
        <f>SUMIF(122:122,G42,123:123)-SUMIF(122:122,C42,123:123)+100</f>
        <v>100</v>
      </c>
      <c r="I42" s="2827"/>
      <c r="J42" s="3729">
        <f>SUMIF(122:122,I42,123:123)-SUMIF(122:122,C42,123:123)+100</f>
        <v>100</v>
      </c>
      <c r="K42" s="2858"/>
      <c r="L42" s="1980"/>
      <c r="M42" s="1975"/>
      <c r="N42" s="1975"/>
      <c r="O42" s="2030"/>
      <c r="P42" s="4584"/>
      <c r="Q42" s="1507" t="str">
        <f t="shared" si="14"/>
        <v>临街宽度及深度</v>
      </c>
      <c r="R42" s="3764" t="s">
        <v>13</v>
      </c>
      <c r="S42" s="3766">
        <f t="shared" si="10"/>
        <v>100</v>
      </c>
      <c r="T42" s="3764" t="s">
        <v>13</v>
      </c>
      <c r="U42" s="3766">
        <f t="shared" si="11"/>
        <v>100</v>
      </c>
      <c r="V42" s="3764" t="s">
        <v>13</v>
      </c>
      <c r="W42" s="3766">
        <f t="shared" si="12"/>
        <v>100</v>
      </c>
      <c r="X42" s="910"/>
      <c r="Y42" s="4512"/>
      <c r="Z42" s="908" t="str">
        <f t="shared" si="13"/>
        <v>临街宽度及深度</v>
      </c>
      <c r="AA42" s="908">
        <f t="shared" si="3"/>
        <v>1</v>
      </c>
      <c r="AB42" s="908">
        <f t="shared" si="4"/>
        <v>1</v>
      </c>
      <c r="AC42" s="908">
        <f t="shared" si="5"/>
        <v>1</v>
      </c>
    </row>
    <row r="43" spans="1:29" s="46" customFormat="1" ht="15">
      <c r="A43" s="3110"/>
      <c r="B43" s="2790" t="s">
        <v>1787</v>
      </c>
      <c r="C43" s="3111"/>
      <c r="D43" s="2889">
        <v>100</v>
      </c>
      <c r="E43" s="3111"/>
      <c r="F43" s="3729">
        <f>SUMIF(124:124,E43,125:125)-SUMIF(124:124,C43,125:125)+100</f>
        <v>100</v>
      </c>
      <c r="G43" s="3111"/>
      <c r="H43" s="3729">
        <f>SUMIF(124:124,G43,125:125)-SUMIF(124:124,C43,125:125)+100</f>
        <v>100</v>
      </c>
      <c r="I43" s="3111"/>
      <c r="J43" s="3729">
        <f>SUMIF(124:124,I43,125:125)-SUMIF(124:124,C43,125:125)+100</f>
        <v>100</v>
      </c>
      <c r="K43" s="2858"/>
      <c r="L43" s="1976"/>
      <c r="M43" s="1929"/>
      <c r="N43" s="1929"/>
      <c r="O43" s="2028"/>
      <c r="P43" s="4584"/>
      <c r="Q43" s="1507" t="str">
        <f t="shared" si="14"/>
        <v>宗地开发程度</v>
      </c>
      <c r="R43" s="3763" t="s">
        <v>13</v>
      </c>
      <c r="S43" s="3543">
        <f t="shared" si="10"/>
        <v>100</v>
      </c>
      <c r="T43" s="3763" t="s">
        <v>13</v>
      </c>
      <c r="U43" s="3543">
        <f t="shared" si="11"/>
        <v>100</v>
      </c>
      <c r="V43" s="3763" t="s">
        <v>13</v>
      </c>
      <c r="W43" s="3543">
        <f t="shared" si="12"/>
        <v>100</v>
      </c>
      <c r="X43" s="482"/>
      <c r="Y43" s="4512"/>
      <c r="Z43" s="28" t="str">
        <f t="shared" si="13"/>
        <v>宗地开发程度</v>
      </c>
      <c r="AA43" s="28">
        <f t="shared" si="3"/>
        <v>1</v>
      </c>
      <c r="AB43" s="28">
        <f t="shared" si="4"/>
        <v>1</v>
      </c>
      <c r="AC43" s="28">
        <f t="shared" si="5"/>
        <v>1</v>
      </c>
    </row>
    <row r="44" spans="1:29" ht="15">
      <c r="A44" s="3108"/>
      <c r="B44" s="2790" t="s">
        <v>1788</v>
      </c>
      <c r="C44" s="2827"/>
      <c r="D44" s="2891">
        <v>100</v>
      </c>
      <c r="E44" s="2827"/>
      <c r="F44" s="3729">
        <f>SUMIF(126:126,E44,127:127)-SUMIF(126:126,C44,127:127)+100</f>
        <v>100</v>
      </c>
      <c r="G44" s="2827"/>
      <c r="H44" s="3729">
        <f>SUMIF(126:126,G44,127:127)-SUMIF(126:126,C44,127:127)+100</f>
        <v>100</v>
      </c>
      <c r="I44" s="2827"/>
      <c r="J44" s="3729">
        <f>SUMIF(126:126,I44,127:127)-SUMIF(126:126,C44,127:127)+100</f>
        <v>100</v>
      </c>
      <c r="K44" s="2858"/>
      <c r="L44" s="1980"/>
      <c r="M44" s="1975"/>
      <c r="N44" s="1975"/>
      <c r="O44" s="2030"/>
      <c r="P44" s="4584" t="s">
        <v>1606</v>
      </c>
      <c r="Q44" s="1507" t="str">
        <f t="shared" si="14"/>
        <v>工程地质条件</v>
      </c>
      <c r="R44" s="3764" t="s">
        <v>13</v>
      </c>
      <c r="S44" s="3766">
        <f t="shared" si="10"/>
        <v>100</v>
      </c>
      <c r="T44" s="3764" t="s">
        <v>13</v>
      </c>
      <c r="U44" s="3766">
        <f t="shared" si="11"/>
        <v>100</v>
      </c>
      <c r="V44" s="3764" t="s">
        <v>13</v>
      </c>
      <c r="W44" s="3766">
        <f t="shared" si="12"/>
        <v>100</v>
      </c>
      <c r="X44" s="910"/>
      <c r="Y44" s="4512"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0"/>
      <c r="M45" s="1975"/>
      <c r="N45" s="1975"/>
      <c r="O45" s="2030"/>
      <c r="P45" s="4584"/>
      <c r="Q45" s="1507">
        <f t="shared" si="14"/>
        <v>111</v>
      </c>
      <c r="R45" s="3764" t="s">
        <v>13</v>
      </c>
      <c r="S45" s="3766">
        <f t="shared" si="10"/>
        <v>100</v>
      </c>
      <c r="T45" s="3764" t="s">
        <v>13</v>
      </c>
      <c r="U45" s="3766">
        <f t="shared" si="11"/>
        <v>100</v>
      </c>
      <c r="V45" s="3764" t="s">
        <v>13</v>
      </c>
      <c r="W45" s="3766">
        <f t="shared" si="12"/>
        <v>100</v>
      </c>
      <c r="X45" s="910"/>
      <c r="Y45" s="4512"/>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0"/>
      <c r="M46" s="1975"/>
      <c r="N46" s="1975"/>
      <c r="O46" s="2030"/>
      <c r="P46" s="4584"/>
      <c r="Q46" s="1507">
        <f t="shared" si="14"/>
        <v>111</v>
      </c>
      <c r="R46" s="3764" t="s">
        <v>13</v>
      </c>
      <c r="S46" s="3766">
        <f t="shared" si="10"/>
        <v>100</v>
      </c>
      <c r="T46" s="3764" t="s">
        <v>13</v>
      </c>
      <c r="U46" s="3766">
        <f t="shared" si="11"/>
        <v>100</v>
      </c>
      <c r="V46" s="3764" t="s">
        <v>13</v>
      </c>
      <c r="W46" s="3766">
        <f t="shared" si="12"/>
        <v>100</v>
      </c>
      <c r="X46" s="910"/>
      <c r="Y46" s="4512"/>
      <c r="Z46" s="908">
        <f t="shared" si="13"/>
        <v>111</v>
      </c>
      <c r="AA46" s="908">
        <f t="shared" si="3"/>
        <v>1</v>
      </c>
      <c r="AB46" s="908">
        <f t="shared" si="4"/>
        <v>1</v>
      </c>
      <c r="AC46" s="908">
        <f t="shared" si="5"/>
        <v>1</v>
      </c>
    </row>
    <row r="47" spans="1:29" s="279" customFormat="1" ht="15.75"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79"/>
      <c r="M47" s="1981"/>
      <c r="N47" s="1981"/>
      <c r="O47" s="2031"/>
      <c r="P47" s="4584"/>
      <c r="Q47" s="1507">
        <f t="shared" si="14"/>
        <v>111</v>
      </c>
      <c r="R47" s="3765" t="s">
        <v>13</v>
      </c>
      <c r="S47" s="3767">
        <f t="shared" si="10"/>
        <v>100</v>
      </c>
      <c r="T47" s="3765" t="s">
        <v>13</v>
      </c>
      <c r="U47" s="3767">
        <f t="shared" si="11"/>
        <v>100</v>
      </c>
      <c r="V47" s="3765" t="s">
        <v>13</v>
      </c>
      <c r="W47" s="3767">
        <f t="shared" si="12"/>
        <v>100</v>
      </c>
      <c r="X47" s="484"/>
      <c r="Y47" s="4512"/>
      <c r="Z47" s="485">
        <f t="shared" si="13"/>
        <v>111</v>
      </c>
      <c r="AA47" s="908">
        <f t="shared" si="3"/>
        <v>1</v>
      </c>
      <c r="AB47" s="908">
        <f t="shared" si="4"/>
        <v>1</v>
      </c>
      <c r="AC47" s="908">
        <f t="shared" si="5"/>
        <v>1</v>
      </c>
    </row>
    <row r="48" spans="1:29" ht="15">
      <c r="A48" s="286" t="s">
        <v>1754</v>
      </c>
      <c r="B48" s="1430" t="s">
        <v>1789</v>
      </c>
      <c r="C48" s="439" t="s">
        <v>0</v>
      </c>
      <c r="D48" s="288"/>
      <c r="E48" s="3206"/>
      <c r="F48" s="3154"/>
      <c r="G48" s="3207"/>
      <c r="H48" s="3155"/>
      <c r="I48" s="3206"/>
      <c r="J48" s="3155"/>
      <c r="K48" s="2863"/>
      <c r="L48" s="1982"/>
      <c r="M48" s="1975"/>
      <c r="N48" s="1975"/>
      <c r="O48" s="1975"/>
      <c r="P48" s="4514" t="str">
        <f>A48</f>
        <v>成交单价</v>
      </c>
      <c r="Q48" s="4514"/>
      <c r="R48" s="4515">
        <f>E48</f>
        <v>0</v>
      </c>
      <c r="S48" s="4515"/>
      <c r="T48" s="4515">
        <f>G48</f>
        <v>0</v>
      </c>
      <c r="U48" s="4515"/>
      <c r="V48" s="4515">
        <f>I48</f>
        <v>0</v>
      </c>
      <c r="W48" s="4515"/>
      <c r="X48" s="265"/>
      <c r="Y48" s="486"/>
      <c r="Z48" s="265"/>
      <c r="AA48" s="265"/>
      <c r="AB48" s="265"/>
      <c r="AC48" s="265"/>
    </row>
    <row r="49" spans="1:29" ht="15.75" thickBot="1">
      <c r="A49" s="289" t="s">
        <v>1703</v>
      </c>
      <c r="B49" s="440"/>
      <c r="C49" s="3748" t="e">
        <f>R50</f>
        <v>#DIV/0!</v>
      </c>
      <c r="D49" s="3849" t="s">
        <v>2045</v>
      </c>
      <c r="E49" s="3748" t="e">
        <f>R49</f>
        <v>#DIV/0!</v>
      </c>
      <c r="F49" s="2802"/>
      <c r="G49" s="3737" t="e">
        <f>T49</f>
        <v>#DIV/0!</v>
      </c>
      <c r="H49" s="2802"/>
      <c r="I49" s="3748" t="e">
        <f>V49</f>
        <v>#DIV/0!</v>
      </c>
      <c r="J49" s="2802"/>
      <c r="K49" s="2856">
        <f>F49+H49+J49</f>
        <v>0</v>
      </c>
      <c r="L49" s="1982"/>
      <c r="M49" s="1975"/>
      <c r="N49" s="1975"/>
      <c r="O49" s="1975"/>
      <c r="P49" s="4514" t="str">
        <f>A49</f>
        <v>比较价值（元/平方米）</v>
      </c>
      <c r="Q49" s="4514"/>
      <c r="R49" s="4515" t="e">
        <f>ROUND(PRODUCT(R48,AA9:AA47),0)</f>
        <v>#DIV/0!</v>
      </c>
      <c r="S49" s="4515"/>
      <c r="T49" s="4515" t="e">
        <f>ROUND(PRODUCT(T48,AB9:AB47),0)</f>
        <v>#DIV/0!</v>
      </c>
      <c r="U49" s="4515"/>
      <c r="V49" s="4515" t="e">
        <f>ROUND(PRODUCT(V48,AC9:AC47),0)</f>
        <v>#DIV/0!</v>
      </c>
      <c r="W49" s="4515"/>
      <c r="X49" s="265"/>
      <c r="Y49" s="265"/>
      <c r="Z49" s="265"/>
      <c r="AA49" s="265"/>
      <c r="AB49" s="265"/>
      <c r="AC49" s="265"/>
    </row>
    <row r="50" spans="1:29" ht="15.75" thickBot="1">
      <c r="A50" s="291" t="s">
        <v>1790</v>
      </c>
      <c r="B50" s="292"/>
      <c r="C50" s="3749" t="e">
        <f>R50</f>
        <v>#DIV/0!</v>
      </c>
      <c r="D50" s="293"/>
      <c r="E50" s="293"/>
      <c r="F50" s="293"/>
      <c r="G50" s="293"/>
      <c r="H50" s="293"/>
      <c r="I50" s="293"/>
      <c r="J50" s="293"/>
      <c r="K50" s="3127"/>
      <c r="L50" s="1982"/>
      <c r="M50" s="1975"/>
      <c r="N50" s="1975"/>
      <c r="O50" s="1975"/>
      <c r="P50" s="4574" t="str">
        <f>A50</f>
        <v>估价对象XX用房的比较价值（楼面单价，元/平方米）</v>
      </c>
      <c r="Q50" s="4575"/>
      <c r="R50" s="4576" t="e">
        <f>ROUND(IF(D49="简单平均",AVERAGE(R49:W49),R49*F49+T49*H49+V49*J49),0)</f>
        <v>#DIV/0!</v>
      </c>
      <c r="S50" s="4576"/>
      <c r="T50" s="4576"/>
      <c r="U50" s="4576"/>
      <c r="V50" s="4576"/>
      <c r="W50" s="4576"/>
      <c r="X50" s="265"/>
      <c r="Y50" s="265"/>
      <c r="Z50" s="265"/>
      <c r="AA50" s="265"/>
      <c r="AB50" s="265"/>
      <c r="AC50" s="265"/>
    </row>
    <row r="51" spans="1:29">
      <c r="A51" s="1975"/>
      <c r="B51" s="1975"/>
      <c r="C51" s="1975"/>
      <c r="D51" s="1975"/>
      <c r="E51" s="1975"/>
      <c r="F51" s="1975"/>
      <c r="G51" s="1986"/>
      <c r="H51" s="1975"/>
      <c r="I51" s="1975"/>
      <c r="J51" s="1975"/>
      <c r="K51" s="3128"/>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8"/>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8"/>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8"/>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9"/>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9"/>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82" t="s">
        <v>1797</v>
      </c>
      <c r="H57" s="4598"/>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7" t="e">
        <f>C50</f>
        <v>#DIV/0!</v>
      </c>
      <c r="C58" s="2832">
        <v>1</v>
      </c>
      <c r="D58" s="3066">
        <v>1</v>
      </c>
      <c r="E58" s="3065">
        <f>'数据-汇总表'!E8+'数据-汇总表'!E9</f>
        <v>109.4</v>
      </c>
      <c r="F58" s="3087" t="e">
        <f t="shared" ref="F58:F66" si="15">ROUND(B58*E58/10000,0)</f>
        <v>#DIV/0!</v>
      </c>
      <c r="G58" s="4599"/>
      <c r="H58" s="4586"/>
      <c r="I58" s="3082">
        <v>1</v>
      </c>
      <c r="J58" s="3083">
        <v>1</v>
      </c>
      <c r="K58" s="3130"/>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7" t="e">
        <f>ROUND($C$50*C59*D59,0)</f>
        <v>#DIV/0!</v>
      </c>
      <c r="C59" s="3064">
        <f t="shared" ref="C59:C66" si="16">IF($C$57="北京市系数",I59,J59)</f>
        <v>0</v>
      </c>
      <c r="D59" s="3067">
        <v>0.25</v>
      </c>
      <c r="E59" s="3069"/>
      <c r="F59" s="3087" t="e">
        <f t="shared" si="15"/>
        <v>#DIV/0!</v>
      </c>
      <c r="G59" s="2181" t="s">
        <v>1802</v>
      </c>
      <c r="H59" s="574">
        <f>项目基本情况!B37</f>
        <v>0</v>
      </c>
      <c r="I59" s="3082">
        <f>SUMIF(修正!A59:A70,H59,修正!B59:B70)</f>
        <v>0</v>
      </c>
      <c r="J59" s="3084"/>
      <c r="K59" s="3131"/>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7" t="e">
        <f t="shared" ref="B60:B66" si="17">ROUND($C$50*C60*D60,0)</f>
        <v>#DIV/0!</v>
      </c>
      <c r="C60" s="3064">
        <f t="shared" si="16"/>
        <v>0</v>
      </c>
      <c r="D60" s="3067">
        <v>0.25</v>
      </c>
      <c r="E60" s="3069"/>
      <c r="F60" s="3087" t="e">
        <f t="shared" si="15"/>
        <v>#DIV/0!</v>
      </c>
      <c r="G60" s="2182"/>
      <c r="H60" s="574">
        <f>项目基本情况!B37</f>
        <v>0</v>
      </c>
      <c r="I60" s="3082">
        <f>SUMIF(修正!A59:A70,H60,修正!C59:C70)</f>
        <v>0</v>
      </c>
      <c r="J60" s="3084"/>
      <c r="K60" s="3130"/>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7" t="e">
        <f t="shared" si="17"/>
        <v>#DIV/0!</v>
      </c>
      <c r="C61" s="3064">
        <f t="shared" si="16"/>
        <v>0</v>
      </c>
      <c r="D61" s="3067">
        <v>0.25</v>
      </c>
      <c r="E61" s="3069"/>
      <c r="F61" s="3087" t="e">
        <f t="shared" si="15"/>
        <v>#DIV/0!</v>
      </c>
      <c r="G61" s="2182"/>
      <c r="H61" s="574">
        <f>项目基本情况!B37</f>
        <v>0</v>
      </c>
      <c r="I61" s="3082">
        <f>SUMIF(修正!A59:A70,H61,修正!D59:D70)</f>
        <v>0</v>
      </c>
      <c r="J61" s="3084"/>
      <c r="K61" s="3131"/>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7" t="e">
        <f t="shared" si="17"/>
        <v>#DIV/0!</v>
      </c>
      <c r="C62" s="3064">
        <f t="shared" si="16"/>
        <v>0</v>
      </c>
      <c r="D62" s="3067">
        <v>0.25</v>
      </c>
      <c r="E62" s="3070">
        <f>'数据-汇总表'!E11</f>
        <v>0</v>
      </c>
      <c r="F62" s="3087" t="e">
        <f t="shared" si="15"/>
        <v>#DIV/0!</v>
      </c>
      <c r="G62" s="3079" t="s">
        <v>1806</v>
      </c>
      <c r="H62" s="574">
        <f>项目基本情况!C37</f>
        <v>0</v>
      </c>
      <c r="I62" s="3082">
        <f>SUMIF(修正!A59:A70,H62,修正!E59:E70)</f>
        <v>0</v>
      </c>
      <c r="J62" s="3084"/>
      <c r="K62" s="3131"/>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7" t="e">
        <f t="shared" si="17"/>
        <v>#DIV/0!</v>
      </c>
      <c r="C63" s="3064">
        <f t="shared" si="16"/>
        <v>0</v>
      </c>
      <c r="D63" s="3067">
        <v>0.25</v>
      </c>
      <c r="E63" s="3070">
        <f>'数据-汇总表'!E12</f>
        <v>0</v>
      </c>
      <c r="F63" s="3087" t="e">
        <f t="shared" si="15"/>
        <v>#DIV/0!</v>
      </c>
      <c r="G63" s="3080" t="s">
        <v>1808</v>
      </c>
      <c r="H63" s="574">
        <f>IF(G63="商业",项目基本情况!B37,IF(G63="办公",项目基本情况!C37,IF(G63="住宅",项目基本情况!D37,项目基本情况!E37)))</f>
        <v>0</v>
      </c>
      <c r="I63" s="3082">
        <f>SUMIF(修正!A59:A70,H63,修正!F59:F70)</f>
        <v>0</v>
      </c>
      <c r="J63" s="3084"/>
      <c r="K63" s="3130"/>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7" t="e">
        <f t="shared" si="17"/>
        <v>#DIV/0!</v>
      </c>
      <c r="C64" s="3064">
        <f t="shared" si="16"/>
        <v>0</v>
      </c>
      <c r="D64" s="3067">
        <v>0.25</v>
      </c>
      <c r="E64" s="3070">
        <f>'数据-汇总表'!E13</f>
        <v>0</v>
      </c>
      <c r="F64" s="3087" t="e">
        <f t="shared" si="15"/>
        <v>#DIV/0!</v>
      </c>
      <c r="G64" s="3080" t="s">
        <v>1810</v>
      </c>
      <c r="H64" s="574">
        <f>IF(G64="商业",项目基本情况!B37,IF(G64="办公",项目基本情况!C37,IF(G64="住宅",项目基本情况!D37,项目基本情况!E37)))</f>
        <v>0</v>
      </c>
      <c r="I64" s="3082">
        <f>SUMIF(修正!A59:A70,H64,修正!G59:G70)</f>
        <v>0</v>
      </c>
      <c r="J64" s="3084"/>
      <c r="K64" s="3131"/>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7" t="e">
        <f t="shared" si="17"/>
        <v>#DIV/0!</v>
      </c>
      <c r="C65" s="3064">
        <f t="shared" si="16"/>
        <v>0</v>
      </c>
      <c r="D65" s="3067">
        <v>0.25</v>
      </c>
      <c r="E65" s="3070">
        <f>'数据-汇总表'!E14</f>
        <v>0</v>
      </c>
      <c r="F65" s="3087" t="e">
        <f t="shared" si="15"/>
        <v>#DIV/0!</v>
      </c>
      <c r="G65" s="3079" t="s">
        <v>1802</v>
      </c>
      <c r="H65" s="574">
        <f>项目基本情况!B37</f>
        <v>0</v>
      </c>
      <c r="I65" s="3082">
        <f>SUMIF(修正!A59:A70,H65,修正!G59:G70)</f>
        <v>0</v>
      </c>
      <c r="J65" s="3084"/>
      <c r="K65" s="3130"/>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7" t="e">
        <f t="shared" si="17"/>
        <v>#DIV/0!</v>
      </c>
      <c r="C66" s="3064">
        <f t="shared" si="16"/>
        <v>0</v>
      </c>
      <c r="D66" s="3067">
        <v>0.25</v>
      </c>
      <c r="E66" s="3070">
        <f>'数据-汇总表'!E15</f>
        <v>0</v>
      </c>
      <c r="F66" s="3087" t="e">
        <f t="shared" si="15"/>
        <v>#DIV/0!</v>
      </c>
      <c r="G66" s="3081" t="s">
        <v>1806</v>
      </c>
      <c r="H66" s="578">
        <f>项目基本情况!C37</f>
        <v>0</v>
      </c>
      <c r="I66" s="3085">
        <f>SUMIF(修正!A59:A70,H66,修正!G59:G70)</f>
        <v>0</v>
      </c>
      <c r="J66" s="3086"/>
      <c r="K66" s="3131"/>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8" t="s">
        <v>386</v>
      </c>
      <c r="E67" s="3071">
        <f>IF(B48="楼面地价",SUM(E58:E66),'数据-汇总表'!D3)</f>
        <v>109.4</v>
      </c>
      <c r="F67" s="3072" t="e">
        <f>IF(B48="楼面地价",SUM(F58:F66),ROUND(C50*E67/10000,0))</f>
        <v>#DIV/0!</v>
      </c>
      <c r="G67" s="489"/>
      <c r="H67" s="489"/>
      <c r="I67" s="489"/>
      <c r="J67" s="489"/>
      <c r="K67" s="3132"/>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3"/>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4">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5"/>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8"/>
      <c r="L72" s="5"/>
      <c r="M72" s="761"/>
      <c r="N72" s="5"/>
      <c r="O72" s="3779"/>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7"/>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8"/>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9"/>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40"/>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1"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0">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9"/>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2"/>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3"/>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40"/>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40"/>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40"/>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40"/>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40"/>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0"/>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4"/>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5"/>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6"/>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9"/>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7"/>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6"/>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3626</v>
      </c>
      <c r="D120" s="372" t="s">
        <v>3627</v>
      </c>
      <c r="E120" s="372" t="s">
        <v>3628</v>
      </c>
      <c r="F120" s="372" t="s">
        <v>3629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0">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0">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0">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0">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9"/>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9"/>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6"/>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IF(B43="单位面积地价",C45,ROUND(B2*10000/'数据-汇总表'!D3,0))</f>
        <v>#DIV/0!</v>
      </c>
      <c r="C4" s="1337" t="s">
        <v>3640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1" t="s">
        <v>1679</v>
      </c>
      <c r="B6" s="3162"/>
      <c r="C6" s="4563" t="s">
        <v>1680</v>
      </c>
      <c r="D6" s="4564"/>
      <c r="E6" s="4565" t="s">
        <v>1681</v>
      </c>
      <c r="F6" s="4566"/>
      <c r="G6" s="4563" t="s">
        <v>1682</v>
      </c>
      <c r="H6" s="4564"/>
      <c r="I6" s="4563" t="s">
        <v>1683</v>
      </c>
      <c r="J6" s="4564"/>
      <c r="K6" s="393" t="s">
        <v>1684</v>
      </c>
      <c r="L6" s="1974"/>
      <c r="M6" s="1975"/>
      <c r="N6" s="1975"/>
      <c r="O6" s="1975"/>
      <c r="P6" s="4567" t="s">
        <v>1685</v>
      </c>
      <c r="Q6" s="4568"/>
      <c r="R6" s="4553" t="s">
        <v>1681</v>
      </c>
      <c r="S6" s="4554"/>
      <c r="T6" s="4553" t="s">
        <v>1682</v>
      </c>
      <c r="U6" s="4554"/>
      <c r="V6" s="4495" t="s">
        <v>1683</v>
      </c>
      <c r="W6" s="4495"/>
      <c r="X6" s="910"/>
      <c r="Y6" s="4572" t="s">
        <v>1685</v>
      </c>
      <c r="Z6" s="4573"/>
      <c r="AA6" s="4552" t="s">
        <v>1681</v>
      </c>
      <c r="AB6" s="4463" t="s">
        <v>1682</v>
      </c>
      <c r="AC6" s="4552" t="s">
        <v>1683</v>
      </c>
    </row>
    <row r="7" spans="1:29" ht="15">
      <c r="A7" s="3098"/>
      <c r="B7" s="3163"/>
      <c r="C7" s="4557" t="s">
        <v>1583</v>
      </c>
      <c r="D7" s="4558"/>
      <c r="E7" s="4555" t="s">
        <v>1584</v>
      </c>
      <c r="F7" s="4556"/>
      <c r="G7" s="4557" t="s">
        <v>1585</v>
      </c>
      <c r="H7" s="4558"/>
      <c r="I7" s="4557" t="s">
        <v>1586</v>
      </c>
      <c r="J7" s="4558"/>
      <c r="K7" s="393"/>
      <c r="L7" s="1974"/>
      <c r="M7" s="1975"/>
      <c r="N7" s="1975"/>
      <c r="O7" s="1975"/>
      <c r="P7" s="4569"/>
      <c r="Q7" s="4489"/>
      <c r="R7" s="4469"/>
      <c r="S7" s="4470"/>
      <c r="T7" s="4469"/>
      <c r="U7" s="4470"/>
      <c r="V7" s="4495"/>
      <c r="W7" s="4495"/>
      <c r="X7" s="910"/>
      <c r="Y7" s="4500"/>
      <c r="Z7" s="4501"/>
      <c r="AA7" s="4463"/>
      <c r="AB7" s="4463"/>
      <c r="AC7" s="4463"/>
    </row>
    <row r="8" spans="1:29" ht="15.75" thickBot="1">
      <c r="A8" s="3164"/>
      <c r="B8" s="3165"/>
      <c r="C8" s="4600" t="s">
        <v>1829</v>
      </c>
      <c r="D8" s="4601"/>
      <c r="E8" s="4602" t="s">
        <v>1829</v>
      </c>
      <c r="F8" s="4603"/>
      <c r="G8" s="4600" t="s">
        <v>1829</v>
      </c>
      <c r="H8" s="4601"/>
      <c r="I8" s="4600" t="s">
        <v>1829</v>
      </c>
      <c r="J8" s="4601"/>
      <c r="K8" s="393" t="s">
        <v>1588</v>
      </c>
      <c r="L8" s="1974"/>
      <c r="M8" s="1975"/>
      <c r="N8" s="1975"/>
      <c r="O8" s="1975"/>
      <c r="P8" s="4570"/>
      <c r="Q8" s="4491"/>
      <c r="R8" s="4469"/>
      <c r="S8" s="4470"/>
      <c r="T8" s="4492"/>
      <c r="U8" s="4493"/>
      <c r="V8" s="4495"/>
      <c r="W8" s="4495"/>
      <c r="X8" s="910"/>
      <c r="Y8" s="4502"/>
      <c r="Z8" s="4503"/>
      <c r="AA8" s="4464"/>
      <c r="AB8" s="4464"/>
      <c r="AC8" s="4464"/>
    </row>
    <row r="9" spans="1:29" s="46" customFormat="1" ht="15.75" thickBot="1">
      <c r="A9" s="3090" t="s">
        <v>1589</v>
      </c>
      <c r="B9" s="3091"/>
      <c r="C9" s="2812">
        <f>'数据-取费表'!B2</f>
        <v>46051</v>
      </c>
      <c r="D9" s="2887">
        <v>100</v>
      </c>
      <c r="E9" s="2841"/>
      <c r="F9" s="3721">
        <f>SUMIF(67:67,YEAR(E9)&amp;"-"&amp;INT((MONTH(E9)+2)/3),68:68)</f>
        <v>0</v>
      </c>
      <c r="G9" s="3121"/>
      <c r="H9" s="3733">
        <f>SUMIF(67:67,YEAR(G9)&amp;"-"&amp;INT((MONTH(G9)+2)/3),68:68)</f>
        <v>0</v>
      </c>
      <c r="I9" s="3121"/>
      <c r="J9" s="3733">
        <f>SUMIF(67:67,YEAR(I9)&amp;"-"&amp;INT((MONTH(I9)+2)/3),68:68)</f>
        <v>0</v>
      </c>
      <c r="K9" s="22"/>
      <c r="L9" s="1976"/>
      <c r="M9" s="1929"/>
      <c r="N9" s="1929"/>
      <c r="O9" s="1929"/>
      <c r="P9" s="4571" t="s">
        <v>1590</v>
      </c>
      <c r="Q9" s="4504"/>
      <c r="R9" s="3763" t="s">
        <v>13</v>
      </c>
      <c r="S9" s="3543">
        <f t="shared" ref="S9:S17" si="0">F9</f>
        <v>0</v>
      </c>
      <c r="T9" s="3763" t="s">
        <v>13</v>
      </c>
      <c r="U9" s="3543">
        <f t="shared" ref="U9:U17" si="1">H9</f>
        <v>0</v>
      </c>
      <c r="V9" s="3763" t="s">
        <v>13</v>
      </c>
      <c r="W9" s="3543">
        <f t="shared" ref="W9:W17" si="2">J9</f>
        <v>0</v>
      </c>
      <c r="X9" s="482"/>
      <c r="Y9" s="4465" t="s">
        <v>1590</v>
      </c>
      <c r="Z9" s="4466"/>
      <c r="AA9" s="28" t="e">
        <f>D9/F9</f>
        <v>#DIV/0!</v>
      </c>
      <c r="AB9" s="28" t="e">
        <f>D9/H9</f>
        <v>#DIV/0!</v>
      </c>
      <c r="AC9" s="28" t="e">
        <f>D9/J9</f>
        <v>#DIV/0!</v>
      </c>
    </row>
    <row r="10" spans="1:29" s="46" customFormat="1" ht="15.7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6"/>
      <c r="M10" s="1929"/>
      <c r="N10" s="1929"/>
      <c r="O10" s="1929"/>
      <c r="P10" s="4571" t="s">
        <v>1593</v>
      </c>
      <c r="Q10" s="4497"/>
      <c r="R10" s="3763" t="s">
        <v>13</v>
      </c>
      <c r="S10" s="3543">
        <f t="shared" si="0"/>
        <v>0</v>
      </c>
      <c r="T10" s="3763" t="s">
        <v>13</v>
      </c>
      <c r="U10" s="3543">
        <f t="shared" si="1"/>
        <v>0</v>
      </c>
      <c r="V10" s="3763" t="s">
        <v>13</v>
      </c>
      <c r="W10" s="3543">
        <f t="shared" si="2"/>
        <v>0</v>
      </c>
      <c r="X10" s="482"/>
      <c r="Y10" s="4465" t="s">
        <v>1593</v>
      </c>
      <c r="Z10" s="4466"/>
      <c r="AA10" s="28" t="e">
        <f t="shared" ref="AA10:AA42" si="3">D10/F10</f>
        <v>#DIV/0!</v>
      </c>
      <c r="AB10" s="28" t="e">
        <f t="shared" ref="AB10:AB42" si="4">D10/H10</f>
        <v>#DIV/0!</v>
      </c>
      <c r="AC10" s="28" t="e">
        <f t="shared" ref="AC10:AC42" si="5">D10/J10</f>
        <v>#DIV/0!</v>
      </c>
    </row>
    <row r="11" spans="1:29" s="46" customFormat="1">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6"/>
      <c r="M11" s="1929"/>
      <c r="N11" s="1929"/>
      <c r="O11" s="2028"/>
      <c r="P11" s="4514" t="s">
        <v>1596</v>
      </c>
      <c r="Q11" s="1698" t="str">
        <f t="shared" ref="Q11:Q17" si="6">B11</f>
        <v>用途</v>
      </c>
      <c r="R11" s="3763" t="s">
        <v>13</v>
      </c>
      <c r="S11" s="3543">
        <f t="shared" si="0"/>
        <v>100</v>
      </c>
      <c r="T11" s="3763" t="s">
        <v>13</v>
      </c>
      <c r="U11" s="3543">
        <f t="shared" si="1"/>
        <v>100</v>
      </c>
      <c r="V11" s="3763" t="s">
        <v>13</v>
      </c>
      <c r="W11" s="3543">
        <f t="shared" si="2"/>
        <v>100</v>
      </c>
      <c r="X11" s="482"/>
      <c r="Y11" s="4478"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17"/>
      <c r="F12" s="3735">
        <f>ROUND(100/'数据-取费表'!G16,1)</f>
        <v>109.3</v>
      </c>
      <c r="G12" s="2817"/>
      <c r="H12" s="3735">
        <f>ROUND(100/'数据-取费表'!G16,1)</f>
        <v>109.3</v>
      </c>
      <c r="I12" s="2817"/>
      <c r="J12" s="3735">
        <f>ROUND(100/'数据-取费表'!G16,1)</f>
        <v>109.3</v>
      </c>
      <c r="K12" s="434"/>
      <c r="L12" s="1977"/>
      <c r="M12" s="1978"/>
      <c r="N12" s="1978"/>
      <c r="O12" s="2029"/>
      <c r="P12" s="4514"/>
      <c r="Q12" s="1698" t="str">
        <f t="shared" si="6"/>
        <v>土地使用年限（年）</v>
      </c>
      <c r="R12" s="3763" t="s">
        <v>13</v>
      </c>
      <c r="S12" s="3543">
        <f t="shared" si="0"/>
        <v>109.3</v>
      </c>
      <c r="T12" s="3763" t="s">
        <v>13</v>
      </c>
      <c r="U12" s="3543">
        <f t="shared" si="1"/>
        <v>109.3</v>
      </c>
      <c r="V12" s="3763" t="s">
        <v>13</v>
      </c>
      <c r="W12" s="3543">
        <f t="shared" si="2"/>
        <v>109.3</v>
      </c>
      <c r="X12" s="482"/>
      <c r="Y12" s="4478"/>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79"/>
      <c r="M13" s="1975"/>
      <c r="N13" s="1975"/>
      <c r="O13" s="2030"/>
      <c r="P13" s="4514"/>
      <c r="Q13" s="1698" t="str">
        <f t="shared" si="6"/>
        <v>容积率</v>
      </c>
      <c r="R13" s="3763" t="s">
        <v>13</v>
      </c>
      <c r="S13" s="3543" t="e">
        <f t="shared" si="0"/>
        <v>#N/A</v>
      </c>
      <c r="T13" s="3763" t="s">
        <v>13</v>
      </c>
      <c r="U13" s="3543" t="e">
        <f t="shared" si="1"/>
        <v>#N/A</v>
      </c>
      <c r="V13" s="3763" t="s">
        <v>13</v>
      </c>
      <c r="W13" s="3543" t="e">
        <f t="shared" si="2"/>
        <v>#N/A</v>
      </c>
      <c r="X13" s="482"/>
      <c r="Y13" s="4478"/>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6"/>
      <c r="M14" s="1929"/>
      <c r="N14" s="1929"/>
      <c r="O14" s="2028"/>
      <c r="P14" s="4514"/>
      <c r="Q14" s="1698">
        <f t="shared" si="6"/>
        <v>111</v>
      </c>
      <c r="R14" s="3763" t="s">
        <v>13</v>
      </c>
      <c r="S14" s="3543">
        <f t="shared" si="0"/>
        <v>100</v>
      </c>
      <c r="T14" s="3763" t="s">
        <v>13</v>
      </c>
      <c r="U14" s="3543">
        <f t="shared" si="1"/>
        <v>100</v>
      </c>
      <c r="V14" s="3763" t="s">
        <v>13</v>
      </c>
      <c r="W14" s="3543">
        <f t="shared" si="2"/>
        <v>100</v>
      </c>
      <c r="X14" s="482"/>
      <c r="Y14" s="4478"/>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0"/>
      <c r="M15" s="1975"/>
      <c r="N15" s="1975"/>
      <c r="O15" s="2030"/>
      <c r="P15" s="4514"/>
      <c r="Q15" s="1698">
        <f t="shared" si="6"/>
        <v>111</v>
      </c>
      <c r="R15" s="3763" t="s">
        <v>13</v>
      </c>
      <c r="S15" s="3543">
        <f t="shared" si="0"/>
        <v>100</v>
      </c>
      <c r="T15" s="3763" t="s">
        <v>13</v>
      </c>
      <c r="U15" s="3543">
        <f t="shared" si="1"/>
        <v>100</v>
      </c>
      <c r="V15" s="3763" t="s">
        <v>13</v>
      </c>
      <c r="W15" s="3543">
        <f t="shared" si="2"/>
        <v>100</v>
      </c>
      <c r="X15" s="482"/>
      <c r="Y15" s="4478"/>
      <c r="Z15" s="28">
        <f t="shared" si="7"/>
        <v>111</v>
      </c>
      <c r="AA15" s="28">
        <f t="shared" si="3"/>
        <v>1</v>
      </c>
      <c r="AB15" s="28">
        <f t="shared" si="4"/>
        <v>1</v>
      </c>
      <c r="AC15" s="28">
        <f t="shared" si="5"/>
        <v>1</v>
      </c>
    </row>
    <row r="16" spans="1:29" ht="15.75"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0"/>
      <c r="M16" s="1975"/>
      <c r="N16" s="1975"/>
      <c r="O16" s="2030"/>
      <c r="P16" s="4514"/>
      <c r="Q16" s="1698">
        <f t="shared" si="6"/>
        <v>111</v>
      </c>
      <c r="R16" s="3763" t="s">
        <v>13</v>
      </c>
      <c r="S16" s="3543">
        <f t="shared" si="0"/>
        <v>100</v>
      </c>
      <c r="T16" s="3763" t="s">
        <v>13</v>
      </c>
      <c r="U16" s="3543">
        <f t="shared" si="1"/>
        <v>100</v>
      </c>
      <c r="V16" s="3763" t="s">
        <v>13</v>
      </c>
      <c r="W16" s="3543">
        <f t="shared" si="2"/>
        <v>100</v>
      </c>
      <c r="X16" s="482"/>
      <c r="Y16" s="4478"/>
      <c r="Z16" s="28">
        <f t="shared" si="7"/>
        <v>111</v>
      </c>
      <c r="AA16" s="28">
        <f t="shared" si="3"/>
        <v>1</v>
      </c>
      <c r="AB16" s="28">
        <f t="shared" si="4"/>
        <v>1</v>
      </c>
      <c r="AC16" s="28">
        <f t="shared" si="5"/>
        <v>1</v>
      </c>
    </row>
    <row r="17" spans="1:29" ht="57">
      <c r="A17" s="3097" t="s">
        <v>1600</v>
      </c>
      <c r="B17" s="3166" t="s">
        <v>1830</v>
      </c>
      <c r="C17" s="3175" t="str">
        <f>估价对象房地状况!G15</f>
        <v>估价对象位于XX开发区，园区建设成熟度XX，产业集聚程度XX</v>
      </c>
      <c r="D17" s="2893">
        <v>100</v>
      </c>
      <c r="E17" s="2845"/>
      <c r="F17" s="3725">
        <f>SUMIF(85:85,E18,86:86)-SUMIF(85:85,C18,86:86)+100</f>
        <v>100</v>
      </c>
      <c r="G17" s="2845"/>
      <c r="H17" s="3725">
        <f>SUMIF(85:85,G18,86:86)-SUMIF(85:85,C18,86:86)+100</f>
        <v>100</v>
      </c>
      <c r="I17" s="2851"/>
      <c r="J17" s="3725">
        <f>SUMIF(85:85,I18,86:86)-SUMIF(85:85,C18,86:86)+100</f>
        <v>100</v>
      </c>
      <c r="K17" s="435"/>
      <c r="L17" s="1980"/>
      <c r="M17" s="1975"/>
      <c r="N17" s="1975"/>
      <c r="O17" s="2030"/>
      <c r="P17" s="4581" t="s">
        <v>1601</v>
      </c>
      <c r="Q17" s="1507" t="str">
        <f t="shared" si="6"/>
        <v>产业集聚程度</v>
      </c>
      <c r="R17" s="3764" t="s">
        <v>13</v>
      </c>
      <c r="S17" s="3766">
        <f t="shared" si="0"/>
        <v>100</v>
      </c>
      <c r="T17" s="3764" t="s">
        <v>13</v>
      </c>
      <c r="U17" s="3766">
        <f t="shared" si="1"/>
        <v>100</v>
      </c>
      <c r="V17" s="3764" t="s">
        <v>13</v>
      </c>
      <c r="W17" s="3766">
        <f t="shared" si="2"/>
        <v>100</v>
      </c>
      <c r="X17" s="910"/>
      <c r="Y17" s="4507"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0"/>
      <c r="M18" s="1975"/>
      <c r="N18" s="1975"/>
      <c r="O18" s="2030"/>
      <c r="P18" s="4582"/>
      <c r="Q18" s="1507"/>
      <c r="R18" s="3764"/>
      <c r="S18" s="3766"/>
      <c r="T18" s="3764"/>
      <c r="U18" s="3766"/>
      <c r="V18" s="3764"/>
      <c r="W18" s="3766"/>
      <c r="X18" s="910"/>
      <c r="Y18" s="4508"/>
      <c r="Z18" s="908"/>
      <c r="AA18" s="908">
        <v>1</v>
      </c>
      <c r="AB18" s="908">
        <v>1</v>
      </c>
      <c r="AC18" s="908">
        <v>1</v>
      </c>
    </row>
    <row r="19" spans="1:29" ht="85.5">
      <c r="A19" s="3094"/>
      <c r="B19" s="3168" t="s">
        <v>1743</v>
      </c>
      <c r="C19" s="2822" t="str">
        <f>估价对象房地状况!G16</f>
        <v>估价对象周边道路状况、公共交通通达情况、停车便捷程度，综合评价交通便捷度较好</v>
      </c>
      <c r="D19" s="2895">
        <v>100</v>
      </c>
      <c r="E19" s="2846"/>
      <c r="F19" s="3728">
        <f>SUMIF(87:87,E20,88:88)-SUMIF(87:87,C20,88:88)+100</f>
        <v>100</v>
      </c>
      <c r="G19" s="2846"/>
      <c r="H19" s="3728">
        <f>SUMIF(87:87,G20,88:88)-SUMIF(87:87,C20,88:88)+100</f>
        <v>100</v>
      </c>
      <c r="I19" s="2852"/>
      <c r="J19" s="3727">
        <f>SUMIF(87:87,I20,88:88)-SUMIF(87:87,C20,88:88)+100</f>
        <v>100</v>
      </c>
      <c r="K19" s="435"/>
      <c r="L19" s="1980"/>
      <c r="M19" s="1975"/>
      <c r="N19" s="1975"/>
      <c r="O19" s="2030"/>
      <c r="P19" s="4582"/>
      <c r="Q19" s="1507" t="str">
        <f>B19</f>
        <v>交通便捷度</v>
      </c>
      <c r="R19" s="3764" t="s">
        <v>13</v>
      </c>
      <c r="S19" s="3766">
        <f>F19</f>
        <v>100</v>
      </c>
      <c r="T19" s="3764" t="s">
        <v>13</v>
      </c>
      <c r="U19" s="3766">
        <f>H19</f>
        <v>100</v>
      </c>
      <c r="V19" s="3764" t="s">
        <v>13</v>
      </c>
      <c r="W19" s="3766">
        <f>J19</f>
        <v>100</v>
      </c>
      <c r="X19" s="910"/>
      <c r="Y19" s="4508"/>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0"/>
      <c r="M20" s="1975"/>
      <c r="N20" s="1975"/>
      <c r="O20" s="2030"/>
      <c r="P20" s="4582"/>
      <c r="Q20" s="1507"/>
      <c r="R20" s="3764"/>
      <c r="S20" s="3766"/>
      <c r="T20" s="3764"/>
      <c r="U20" s="3766"/>
      <c r="V20" s="3764"/>
      <c r="W20" s="3766"/>
      <c r="X20" s="910"/>
      <c r="Y20" s="4508"/>
      <c r="Z20" s="908"/>
      <c r="AA20" s="908">
        <v>1</v>
      </c>
      <c r="AB20" s="908">
        <v>1</v>
      </c>
      <c r="AC20" s="908">
        <v>1</v>
      </c>
    </row>
    <row r="21" spans="1:29" ht="15">
      <c r="A21" s="3094"/>
      <c r="B21" s="3168" t="s">
        <v>1781</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0"/>
      <c r="M21" s="1975"/>
      <c r="N21" s="1975"/>
      <c r="O21" s="2030"/>
      <c r="P21" s="4582"/>
      <c r="Q21" s="1507" t="str">
        <f t="shared" ref="Q21:Q35" si="8">B21</f>
        <v>区域土地利用方向</v>
      </c>
      <c r="R21" s="3764" t="s">
        <v>13</v>
      </c>
      <c r="S21" s="3766">
        <f>F21</f>
        <v>100</v>
      </c>
      <c r="T21" s="3764" t="s">
        <v>13</v>
      </c>
      <c r="U21" s="3766">
        <f>H21</f>
        <v>100</v>
      </c>
      <c r="V21" s="3764" t="s">
        <v>13</v>
      </c>
      <c r="W21" s="3766">
        <f>J21</f>
        <v>100</v>
      </c>
      <c r="X21" s="910"/>
      <c r="Y21" s="4508"/>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0"/>
      <c r="M22" s="1975"/>
      <c r="N22" s="1975"/>
      <c r="O22" s="2030"/>
      <c r="P22" s="4582"/>
      <c r="Q22" s="1507"/>
      <c r="R22" s="3764"/>
      <c r="S22" s="3766"/>
      <c r="T22" s="3764"/>
      <c r="U22" s="3766"/>
      <c r="V22" s="3764"/>
      <c r="W22" s="3766"/>
      <c r="X22" s="910"/>
      <c r="Y22" s="4508"/>
      <c r="Z22" s="908"/>
      <c r="AA22" s="908"/>
      <c r="AB22" s="908"/>
      <c r="AC22" s="908"/>
    </row>
    <row r="23" spans="1:29" ht="71.25">
      <c r="A23" s="3098"/>
      <c r="B23" s="3168" t="s">
        <v>1831</v>
      </c>
      <c r="C23" s="2822" t="str">
        <f>估价对象房地状况!G18</f>
        <v>该园区内是否有污染型企业，绿化情况，卫生条件，整体环境状况判断</v>
      </c>
      <c r="D23" s="2895">
        <v>100</v>
      </c>
      <c r="E23" s="2846"/>
      <c r="F23" s="3727">
        <f>SUMIF(91:91,E24,92:92)-SUMIF(91:91,C24,92:92)+100</f>
        <v>100</v>
      </c>
      <c r="G23" s="2846"/>
      <c r="H23" s="3727">
        <f>SUMIF(91:91,G24,92:92)-SUMIF(91:91,C24,92:92)+100</f>
        <v>100</v>
      </c>
      <c r="I23" s="2852"/>
      <c r="J23" s="3727">
        <f>SUMIF(91:91,I24,92:92)-SUMIF(91:91,C24,92:92)+100</f>
        <v>100</v>
      </c>
      <c r="K23" s="435"/>
      <c r="L23" s="1980"/>
      <c r="M23" s="1975"/>
      <c r="N23" s="1975"/>
      <c r="O23" s="2030"/>
      <c r="P23" s="4582"/>
      <c r="Q23" s="1507" t="str">
        <f t="shared" si="8"/>
        <v>环境状况</v>
      </c>
      <c r="R23" s="3764" t="s">
        <v>13</v>
      </c>
      <c r="S23" s="3766">
        <f>F23</f>
        <v>100</v>
      </c>
      <c r="T23" s="3764" t="s">
        <v>13</v>
      </c>
      <c r="U23" s="3766">
        <f>H23</f>
        <v>100</v>
      </c>
      <c r="V23" s="3764" t="s">
        <v>13</v>
      </c>
      <c r="W23" s="3766">
        <f>J23</f>
        <v>100</v>
      </c>
      <c r="X23" s="910"/>
      <c r="Y23" s="4508"/>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0"/>
      <c r="M24" s="1975"/>
      <c r="N24" s="1975"/>
      <c r="O24" s="2030"/>
      <c r="P24" s="4582"/>
      <c r="Q24" s="1507"/>
      <c r="R24" s="3764"/>
      <c r="S24" s="3766"/>
      <c r="T24" s="3764"/>
      <c r="U24" s="3766"/>
      <c r="V24" s="3764"/>
      <c r="W24" s="3766"/>
      <c r="X24" s="910"/>
      <c r="Y24" s="4508"/>
      <c r="Z24" s="908"/>
      <c r="AA24" s="908">
        <v>1</v>
      </c>
      <c r="AB24" s="908">
        <v>1</v>
      </c>
      <c r="AC24" s="908">
        <v>1</v>
      </c>
    </row>
    <row r="25" spans="1:29" s="46" customFormat="1" ht="42.75">
      <c r="A25" s="3100"/>
      <c r="B25" s="3170" t="s">
        <v>1688</v>
      </c>
      <c r="C25" s="2822" t="str">
        <f>估价对象房地状况!G19</f>
        <v>估价对象所在区域公共配套设施齐备情况</v>
      </c>
      <c r="D25" s="2895">
        <v>100</v>
      </c>
      <c r="E25" s="2846"/>
      <c r="F25" s="3727">
        <f>SUMIF(93:93,E26,94:94)-SUMIF(93:93,C26,94:94)+100</f>
        <v>100</v>
      </c>
      <c r="G25" s="2846"/>
      <c r="H25" s="3727">
        <f>SUMIF(93:93,G26,94:94)-SUMIF(93:93,C26,94:94)+100</f>
        <v>100</v>
      </c>
      <c r="I25" s="2852"/>
      <c r="J25" s="3727">
        <f>SUMIF(93:93,I26,94:94)-SUMIF(93:93,C26,94:94)+100</f>
        <v>100</v>
      </c>
      <c r="K25" s="435"/>
      <c r="L25" s="1976"/>
      <c r="M25" s="1929"/>
      <c r="N25" s="1929"/>
      <c r="O25" s="2028"/>
      <c r="P25" s="4582"/>
      <c r="Q25" s="1698" t="str">
        <f t="shared" si="8"/>
        <v>公共配套设施</v>
      </c>
      <c r="R25" s="3763" t="s">
        <v>13</v>
      </c>
      <c r="S25" s="3543">
        <f>F25</f>
        <v>100</v>
      </c>
      <c r="T25" s="3763" t="s">
        <v>13</v>
      </c>
      <c r="U25" s="3543">
        <f>H25</f>
        <v>100</v>
      </c>
      <c r="V25" s="3763" t="s">
        <v>13</v>
      </c>
      <c r="W25" s="3543">
        <f>J25</f>
        <v>100</v>
      </c>
      <c r="X25" s="482"/>
      <c r="Y25" s="4508"/>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6"/>
      <c r="M26" s="1929"/>
      <c r="N26" s="1929"/>
      <c r="O26" s="2028"/>
      <c r="P26" s="4582"/>
      <c r="Q26" s="1698"/>
      <c r="R26" s="3763"/>
      <c r="S26" s="3543"/>
      <c r="T26" s="3763"/>
      <c r="U26" s="3543"/>
      <c r="V26" s="3763"/>
      <c r="W26" s="3543"/>
      <c r="X26" s="482"/>
      <c r="Y26" s="4508"/>
      <c r="Z26" s="28"/>
      <c r="AA26" s="28">
        <v>1</v>
      </c>
      <c r="AB26" s="28">
        <v>1</v>
      </c>
      <c r="AC26" s="28">
        <v>1</v>
      </c>
    </row>
    <row r="27" spans="1:29" s="46" customFormat="1" ht="28.5">
      <c r="A27" s="3100"/>
      <c r="B27" s="3170" t="s">
        <v>1689</v>
      </c>
      <c r="C27" s="2822" t="str">
        <f>估价对象房地状况!G20</f>
        <v>估价对象所在区域基础设施水平</v>
      </c>
      <c r="D27" s="2895">
        <v>100</v>
      </c>
      <c r="E27" s="2846"/>
      <c r="F27" s="3727">
        <f>SUMIF(95:95,E28,96:96)-SUMIF(95:95,C28,96:96)+100</f>
        <v>100</v>
      </c>
      <c r="G27" s="2846"/>
      <c r="H27" s="3727">
        <f>SUMIF(95:95,G28,96:96)-SUMIF(95:95,C28,96:96)+100</f>
        <v>100</v>
      </c>
      <c r="I27" s="2852"/>
      <c r="J27" s="3727">
        <f>SUMIF(95:95,I28,96:96)-SUMIF(95:95,C28,96:96)+100</f>
        <v>100</v>
      </c>
      <c r="K27" s="435"/>
      <c r="L27" s="1976"/>
      <c r="M27" s="1929"/>
      <c r="N27" s="1929"/>
      <c r="O27" s="2028"/>
      <c r="P27" s="4582"/>
      <c r="Q27" s="1698" t="str">
        <f t="shared" ref="Q27" si="9">B27</f>
        <v>基础设施水平</v>
      </c>
      <c r="R27" s="3763" t="s">
        <v>13</v>
      </c>
      <c r="S27" s="3543">
        <f>F27</f>
        <v>100</v>
      </c>
      <c r="T27" s="3763" t="s">
        <v>13</v>
      </c>
      <c r="U27" s="3543">
        <f>H27</f>
        <v>100</v>
      </c>
      <c r="V27" s="3763" t="s">
        <v>13</v>
      </c>
      <c r="W27" s="3543">
        <f>J27</f>
        <v>100</v>
      </c>
      <c r="X27" s="482"/>
      <c r="Y27" s="4508"/>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6"/>
      <c r="M28" s="1929"/>
      <c r="N28" s="1929"/>
      <c r="O28" s="2028"/>
      <c r="P28" s="4582"/>
      <c r="Q28" s="1698"/>
      <c r="R28" s="3763"/>
      <c r="S28" s="3543"/>
      <c r="T28" s="3763"/>
      <c r="U28" s="3543"/>
      <c r="V28" s="3763"/>
      <c r="W28" s="3543"/>
      <c r="X28" s="482"/>
      <c r="Y28" s="4508"/>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0"/>
      <c r="M29" s="1975"/>
      <c r="N29" s="1975"/>
      <c r="O29" s="2030"/>
      <c r="P29" s="4582"/>
      <c r="Q29" s="1507" t="str">
        <f t="shared" si="8"/>
        <v>临街状况</v>
      </c>
      <c r="R29" s="3764" t="s">
        <v>13</v>
      </c>
      <c r="S29" s="3766">
        <f t="shared" ref="S29:S42" si="10">F29</f>
        <v>100</v>
      </c>
      <c r="T29" s="3764" t="s">
        <v>13</v>
      </c>
      <c r="U29" s="3766">
        <f t="shared" ref="U29:U42" si="11">H29</f>
        <v>100</v>
      </c>
      <c r="V29" s="3764" t="s">
        <v>13</v>
      </c>
      <c r="W29" s="3766">
        <f t="shared" ref="W29:W42" si="12">J29</f>
        <v>100</v>
      </c>
      <c r="X29" s="910"/>
      <c r="Y29" s="4508"/>
      <c r="Z29" s="908" t="str">
        <f t="shared" ref="Z29:Z42" si="13">Q29</f>
        <v>临街状况</v>
      </c>
      <c r="AA29" s="908">
        <f t="shared" si="3"/>
        <v>1</v>
      </c>
      <c r="AB29" s="908">
        <f t="shared" si="4"/>
        <v>1</v>
      </c>
      <c r="AC29" s="908">
        <f t="shared" si="5"/>
        <v>1</v>
      </c>
    </row>
    <row r="30" spans="1:29" ht="27">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0"/>
      <c r="M30" s="1975"/>
      <c r="N30" s="1975"/>
      <c r="O30" s="2030"/>
      <c r="P30" s="4582"/>
      <c r="Q30" s="1507" t="str">
        <f t="shared" si="8"/>
        <v>毗邻道路的类型与等级</v>
      </c>
      <c r="R30" s="3764" t="s">
        <v>13</v>
      </c>
      <c r="S30" s="3766">
        <f t="shared" si="10"/>
        <v>100</v>
      </c>
      <c r="T30" s="3764" t="s">
        <v>13</v>
      </c>
      <c r="U30" s="3766">
        <f t="shared" si="11"/>
        <v>100</v>
      </c>
      <c r="V30" s="3764" t="s">
        <v>13</v>
      </c>
      <c r="W30" s="3766">
        <f t="shared" si="12"/>
        <v>100</v>
      </c>
      <c r="X30" s="910"/>
      <c r="Y30" s="4508"/>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0"/>
      <c r="M31" s="1975"/>
      <c r="N31" s="1975"/>
      <c r="O31" s="2030"/>
      <c r="P31" s="4582"/>
      <c r="Q31" s="1507"/>
      <c r="R31" s="3764"/>
      <c r="S31" s="3766"/>
      <c r="T31" s="3764"/>
      <c r="U31" s="3766"/>
      <c r="V31" s="3764"/>
      <c r="W31" s="3766"/>
      <c r="X31" s="910"/>
      <c r="Y31" s="4508"/>
      <c r="Z31" s="908"/>
      <c r="AA31" s="908">
        <v>1</v>
      </c>
      <c r="AB31" s="908">
        <v>1</v>
      </c>
      <c r="AC31" s="908">
        <v>1</v>
      </c>
    </row>
    <row r="32" spans="1:29" ht="15">
      <c r="A32" s="3094"/>
      <c r="B32" s="3171" t="s">
        <v>1783</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0"/>
      <c r="M32" s="1975"/>
      <c r="N32" s="1975"/>
      <c r="O32" s="2030"/>
      <c r="P32" s="4582"/>
      <c r="Q32" s="1507" t="str">
        <f t="shared" si="8"/>
        <v>土地级别</v>
      </c>
      <c r="R32" s="3764" t="s">
        <v>13</v>
      </c>
      <c r="S32" s="3766">
        <f t="shared" si="10"/>
        <v>100</v>
      </c>
      <c r="T32" s="3764" t="s">
        <v>13</v>
      </c>
      <c r="U32" s="3766">
        <f t="shared" si="11"/>
        <v>100</v>
      </c>
      <c r="V32" s="3764" t="s">
        <v>13</v>
      </c>
      <c r="W32" s="3766">
        <f t="shared" si="12"/>
        <v>100</v>
      </c>
      <c r="X32" s="910"/>
      <c r="Y32" s="4508"/>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0"/>
      <c r="M33" s="1975"/>
      <c r="N33" s="1975"/>
      <c r="O33" s="2030"/>
      <c r="P33" s="4582"/>
      <c r="Q33" s="1507">
        <f t="shared" si="8"/>
        <v>111</v>
      </c>
      <c r="R33" s="3764" t="s">
        <v>13</v>
      </c>
      <c r="S33" s="3766">
        <f t="shared" si="10"/>
        <v>100</v>
      </c>
      <c r="T33" s="3764" t="s">
        <v>13</v>
      </c>
      <c r="U33" s="3766">
        <f t="shared" si="11"/>
        <v>100</v>
      </c>
      <c r="V33" s="3764" t="s">
        <v>13</v>
      </c>
      <c r="W33" s="3766">
        <f t="shared" si="12"/>
        <v>100</v>
      </c>
      <c r="X33" s="910"/>
      <c r="Y33" s="4508"/>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0"/>
      <c r="M34" s="1975"/>
      <c r="N34" s="1975"/>
      <c r="O34" s="2030"/>
      <c r="P34" s="4583" t="s">
        <v>1606</v>
      </c>
      <c r="Q34" s="1507">
        <f t="shared" si="8"/>
        <v>111</v>
      </c>
      <c r="R34" s="3764" t="s">
        <v>13</v>
      </c>
      <c r="S34" s="3766">
        <f t="shared" si="10"/>
        <v>100</v>
      </c>
      <c r="T34" s="3764" t="s">
        <v>13</v>
      </c>
      <c r="U34" s="3766">
        <f t="shared" si="11"/>
        <v>100</v>
      </c>
      <c r="V34" s="3764" t="s">
        <v>13</v>
      </c>
      <c r="W34" s="3766">
        <f t="shared" si="12"/>
        <v>100</v>
      </c>
      <c r="X34" s="910"/>
      <c r="Y34" s="4512" t="s">
        <v>1606</v>
      </c>
      <c r="Z34" s="908">
        <f t="shared" si="13"/>
        <v>111</v>
      </c>
      <c r="AA34" s="908">
        <f t="shared" si="3"/>
        <v>1</v>
      </c>
      <c r="AB34" s="908">
        <f t="shared" si="4"/>
        <v>1</v>
      </c>
      <c r="AC34" s="908">
        <f t="shared" si="5"/>
        <v>1</v>
      </c>
    </row>
    <row r="35" spans="1:31" s="279" customFormat="1" ht="15.75"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79"/>
      <c r="M35" s="1981"/>
      <c r="N35" s="1981"/>
      <c r="O35" s="2031"/>
      <c r="P35" s="4584"/>
      <c r="Q35" s="1507">
        <f t="shared" si="8"/>
        <v>111</v>
      </c>
      <c r="R35" s="3765" t="s">
        <v>13</v>
      </c>
      <c r="S35" s="3767">
        <f t="shared" si="10"/>
        <v>100</v>
      </c>
      <c r="T35" s="3765" t="s">
        <v>13</v>
      </c>
      <c r="U35" s="3767">
        <f t="shared" si="11"/>
        <v>100</v>
      </c>
      <c r="V35" s="3765" t="s">
        <v>13</v>
      </c>
      <c r="W35" s="3767">
        <f t="shared" si="12"/>
        <v>100</v>
      </c>
      <c r="X35" s="484"/>
      <c r="Y35" s="4512"/>
      <c r="Z35" s="485">
        <f t="shared" si="13"/>
        <v>111</v>
      </c>
      <c r="AA35" s="908">
        <f t="shared" si="3"/>
        <v>1</v>
      </c>
      <c r="AB35" s="908">
        <f t="shared" si="4"/>
        <v>1</v>
      </c>
      <c r="AC35" s="908">
        <f t="shared" si="5"/>
        <v>1</v>
      </c>
    </row>
    <row r="36" spans="1:31" ht="15">
      <c r="A36" s="3097" t="s">
        <v>1604</v>
      </c>
      <c r="B36" s="2799" t="s">
        <v>1784</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0"/>
      <c r="M36" s="1975"/>
      <c r="N36" s="1975"/>
      <c r="O36" s="2030"/>
      <c r="P36" s="4584"/>
      <c r="Q36" s="1507" t="str">
        <f>B36</f>
        <v>宗地面积</v>
      </c>
      <c r="R36" s="3764" t="s">
        <v>13</v>
      </c>
      <c r="S36" s="3766" t="e">
        <f t="shared" si="10"/>
        <v>#N/A</v>
      </c>
      <c r="T36" s="3764" t="s">
        <v>13</v>
      </c>
      <c r="U36" s="3766" t="e">
        <f t="shared" si="11"/>
        <v>#N/A</v>
      </c>
      <c r="V36" s="3764" t="s">
        <v>13</v>
      </c>
      <c r="W36" s="3766" t="e">
        <f t="shared" si="12"/>
        <v>#N/A</v>
      </c>
      <c r="X36" s="910"/>
      <c r="Y36" s="4512"/>
      <c r="Z36" s="908" t="str">
        <f t="shared" si="13"/>
        <v>宗地面积</v>
      </c>
      <c r="AA36" s="908" t="e">
        <f t="shared" si="3"/>
        <v>#N/A</v>
      </c>
      <c r="AB36" s="908" t="e">
        <f t="shared" si="4"/>
        <v>#N/A</v>
      </c>
      <c r="AC36" s="908" t="e">
        <f t="shared" si="5"/>
        <v>#N/A</v>
      </c>
    </row>
    <row r="37" spans="1:31" ht="15">
      <c r="A37" s="3108"/>
      <c r="B37" s="2790" t="s">
        <v>1785</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0"/>
      <c r="M37" s="1975"/>
      <c r="N37" s="1975"/>
      <c r="O37" s="2030"/>
      <c r="P37" s="4584"/>
      <c r="Q37" s="1507" t="str">
        <f t="shared" ref="Q37:Q42" si="14">B37</f>
        <v>宗地形状</v>
      </c>
      <c r="R37" s="3764" t="s">
        <v>13</v>
      </c>
      <c r="S37" s="3766">
        <f t="shared" si="10"/>
        <v>100</v>
      </c>
      <c r="T37" s="3764" t="s">
        <v>13</v>
      </c>
      <c r="U37" s="3766">
        <f t="shared" si="11"/>
        <v>100</v>
      </c>
      <c r="V37" s="3764" t="s">
        <v>13</v>
      </c>
      <c r="W37" s="3766">
        <f t="shared" si="12"/>
        <v>100</v>
      </c>
      <c r="X37" s="910"/>
      <c r="Y37" s="4512"/>
      <c r="Z37" s="908" t="str">
        <f t="shared" si="13"/>
        <v>宗地形状</v>
      </c>
      <c r="AA37" s="908">
        <f t="shared" si="3"/>
        <v>1</v>
      </c>
      <c r="AB37" s="908">
        <f t="shared" si="4"/>
        <v>1</v>
      </c>
      <c r="AC37" s="908">
        <f t="shared" si="5"/>
        <v>1</v>
      </c>
    </row>
    <row r="38" spans="1:31" s="46" customFormat="1" ht="15">
      <c r="A38" s="3110"/>
      <c r="B38" s="2790" t="s">
        <v>1787</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6"/>
      <c r="M38" s="1929"/>
      <c r="N38" s="1929"/>
      <c r="O38" s="2028"/>
      <c r="P38" s="4584"/>
      <c r="Q38" s="1507" t="str">
        <f t="shared" si="14"/>
        <v>宗地开发程度</v>
      </c>
      <c r="R38" s="3763" t="s">
        <v>13</v>
      </c>
      <c r="S38" s="3543">
        <f t="shared" si="10"/>
        <v>100</v>
      </c>
      <c r="T38" s="3763" t="s">
        <v>13</v>
      </c>
      <c r="U38" s="3543">
        <f t="shared" si="11"/>
        <v>100</v>
      </c>
      <c r="V38" s="3763" t="s">
        <v>13</v>
      </c>
      <c r="W38" s="3543">
        <f t="shared" si="12"/>
        <v>100</v>
      </c>
      <c r="X38" s="482"/>
      <c r="Y38" s="4512"/>
      <c r="Z38" s="28" t="str">
        <f t="shared" si="13"/>
        <v>宗地开发程度</v>
      </c>
      <c r="AA38" s="28">
        <f t="shared" si="3"/>
        <v>1</v>
      </c>
      <c r="AB38" s="28">
        <f t="shared" si="4"/>
        <v>1</v>
      </c>
      <c r="AC38" s="28">
        <f t="shared" si="5"/>
        <v>1</v>
      </c>
    </row>
    <row r="39" spans="1:31" ht="15">
      <c r="A39" s="3108"/>
      <c r="B39" s="2790" t="s">
        <v>1788</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0"/>
      <c r="M39" s="1975"/>
      <c r="N39" s="1975"/>
      <c r="O39" s="2030"/>
      <c r="P39" s="4584" t="s">
        <v>1606</v>
      </c>
      <c r="Q39" s="1507" t="str">
        <f t="shared" si="14"/>
        <v>工程地质条件</v>
      </c>
      <c r="R39" s="3764" t="s">
        <v>13</v>
      </c>
      <c r="S39" s="3766">
        <f t="shared" si="10"/>
        <v>100</v>
      </c>
      <c r="T39" s="3764" t="s">
        <v>13</v>
      </c>
      <c r="U39" s="3766">
        <f t="shared" si="11"/>
        <v>100</v>
      </c>
      <c r="V39" s="3764" t="s">
        <v>13</v>
      </c>
      <c r="W39" s="3766">
        <f t="shared" si="12"/>
        <v>100</v>
      </c>
      <c r="X39" s="910"/>
      <c r="Y39" s="4512"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0"/>
      <c r="M40" s="1975"/>
      <c r="N40" s="1975"/>
      <c r="O40" s="2030"/>
      <c r="P40" s="4584"/>
      <c r="Q40" s="1507">
        <f t="shared" si="14"/>
        <v>111</v>
      </c>
      <c r="R40" s="3764" t="s">
        <v>13</v>
      </c>
      <c r="S40" s="3766">
        <f t="shared" si="10"/>
        <v>100</v>
      </c>
      <c r="T40" s="3764" t="s">
        <v>13</v>
      </c>
      <c r="U40" s="3766">
        <f t="shared" si="11"/>
        <v>100</v>
      </c>
      <c r="V40" s="3764" t="s">
        <v>13</v>
      </c>
      <c r="W40" s="3766">
        <f t="shared" si="12"/>
        <v>100</v>
      </c>
      <c r="X40" s="910"/>
      <c r="Y40" s="4512"/>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0"/>
      <c r="M41" s="1975"/>
      <c r="N41" s="1975"/>
      <c r="O41" s="2030"/>
      <c r="P41" s="4584"/>
      <c r="Q41" s="1507">
        <f t="shared" si="14"/>
        <v>111</v>
      </c>
      <c r="R41" s="3764" t="s">
        <v>13</v>
      </c>
      <c r="S41" s="3766">
        <f t="shared" si="10"/>
        <v>100</v>
      </c>
      <c r="T41" s="3764" t="s">
        <v>13</v>
      </c>
      <c r="U41" s="3766">
        <f t="shared" si="11"/>
        <v>100</v>
      </c>
      <c r="V41" s="3764" t="s">
        <v>13</v>
      </c>
      <c r="W41" s="3766">
        <f t="shared" si="12"/>
        <v>100</v>
      </c>
      <c r="X41" s="910"/>
      <c r="Y41" s="4512"/>
      <c r="Z41" s="908">
        <f t="shared" si="13"/>
        <v>111</v>
      </c>
      <c r="AA41" s="908">
        <f t="shared" si="3"/>
        <v>1</v>
      </c>
      <c r="AB41" s="908">
        <f t="shared" si="4"/>
        <v>1</v>
      </c>
      <c r="AC41" s="908">
        <f t="shared" si="5"/>
        <v>1</v>
      </c>
    </row>
    <row r="42" spans="1:31" s="279" customFormat="1" ht="15.75"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79"/>
      <c r="M42" s="1981"/>
      <c r="N42" s="1981"/>
      <c r="O42" s="2031"/>
      <c r="P42" s="4584"/>
      <c r="Q42" s="1507">
        <f t="shared" si="14"/>
        <v>111</v>
      </c>
      <c r="R42" s="3765" t="s">
        <v>13</v>
      </c>
      <c r="S42" s="3767">
        <f t="shared" si="10"/>
        <v>100</v>
      </c>
      <c r="T42" s="3765" t="s">
        <v>13</v>
      </c>
      <c r="U42" s="3767">
        <f t="shared" si="11"/>
        <v>100</v>
      </c>
      <c r="V42" s="3765" t="s">
        <v>13</v>
      </c>
      <c r="W42" s="3767">
        <f t="shared" si="12"/>
        <v>100</v>
      </c>
      <c r="X42" s="484"/>
      <c r="Y42" s="4512"/>
      <c r="Z42" s="485">
        <f t="shared" si="13"/>
        <v>111</v>
      </c>
      <c r="AA42" s="908">
        <f t="shared" si="3"/>
        <v>1</v>
      </c>
      <c r="AB42" s="908">
        <f t="shared" si="4"/>
        <v>1</v>
      </c>
      <c r="AC42" s="908">
        <f t="shared" si="5"/>
        <v>1</v>
      </c>
    </row>
    <row r="43" spans="1:31" ht="15">
      <c r="A43" s="286" t="s">
        <v>1754</v>
      </c>
      <c r="B43" s="1430" t="s">
        <v>1832</v>
      </c>
      <c r="C43" s="439" t="s">
        <v>0</v>
      </c>
      <c r="D43" s="3177"/>
      <c r="E43" s="3206"/>
      <c r="F43" s="3154"/>
      <c r="G43" s="3207"/>
      <c r="H43" s="3155"/>
      <c r="I43" s="3206"/>
      <c r="J43" s="3155"/>
      <c r="K43" s="2863"/>
      <c r="L43" s="1982"/>
      <c r="M43" s="1975"/>
      <c r="N43" s="1975"/>
      <c r="O43" s="1975"/>
      <c r="P43" s="4514" t="str">
        <f>A43</f>
        <v>成交单价</v>
      </c>
      <c r="Q43" s="4514"/>
      <c r="R43" s="4515">
        <f>E43</f>
        <v>0</v>
      </c>
      <c r="S43" s="4515"/>
      <c r="T43" s="4515">
        <f>G43</f>
        <v>0</v>
      </c>
      <c r="U43" s="4515"/>
      <c r="V43" s="4515">
        <f>I43</f>
        <v>0</v>
      </c>
      <c r="W43" s="4515"/>
      <c r="X43" s="265"/>
      <c r="Y43" s="486"/>
      <c r="Z43" s="265"/>
      <c r="AA43" s="265"/>
      <c r="AB43" s="265"/>
      <c r="AC43" s="265"/>
    </row>
    <row r="44" spans="1:31" ht="15.75" thickBot="1">
      <c r="A44" s="289" t="s">
        <v>1703</v>
      </c>
      <c r="B44" s="440"/>
      <c r="C44" s="3748" t="e">
        <f>R45</f>
        <v>#DIV/0!</v>
      </c>
      <c r="D44" s="3852" t="s">
        <v>2045</v>
      </c>
      <c r="E44" s="3748" t="e">
        <f>R44</f>
        <v>#DIV/0!</v>
      </c>
      <c r="F44" s="2802"/>
      <c r="G44" s="3737" t="e">
        <f>T44</f>
        <v>#DIV/0!</v>
      </c>
      <c r="H44" s="2802"/>
      <c r="I44" s="3748" t="e">
        <f>V44</f>
        <v>#DIV/0!</v>
      </c>
      <c r="J44" s="2802"/>
      <c r="K44" s="2856">
        <f>F44+H44+J44</f>
        <v>0</v>
      </c>
      <c r="L44" s="1982"/>
      <c r="M44" s="1975"/>
      <c r="N44" s="1975"/>
      <c r="O44" s="1975"/>
      <c r="P44" s="4514" t="str">
        <f>A44</f>
        <v>比较价值（元/平方米）</v>
      </c>
      <c r="Q44" s="4514"/>
      <c r="R44" s="4515" t="e">
        <f>ROUND(PRODUCT(R43,AA9:AA42),0)</f>
        <v>#DIV/0!</v>
      </c>
      <c r="S44" s="4515"/>
      <c r="T44" s="4515" t="e">
        <f>ROUND(PRODUCT(T43,AB9:AB42),0)</f>
        <v>#DIV/0!</v>
      </c>
      <c r="U44" s="4515"/>
      <c r="V44" s="4515" t="e">
        <f>ROUND(PRODUCT(V43,AC9:AC42),0)</f>
        <v>#DIV/0!</v>
      </c>
      <c r="W44" s="4515"/>
      <c r="X44" s="265"/>
      <c r="Y44" s="265"/>
      <c r="Z44" s="265"/>
      <c r="AA44" s="265"/>
      <c r="AB44" s="265"/>
      <c r="AC44" s="265"/>
    </row>
    <row r="45" spans="1:31" ht="15.75" thickBot="1">
      <c r="A45" s="291" t="s">
        <v>1704</v>
      </c>
      <c r="B45" s="292"/>
      <c r="C45" s="3749" t="e">
        <f>R45</f>
        <v>#DIV/0!</v>
      </c>
      <c r="D45" s="3156"/>
      <c r="E45" s="3156"/>
      <c r="F45" s="3156"/>
      <c r="G45" s="3156"/>
      <c r="H45" s="3156"/>
      <c r="I45" s="3156"/>
      <c r="J45" s="3156"/>
      <c r="K45" s="3178"/>
      <c r="L45" s="1982"/>
      <c r="M45" s="1975"/>
      <c r="N45" s="1975"/>
      <c r="O45" s="1975"/>
      <c r="P45" s="4574" t="str">
        <f>A45</f>
        <v>估价对象XX用房的比较价值（楼面单价，元/平方米）</v>
      </c>
      <c r="Q45" s="4575"/>
      <c r="R45" s="4576" t="e">
        <f>ROUND(IF(D44="简单平均",AVERAGE(R44:W44),R44*F44+T44*H44+V44*J44),0)</f>
        <v>#DIV/0!</v>
      </c>
      <c r="S45" s="4576"/>
      <c r="T45" s="4576"/>
      <c r="U45" s="4576"/>
      <c r="V45" s="4576"/>
      <c r="W45" s="457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82" t="s">
        <v>1797</v>
      </c>
      <c r="H52" s="4598"/>
      <c r="I52" s="3031" t="s">
        <v>1833</v>
      </c>
      <c r="J52" s="3031">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7" t="e">
        <f>C45</f>
        <v>#DIV/0!</v>
      </c>
      <c r="C53" s="3089">
        <v>1</v>
      </c>
      <c r="D53" s="3066">
        <v>1</v>
      </c>
      <c r="E53" s="3065">
        <f>'数据-汇总表'!E8+'数据-汇总表'!E9</f>
        <v>109.4</v>
      </c>
      <c r="F53" s="3068" t="e">
        <f t="shared" ref="F53:F62" si="15">ROUND(B53*E53/10000,0)</f>
        <v>#DIV/0!</v>
      </c>
      <c r="G53" s="4599"/>
      <c r="H53" s="458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7" t="e">
        <f>ROUND($C$45*C54*D54,0)</f>
        <v>#DIV/0!</v>
      </c>
      <c r="C54" s="3064">
        <f t="shared" ref="C54:C62" si="16">IF($C$52="北京市系数",I54,J54)</f>
        <v>0</v>
      </c>
      <c r="D54" s="3067">
        <v>0.25</v>
      </c>
      <c r="E54" s="3069"/>
      <c r="F54" s="3068" t="e">
        <f t="shared" si="15"/>
        <v>#DIV/0!</v>
      </c>
      <c r="G54" s="3076" t="s">
        <v>1802</v>
      </c>
      <c r="H54" s="3073">
        <f>项目基本情况!B37</f>
        <v>0</v>
      </c>
      <c r="I54" s="2731">
        <f>SUMIF(修正!A59:A70,H54,修正!B59:B70)</f>
        <v>0</v>
      </c>
      <c r="J54" s="3074"/>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7" t="e">
        <f t="shared" ref="B55:B62" si="17">ROUND($C$45*C55*D55,0)</f>
        <v>#DIV/0!</v>
      </c>
      <c r="C55" s="3064">
        <f t="shared" si="16"/>
        <v>0</v>
      </c>
      <c r="D55" s="3067">
        <v>0.25</v>
      </c>
      <c r="E55" s="3069"/>
      <c r="F55" s="3068" t="e">
        <f t="shared" si="15"/>
        <v>#DIV/0!</v>
      </c>
      <c r="G55" s="3077"/>
      <c r="H55" s="3073">
        <f>项目基本情况!B37</f>
        <v>0</v>
      </c>
      <c r="I55" s="2731">
        <f>SUMIF(修正!A59:A70,H55,修正!C59:C70)</f>
        <v>0</v>
      </c>
      <c r="J55" s="3074"/>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7" t="e">
        <f t="shared" si="17"/>
        <v>#DIV/0!</v>
      </c>
      <c r="C56" s="3064">
        <f t="shared" si="16"/>
        <v>0</v>
      </c>
      <c r="D56" s="3067">
        <v>0.25</v>
      </c>
      <c r="E56" s="3069"/>
      <c r="F56" s="3068" t="e">
        <f t="shared" si="15"/>
        <v>#DIV/0!</v>
      </c>
      <c r="G56" s="3077"/>
      <c r="H56" s="3073">
        <f>项目基本情况!B37</f>
        <v>0</v>
      </c>
      <c r="I56" s="2731">
        <f>SUMIF(修正!A59:A70,H56,修正!D59:D70)</f>
        <v>0</v>
      </c>
      <c r="J56" s="3074"/>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7"/>
      <c r="C57" s="3064"/>
      <c r="D57" s="3067"/>
      <c r="E57" s="3069"/>
      <c r="F57" s="3068"/>
      <c r="G57" s="3078"/>
      <c r="H57" s="3073"/>
      <c r="I57" s="2731"/>
      <c r="J57" s="3074"/>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7" t="e">
        <f t="shared" si="17"/>
        <v>#DIV/0!</v>
      </c>
      <c r="C58" s="3064">
        <f t="shared" si="16"/>
        <v>0</v>
      </c>
      <c r="D58" s="3067">
        <v>0.25</v>
      </c>
      <c r="E58" s="3070">
        <f>'数据-汇总表'!E11</f>
        <v>0</v>
      </c>
      <c r="F58" s="3068" t="e">
        <f t="shared" si="15"/>
        <v>#DIV/0!</v>
      </c>
      <c r="G58" s="3079" t="s">
        <v>1806</v>
      </c>
      <c r="H58" s="3073">
        <f>项目基本情况!C37</f>
        <v>0</v>
      </c>
      <c r="I58" s="2731">
        <f>SUMIF(修正!A59:A70,H58,修正!E59:E70)</f>
        <v>0</v>
      </c>
      <c r="J58" s="3074"/>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7" t="e">
        <f t="shared" si="17"/>
        <v>#DIV/0!</v>
      </c>
      <c r="C59" s="3064">
        <f t="shared" si="16"/>
        <v>0</v>
      </c>
      <c r="D59" s="3067">
        <v>0.25</v>
      </c>
      <c r="E59" s="3070">
        <f>'数据-汇总表'!E12</f>
        <v>0</v>
      </c>
      <c r="F59" s="3068" t="e">
        <f t="shared" si="15"/>
        <v>#DIV/0!</v>
      </c>
      <c r="G59" s="3080" t="s">
        <v>1808</v>
      </c>
      <c r="H59" s="3073">
        <f>IF(G59="商业",项目基本情况!B37,IF(G59="办公",项目基本情况!C37,IF(G59="住宅",项目基本情况!D37,项目基本情况!E37)))</f>
        <v>0</v>
      </c>
      <c r="I59" s="2731">
        <f>SUMIF(修正!A59:A70,H59,修正!F59:F70)</f>
        <v>0</v>
      </c>
      <c r="J59" s="3074"/>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7" t="e">
        <f t="shared" si="17"/>
        <v>#DIV/0!</v>
      </c>
      <c r="C60" s="3064">
        <f t="shared" si="16"/>
        <v>0</v>
      </c>
      <c r="D60" s="3067">
        <v>0.25</v>
      </c>
      <c r="E60" s="3070">
        <f>'数据-汇总表'!E13</f>
        <v>0</v>
      </c>
      <c r="F60" s="3068" t="e">
        <f t="shared" si="15"/>
        <v>#DIV/0!</v>
      </c>
      <c r="G60" s="3080" t="s">
        <v>1810</v>
      </c>
      <c r="H60" s="3073">
        <f>IF(G60="商业",项目基本情况!B37,IF(G60="办公",项目基本情况!C37,IF(G60="住宅",项目基本情况!D37,项目基本情况!E37)))</f>
        <v>0</v>
      </c>
      <c r="I60" s="2731">
        <f>SUMIF(修正!A59:A70,H60,修正!G59:G70)</f>
        <v>0</v>
      </c>
      <c r="J60" s="3074"/>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7" t="e">
        <f t="shared" si="17"/>
        <v>#DIV/0!</v>
      </c>
      <c r="C61" s="3064">
        <f t="shared" si="16"/>
        <v>0</v>
      </c>
      <c r="D61" s="3067">
        <v>0.25</v>
      </c>
      <c r="E61" s="3070">
        <f>'数据-汇总表'!E14</f>
        <v>0</v>
      </c>
      <c r="F61" s="3068" t="e">
        <f t="shared" si="15"/>
        <v>#DIV/0!</v>
      </c>
      <c r="G61" s="3079" t="s">
        <v>1802</v>
      </c>
      <c r="H61" s="3073">
        <f>项目基本情况!B37</f>
        <v>0</v>
      </c>
      <c r="I61" s="2731">
        <f>SUMIF(修正!A59:A70,H61,修正!G59:G70)</f>
        <v>0</v>
      </c>
      <c r="J61" s="3074"/>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7" t="e">
        <f t="shared" si="17"/>
        <v>#DIV/0!</v>
      </c>
      <c r="C62" s="3064">
        <f t="shared" si="16"/>
        <v>0</v>
      </c>
      <c r="D62" s="3067">
        <v>0.25</v>
      </c>
      <c r="E62" s="3070">
        <f>'数据-汇总表'!E15</f>
        <v>0</v>
      </c>
      <c r="F62" s="3068" t="e">
        <f t="shared" si="15"/>
        <v>#DIV/0!</v>
      </c>
      <c r="G62" s="3081" t="s">
        <v>1806</v>
      </c>
      <c r="H62" s="3075">
        <f>项目基本情况!C37</f>
        <v>0</v>
      </c>
      <c r="I62" s="2731">
        <f>SUMIF(修正!A59:A70,H62,修正!G59:G70)</f>
        <v>0</v>
      </c>
      <c r="J62" s="3074"/>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1">
        <f>IF(B43="楼面地价",SUM(E53:E62),'数据-汇总表'!D3)</f>
        <v>0</v>
      </c>
      <c r="F63" s="3072"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-2</v>
      </c>
      <c r="C2" s="171" t="s">
        <v>1534</v>
      </c>
      <c r="D2" s="3326"/>
      <c r="E2" s="2045"/>
      <c r="G2" s="2045"/>
      <c r="H2" s="2045"/>
      <c r="I2" s="2045"/>
      <c r="J2" s="2045"/>
      <c r="K2" s="2045"/>
    </row>
    <row r="3" spans="1:33" ht="18" customHeight="1">
      <c r="A3" s="98" t="s">
        <v>1433</v>
      </c>
      <c r="B3" s="2523">
        <f ca="1">ROUND(B2*10000/IF(C1="",'数据-汇总表'!E3,INDIRECT("'数据-取费表'!K"&amp;$K$1)),0)</f>
        <v>-183</v>
      </c>
      <c r="C3" s="171" t="s">
        <v>1535</v>
      </c>
      <c r="E3" s="514"/>
      <c r="I3" s="2045"/>
      <c r="J3" s="2045"/>
      <c r="K3" s="2045"/>
    </row>
    <row r="4" spans="1:33" ht="18" customHeight="1">
      <c r="A4" s="3379" t="s">
        <v>3635</v>
      </c>
      <c r="B4" s="3384" t="e">
        <f ca="1">ROUND(B2*10000/IF(C1="",'数据-汇总表'!D3,INDIRECT("'数据-取费表'!R"&amp;$K$1)),0)</f>
        <v>#DIV/0!</v>
      </c>
      <c r="C4" s="3383" t="s">
        <v>1535</v>
      </c>
      <c r="E4" s="514"/>
      <c r="I4" s="2045"/>
      <c r="J4" s="2045"/>
      <c r="K4" s="2045"/>
    </row>
    <row r="5" spans="1:33" ht="18" customHeight="1" thickBot="1">
      <c r="A5" s="94"/>
      <c r="B5" s="3380" t="e">
        <f ca="1">ROUND(B2/(IF(C1="",'数据-汇总表'!D3,INDIRECT("'数据-取费表'!R"&amp;$K$1))/666.67),0)</f>
        <v>#DIV/0!</v>
      </c>
      <c r="C5" s="3382" t="s">
        <v>3633</v>
      </c>
      <c r="E5" s="514"/>
      <c r="I5" s="2045"/>
      <c r="J5" s="2045"/>
      <c r="K5" s="2045"/>
    </row>
    <row r="6" spans="1:33" s="515" customFormat="1" ht="16.5" customHeight="1">
      <c r="A6" s="2653" t="s">
        <v>3379</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3972</v>
      </c>
      <c r="B10" s="4077" t="s">
        <v>3971</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08" t="s">
        <v>3394</v>
      </c>
      <c r="B11" s="4609"/>
      <c r="C11" s="4609"/>
      <c r="D11" s="4609"/>
      <c r="E11" s="4609"/>
      <c r="F11" s="4609"/>
      <c r="G11" s="4609"/>
      <c r="H11" s="4609"/>
      <c r="I11" s="4609"/>
      <c r="J11" s="4609"/>
      <c r="K11" s="4610"/>
    </row>
    <row r="12" spans="1:33" s="4074" customFormat="1" ht="13.5" customHeight="1">
      <c r="A12" s="3212" t="s">
        <v>3517</v>
      </c>
      <c r="B12" s="4071" t="s">
        <v>1540</v>
      </c>
      <c r="C12" s="4075" t="s">
        <v>3968</v>
      </c>
      <c r="D12" s="4071" t="s">
        <v>1542</v>
      </c>
      <c r="E12" s="4071" t="s">
        <v>1543</v>
      </c>
      <c r="F12" s="4071" t="s">
        <v>1544</v>
      </c>
      <c r="G12" s="4072" t="s">
        <v>3405</v>
      </c>
      <c r="H12" s="4071"/>
      <c r="I12" s="4071"/>
      <c r="J12" s="4071"/>
      <c r="K12" s="4073"/>
    </row>
    <row r="13" spans="1:33" s="521" customFormat="1" ht="13.5" customHeight="1">
      <c r="A13" s="2493">
        <v>1</v>
      </c>
      <c r="B13" s="2677" t="s">
        <v>3380</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8" t="s">
        <v>3673</v>
      </c>
      <c r="H14" s="25"/>
      <c r="I14" s="25"/>
      <c r="J14" s="25"/>
      <c r="K14" s="27"/>
    </row>
    <row r="15" spans="1:33" s="523" customFormat="1" ht="13.5" customHeight="1">
      <c r="A15" s="2493">
        <v>3</v>
      </c>
      <c r="B15" s="2655" t="s">
        <v>3382</v>
      </c>
      <c r="C15" s="2663">
        <f ca="1">SUM(C16:C19)+C25+C26</f>
        <v>2</v>
      </c>
      <c r="D15" s="530"/>
      <c r="E15" s="173"/>
      <c r="F15" s="2663"/>
      <c r="G15" s="2715" t="s">
        <v>3674</v>
      </c>
      <c r="H15" s="55"/>
      <c r="I15" s="55"/>
      <c r="J15" s="55"/>
      <c r="K15" s="2680"/>
    </row>
    <row r="16" spans="1:33" s="523" customFormat="1" ht="13.5" customHeight="1">
      <c r="A16" s="519" t="s">
        <v>355</v>
      </c>
      <c r="B16" s="2694" t="s">
        <v>3395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3396</v>
      </c>
      <c r="C17" s="2702">
        <f ca="1">ROUND(C16*F17,0)</f>
        <v>0</v>
      </c>
      <c r="D17" s="522"/>
      <c r="E17" s="55"/>
      <c r="F17" s="2671">
        <f>'数据-取费表'!B33</f>
        <v>0.06</v>
      </c>
      <c r="G17" s="3410" t="s">
        <v>3684</v>
      </c>
      <c r="H17" s="2678"/>
      <c r="I17" s="2678"/>
      <c r="J17" s="2678"/>
      <c r="K17" s="2679"/>
    </row>
    <row r="18" spans="1:33" s="523" customFormat="1" ht="13.5" customHeight="1">
      <c r="A18" s="519" t="s">
        <v>1539</v>
      </c>
      <c r="B18" s="2694" t="s">
        <v>3397</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3384</v>
      </c>
      <c r="B19" s="2694" t="s">
        <v>3398</v>
      </c>
      <c r="C19" s="2702">
        <f ca="1">C20+C23+C24</f>
        <v>2</v>
      </c>
      <c r="D19" s="539"/>
      <c r="E19" s="55"/>
      <c r="F19" s="2671"/>
      <c r="G19" s="2678"/>
      <c r="H19" s="2678"/>
      <c r="I19" s="2678"/>
      <c r="J19" s="2678"/>
      <c r="K19" s="2679"/>
    </row>
    <row r="20" spans="1:33" s="523" customFormat="1" ht="13.5" customHeight="1">
      <c r="A20" s="2656" t="s">
        <v>3387</v>
      </c>
      <c r="B20" s="2681" t="s">
        <v>1550</v>
      </c>
      <c r="C20" s="2702">
        <f ca="1">C21+C22-IF(C1="",'数据-取费表'!B29,IF(G20="已全部缴纳",C21+C22,H20))</f>
        <v>2</v>
      </c>
      <c r="D20" s="539"/>
      <c r="E20" s="12"/>
      <c r="F20" s="2672"/>
      <c r="G20" s="2682"/>
      <c r="H20" s="2683"/>
      <c r="I20" s="2684" t="s">
        <v>1551</v>
      </c>
      <c r="J20" s="55"/>
      <c r="K20" s="2680"/>
    </row>
    <row r="21" spans="1:33" s="523" customFormat="1" ht="13.5" customHeight="1">
      <c r="A21" s="2696" t="s">
        <v>3390</v>
      </c>
      <c r="B21" s="2697" t="s">
        <v>3401</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3391</v>
      </c>
      <c r="B22" s="2697" t="s">
        <v>3402</v>
      </c>
      <c r="C22" s="2703">
        <f ca="1">ROUND(D22*E22/10000,0)</f>
        <v>2</v>
      </c>
      <c r="D22" s="2705">
        <f ca="1">IF(C1="",'数据-汇总表'!E6,IF(INDIRECT("'数据-取费表'!c"&amp;$K$1)="住宅",INDIRECT("'数据-取费表'!s"&amp;$K$1),INDIRECT("'数据-取费表'!k"&amp;$K$1)+INDIRECT("'数据-取费表'!s"&amp;$K$1)))</f>
        <v>109.4</v>
      </c>
      <c r="E22" s="2703">
        <f>'数据-取费表'!B28</f>
        <v>200</v>
      </c>
      <c r="F22" s="2698"/>
      <c r="G22" s="186"/>
      <c r="H22" s="186"/>
      <c r="I22" s="186"/>
      <c r="J22" s="186"/>
      <c r="K22" s="1868"/>
    </row>
    <row r="23" spans="1:33" s="524" customFormat="1" ht="13.5" customHeight="1">
      <c r="A23" s="2656" t="s">
        <v>3388</v>
      </c>
      <c r="B23" s="2681" t="s">
        <v>1546</v>
      </c>
      <c r="C23" s="2702">
        <f ca="1">ROUND(D23*E23*F16/10000,0)</f>
        <v>0</v>
      </c>
      <c r="D23" s="2706">
        <f ca="1">IF(C1="",'数据-汇总表'!E3,INDIRECT("'数据-取费表'!K"&amp;$K$1)+INDIRECT("'数据-取费表'!S"&amp;$K$1))</f>
        <v>109.4</v>
      </c>
      <c r="E23" s="2702">
        <f>'数据-取费表'!B35</f>
        <v>350</v>
      </c>
      <c r="F23" s="2672"/>
      <c r="G23" s="2677" t="s">
        <v>3675</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3389</v>
      </c>
      <c r="B24" s="2681" t="s">
        <v>1548</v>
      </c>
      <c r="C24" s="2702">
        <f ca="1">ROUND(D24*E24/10000,0)</f>
        <v>0</v>
      </c>
      <c r="D24" s="2706">
        <f ca="1">D23</f>
        <v>109.4</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3385</v>
      </c>
      <c r="B25" s="2695" t="s">
        <v>3399</v>
      </c>
      <c r="C25" s="2666">
        <f ca="1">ROUND(C16*F25,0)</f>
        <v>0</v>
      </c>
      <c r="D25" s="2657"/>
      <c r="E25" s="2658"/>
      <c r="F25" s="2671">
        <f>'数据-取费表'!B36</f>
        <v>0.01</v>
      </c>
      <c r="G25" s="2657"/>
      <c r="H25" s="2657"/>
      <c r="I25" s="2657"/>
      <c r="J25" s="2657"/>
      <c r="K25" s="2685"/>
    </row>
    <row r="26" spans="1:33" s="524" customFormat="1" ht="13.5" customHeight="1">
      <c r="A26" s="2654" t="s">
        <v>3386</v>
      </c>
      <c r="B26" s="2694" t="s">
        <v>3400</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0.02</v>
      </c>
      <c r="G28" s="2678" t="s">
        <v>3676</v>
      </c>
      <c r="H28" s="2678"/>
      <c r="I28" s="2678"/>
      <c r="J28" s="2678"/>
      <c r="K28" s="2679"/>
    </row>
    <row r="29" spans="1:33" s="523" customFormat="1" ht="13.5" customHeight="1">
      <c r="A29" s="2493">
        <v>6</v>
      </c>
      <c r="B29" s="2655" t="s">
        <v>3383</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3403</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06" t="s">
        <v>3393</v>
      </c>
      <c r="H32" s="4606"/>
      <c r="I32" s="4606"/>
      <c r="J32" s="4606"/>
      <c r="K32" s="4607"/>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3403</v>
      </c>
      <c r="C35" s="2669">
        <f ca="1">ROUND((C15+C27+C28)*F33,0)</f>
        <v>0</v>
      </c>
      <c r="D35" s="174"/>
      <c r="E35" s="525"/>
      <c r="F35" s="2673"/>
      <c r="G35" s="55"/>
      <c r="H35" s="55"/>
      <c r="I35" s="55"/>
      <c r="J35" s="55"/>
      <c r="K35" s="2680"/>
    </row>
    <row r="36" spans="1:11" s="521" customFormat="1" ht="15">
      <c r="A36" s="2493">
        <v>9</v>
      </c>
      <c r="B36" s="2677" t="s">
        <v>3392</v>
      </c>
      <c r="C36" s="2662">
        <f ca="1">ROUND((C13-C15-C27-C28-C31-C35-C32)/(1+F14+C30+C34),0)</f>
        <v>-2</v>
      </c>
      <c r="D36" s="2678"/>
      <c r="E36" s="2678"/>
      <c r="F36" s="172"/>
      <c r="G36" s="2711" t="s">
        <v>3404</v>
      </c>
      <c r="H36" s="2678"/>
      <c r="I36" s="2678"/>
      <c r="J36" s="2678"/>
      <c r="K36" s="2679"/>
    </row>
    <row r="37" spans="1:11" s="2789" customFormat="1" ht="15.75" thickBot="1">
      <c r="A37" s="2691">
        <v>10</v>
      </c>
      <c r="B37" s="2692" t="s">
        <v>3481</v>
      </c>
      <c r="C37" s="2786">
        <f ca="1">ROUND(C36*(1+F37),0)</f>
        <v>-2</v>
      </c>
      <c r="D37" s="2787"/>
      <c r="E37" s="2788"/>
      <c r="F37" s="2693">
        <v>0.09</v>
      </c>
      <c r="G37" s="2677" t="s">
        <v>3482</v>
      </c>
      <c r="H37" s="2678"/>
      <c r="I37" s="2678"/>
      <c r="J37" s="2678"/>
      <c r="K37" s="2679"/>
    </row>
    <row r="38" spans="1:11" ht="12.75" customHeight="1"/>
    <row r="44" spans="1:11" s="3210" customFormat="1" ht="19.5" thickBot="1">
      <c r="A44" s="3215" t="s">
        <v>3490</v>
      </c>
      <c r="B44" s="1861"/>
      <c r="C44" s="3216"/>
      <c r="D44" s="1861"/>
      <c r="E44" s="1861"/>
      <c r="F44" s="1861"/>
      <c r="G44" s="1861"/>
    </row>
    <row r="45" spans="1:11" s="3210" customFormat="1" ht="15">
      <c r="A45" s="3212" t="s">
        <v>3517</v>
      </c>
      <c r="B45" s="2675" t="s">
        <v>1540</v>
      </c>
      <c r="C45" s="2676" t="s">
        <v>1541</v>
      </c>
      <c r="D45" s="1165" t="s">
        <v>1542</v>
      </c>
      <c r="E45" s="1165" t="s">
        <v>1543</v>
      </c>
      <c r="F45" s="1165" t="s">
        <v>1544</v>
      </c>
      <c r="G45" s="2712" t="s">
        <v>3405</v>
      </c>
    </row>
    <row r="46" spans="1:11" s="3210" customFormat="1">
      <c r="A46" s="626">
        <v>1</v>
      </c>
      <c r="B46" s="2695" t="s">
        <v>3491</v>
      </c>
      <c r="C46" s="2666">
        <f>C13</f>
        <v>0</v>
      </c>
      <c r="D46" s="626"/>
      <c r="E46" s="626"/>
      <c r="F46" s="626"/>
      <c r="G46" s="626"/>
    </row>
    <row r="47" spans="1:11" s="3210" customFormat="1">
      <c r="A47" s="626">
        <v>2</v>
      </c>
      <c r="B47" s="2695" t="s">
        <v>3493</v>
      </c>
      <c r="C47" s="2666" t="str">
        <f>C14</f>
        <v>0.0305V</v>
      </c>
      <c r="D47" s="626"/>
      <c r="E47" s="626"/>
      <c r="F47" s="626"/>
      <c r="G47" s="626"/>
    </row>
    <row r="48" spans="1:11" s="3210" customFormat="1">
      <c r="A48" s="626">
        <v>3</v>
      </c>
      <c r="B48" s="2695" t="s">
        <v>3492</v>
      </c>
      <c r="C48" s="2666" t="e">
        <f ca="1">C49+C59+C60+C63</f>
        <v>#VALUE!</v>
      </c>
      <c r="D48" s="626"/>
      <c r="E48" s="626"/>
      <c r="F48" s="626"/>
      <c r="G48" s="626"/>
    </row>
    <row r="49" spans="1:7" s="3210" customFormat="1">
      <c r="A49" s="3213" t="s">
        <v>355</v>
      </c>
      <c r="B49" s="2695" t="s">
        <v>3502</v>
      </c>
      <c r="C49" s="2666">
        <f ca="1">C50+C51+C52+C53+C57+C58</f>
        <v>2</v>
      </c>
      <c r="D49" s="626"/>
      <c r="E49" s="626"/>
      <c r="F49" s="626"/>
      <c r="G49" s="626"/>
    </row>
    <row r="50" spans="1:7" s="3210" customFormat="1">
      <c r="A50" s="3214" t="s">
        <v>3503</v>
      </c>
      <c r="B50" s="2695" t="s">
        <v>3507</v>
      </c>
      <c r="C50" s="2666">
        <f ca="1">C16</f>
        <v>0</v>
      </c>
      <c r="D50" s="626"/>
      <c r="E50" s="626"/>
      <c r="F50" s="626"/>
      <c r="G50" s="626"/>
    </row>
    <row r="51" spans="1:7" s="3210" customFormat="1">
      <c r="A51" s="3214" t="s">
        <v>3518</v>
      </c>
      <c r="B51" s="626" t="s">
        <v>3504</v>
      </c>
      <c r="C51" s="2666">
        <f t="shared" ref="C51:C53" ca="1" si="0">C17</f>
        <v>0</v>
      </c>
      <c r="D51" s="626"/>
      <c r="E51" s="626"/>
      <c r="F51" s="626"/>
      <c r="G51" s="626"/>
    </row>
    <row r="52" spans="1:7" s="3210" customFormat="1">
      <c r="A52" s="3214" t="s">
        <v>3519</v>
      </c>
      <c r="B52" s="626" t="s">
        <v>3505</v>
      </c>
      <c r="C52" s="2666">
        <f t="shared" ca="1" si="0"/>
        <v>0</v>
      </c>
      <c r="D52" s="626"/>
      <c r="E52" s="626"/>
      <c r="F52" s="626"/>
      <c r="G52" s="626"/>
    </row>
    <row r="53" spans="1:7" s="3210" customFormat="1">
      <c r="A53" s="3214" t="s">
        <v>3520</v>
      </c>
      <c r="B53" s="626" t="s">
        <v>3506</v>
      </c>
      <c r="C53" s="2666">
        <f t="shared" ca="1" si="0"/>
        <v>2</v>
      </c>
      <c r="D53" s="626"/>
      <c r="E53" s="626"/>
      <c r="F53" s="626"/>
      <c r="G53" s="626"/>
    </row>
    <row r="54" spans="1:7" s="3210" customFormat="1">
      <c r="A54" s="3405" t="s">
        <v>3390</v>
      </c>
      <c r="B54" s="3406" t="s">
        <v>3510</v>
      </c>
      <c r="C54" s="3407">
        <f ca="1">C20</f>
        <v>2</v>
      </c>
      <c r="D54" s="626"/>
      <c r="E54" s="626"/>
      <c r="F54" s="626"/>
      <c r="G54" s="626"/>
    </row>
    <row r="55" spans="1:7" s="3210" customFormat="1">
      <c r="A55" s="3405" t="s">
        <v>3391</v>
      </c>
      <c r="B55" s="3406" t="s">
        <v>3511</v>
      </c>
      <c r="C55" s="3407">
        <f ca="1">C23</f>
        <v>0</v>
      </c>
      <c r="D55" s="626"/>
      <c r="E55" s="626"/>
      <c r="F55" s="626"/>
      <c r="G55" s="626"/>
    </row>
    <row r="56" spans="1:7" s="3210" customFormat="1">
      <c r="A56" s="3405" t="s">
        <v>3670</v>
      </c>
      <c r="B56" s="3406" t="s">
        <v>3512</v>
      </c>
      <c r="C56" s="3407">
        <f ca="1">C24</f>
        <v>0</v>
      </c>
      <c r="D56" s="626"/>
      <c r="E56" s="626"/>
      <c r="F56" s="626"/>
      <c r="G56" s="626"/>
    </row>
    <row r="57" spans="1:7" s="3210" customFormat="1">
      <c r="A57" s="3214" t="s">
        <v>3521</v>
      </c>
      <c r="B57" s="626" t="s">
        <v>3508</v>
      </c>
      <c r="C57" s="2666">
        <f ca="1">C25</f>
        <v>0</v>
      </c>
      <c r="D57" s="626"/>
      <c r="E57" s="626"/>
      <c r="F57" s="626"/>
      <c r="G57" s="626"/>
    </row>
    <row r="58" spans="1:7" s="3210" customFormat="1">
      <c r="A58" s="3214" t="s">
        <v>3522</v>
      </c>
      <c r="B58" s="626" t="s">
        <v>3509</v>
      </c>
      <c r="C58" s="2666">
        <f ca="1">C26</f>
        <v>0</v>
      </c>
      <c r="D58" s="626"/>
      <c r="E58" s="626"/>
      <c r="F58" s="626"/>
      <c r="G58" s="626"/>
    </row>
    <row r="59" spans="1:7" s="3210" customFormat="1">
      <c r="A59" s="3213" t="s">
        <v>3501</v>
      </c>
      <c r="B59" s="2695" t="s">
        <v>3495</v>
      </c>
      <c r="C59" s="2666">
        <f ca="1">C27</f>
        <v>0</v>
      </c>
      <c r="D59" s="626"/>
      <c r="E59" s="626"/>
      <c r="F59" s="626"/>
      <c r="G59" s="626"/>
    </row>
    <row r="60" spans="1:7" s="3210" customFormat="1">
      <c r="A60" s="3213" t="s">
        <v>3513</v>
      </c>
      <c r="B60" s="2695" t="s">
        <v>3514</v>
      </c>
      <c r="C60" s="2666">
        <f ca="1">C61+C62</f>
        <v>0</v>
      </c>
      <c r="D60" s="626"/>
      <c r="E60" s="626"/>
      <c r="F60" s="626"/>
      <c r="G60" s="626"/>
    </row>
    <row r="61" spans="1:7" s="3210" customFormat="1">
      <c r="A61" s="3214" t="s">
        <v>3503</v>
      </c>
      <c r="B61" s="2695" t="s">
        <v>3498</v>
      </c>
      <c r="C61" s="2666">
        <f ca="1">C28</f>
        <v>0</v>
      </c>
      <c r="D61" s="626"/>
      <c r="E61" s="626"/>
      <c r="F61" s="626"/>
      <c r="G61" s="626"/>
    </row>
    <row r="62" spans="1:7" s="3210" customFormat="1">
      <c r="A62" s="3214" t="s">
        <v>3515</v>
      </c>
      <c r="B62" s="2695" t="s">
        <v>3497</v>
      </c>
      <c r="C62" s="2666">
        <f>C32</f>
        <v>0</v>
      </c>
      <c r="D62" s="626"/>
      <c r="E62" s="626"/>
      <c r="F62" s="626"/>
      <c r="G62" s="626"/>
    </row>
    <row r="63" spans="1:7" s="3210" customFormat="1">
      <c r="A63" s="3213" t="s">
        <v>3516</v>
      </c>
      <c r="B63" s="2695" t="s">
        <v>3496</v>
      </c>
      <c r="C63" s="2666" t="str">
        <f ca="1">C29</f>
        <v>0+0V</v>
      </c>
      <c r="D63" s="626"/>
      <c r="E63" s="626"/>
      <c r="F63" s="626"/>
      <c r="G63" s="626"/>
    </row>
    <row r="64" spans="1:7" s="3210" customFormat="1">
      <c r="A64" s="626">
        <v>4</v>
      </c>
      <c r="B64" s="2695" t="s">
        <v>3499</v>
      </c>
      <c r="C64" s="2666" t="str">
        <f ca="1">C33</f>
        <v>0+0V</v>
      </c>
      <c r="D64" s="626"/>
      <c r="E64" s="626"/>
      <c r="F64" s="626"/>
      <c r="G64" s="626"/>
    </row>
    <row r="65" spans="1:7" s="3210" customFormat="1">
      <c r="A65" s="626">
        <v>5</v>
      </c>
      <c r="B65" s="2695" t="s">
        <v>3500</v>
      </c>
      <c r="C65" s="2666">
        <f ca="1">C36</f>
        <v>-2</v>
      </c>
      <c r="D65" s="626"/>
      <c r="E65" s="626"/>
      <c r="F65" s="626"/>
      <c r="G65" s="626"/>
    </row>
    <row r="66" spans="1:7" s="3210" customFormat="1">
      <c r="A66" s="1860"/>
      <c r="C66" s="3211"/>
      <c r="E66" s="1860"/>
    </row>
    <row r="67" spans="1:7" s="3210" customFormat="1">
      <c r="A67" s="1860"/>
      <c r="C67" s="3211"/>
      <c r="E67" s="1860"/>
    </row>
    <row r="68" spans="1:7" s="3210" customFormat="1">
      <c r="A68" s="1860"/>
      <c r="C68" s="3211"/>
      <c r="E68" s="1860"/>
    </row>
    <row r="69" spans="1:7" s="3210" customFormat="1">
      <c r="A69" s="1860"/>
      <c r="C69" s="3211"/>
      <c r="E69" s="1860"/>
    </row>
    <row r="70" spans="1:7" s="3210" customFormat="1">
      <c r="A70" s="1860"/>
      <c r="C70" s="3211"/>
      <c r="E70" s="1860"/>
    </row>
    <row r="71" spans="1:7" s="3210" customFormat="1">
      <c r="A71" s="1860"/>
      <c r="C71" s="3211"/>
      <c r="E71" s="1860"/>
    </row>
    <row r="72" spans="1:7" s="3210" customFormat="1">
      <c r="A72" s="1860"/>
      <c r="C72" s="3211"/>
      <c r="E72" s="1860"/>
    </row>
    <row r="73" spans="1:7" s="3210" customFormat="1">
      <c r="A73" s="1860"/>
      <c r="C73" s="3211"/>
      <c r="E73" s="1860"/>
    </row>
    <row r="74" spans="1:7" s="3210" customFormat="1">
      <c r="A74" s="1860"/>
      <c r="C74" s="3211"/>
      <c r="E74" s="1860"/>
    </row>
    <row r="75" spans="1:7" s="3210" customFormat="1">
      <c r="A75" s="1860"/>
      <c r="C75" s="3211"/>
      <c r="E75" s="1860"/>
    </row>
    <row r="76" spans="1:7" s="3210" customFormat="1">
      <c r="A76" s="1860"/>
      <c r="C76" s="3211"/>
      <c r="E76" s="1860"/>
    </row>
    <row r="77" spans="1:7" s="3210" customFormat="1">
      <c r="A77" s="1860"/>
      <c r="C77" s="3211"/>
      <c r="E77" s="1860"/>
    </row>
    <row r="78" spans="1:7" s="3210" customFormat="1">
      <c r="A78" s="1860"/>
      <c r="C78" s="3211"/>
      <c r="E78" s="1860"/>
    </row>
    <row r="79" spans="1:7" s="3210" customFormat="1">
      <c r="A79" s="1860"/>
      <c r="C79" s="3211"/>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3" t="e">
        <f ca="1">SUMIF(B6:B13,"&lt;&gt;#ref!",B6:B13)</f>
        <v>#DIV/0!</v>
      </c>
      <c r="C2" s="1574" t="s">
        <v>1984</v>
      </c>
      <c r="D2" s="1574" t="s">
        <v>1985</v>
      </c>
      <c r="E2" s="2924">
        <f ca="1">SUMIF(E6:E13,"&lt;&gt;#ref!",E6:E13)</f>
        <v>0</v>
      </c>
      <c r="F2" s="2032"/>
      <c r="G2" s="2032"/>
      <c r="H2" s="2032"/>
      <c r="I2" s="2032"/>
      <c r="J2" s="2032"/>
      <c r="K2" s="2032"/>
      <c r="L2" s="2032"/>
      <c r="M2" s="2032"/>
      <c r="N2" s="2032"/>
      <c r="O2" s="2032"/>
      <c r="P2" s="2032"/>
    </row>
    <row r="3" spans="1:16" ht="15.75">
      <c r="A3" s="1574" t="s">
        <v>1986</v>
      </c>
      <c r="B3" s="2923"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3" t="e">
        <f ca="1">SUMIF(INDIRECT("'"&amp;A6&amp;"'"&amp;"!A:A"),"总价",INDIRECT("'"&amp;A6&amp;"'"&amp;"!B:B"))</f>
        <v>#DIV/0!</v>
      </c>
      <c r="C6" s="1574" t="s">
        <v>1984</v>
      </c>
      <c r="D6" s="2032"/>
      <c r="E6" s="2924">
        <f ca="1">SUMIF(INDIRECT("'"&amp;A6&amp;"'"&amp;"!C:C"),"建筑面积",INDIRECT("'"&amp;A6&amp;"'"&amp;"!D:D"))</f>
        <v>0</v>
      </c>
      <c r="F6" s="2032"/>
      <c r="G6" s="2032"/>
      <c r="H6" s="2032"/>
      <c r="I6" s="2032"/>
      <c r="J6" s="2032"/>
      <c r="K6" s="2032"/>
      <c r="L6" s="2032"/>
      <c r="M6" s="2032"/>
      <c r="N6" s="2032"/>
      <c r="O6" s="2032"/>
      <c r="P6" s="2032"/>
    </row>
    <row r="7" spans="1:16" ht="15.75">
      <c r="A7" s="1886"/>
      <c r="B7" s="2923" t="e">
        <f ca="1">SUMIF(INDIRECT("'"&amp;A7&amp;"'"&amp;"!A:A"),"总价",INDIRECT("'"&amp;A7&amp;"'"&amp;"!B:B"))</f>
        <v>#REF!</v>
      </c>
      <c r="C7" s="1574" t="s">
        <v>1984</v>
      </c>
      <c r="D7" s="2032"/>
      <c r="E7" s="2924"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3" t="e">
        <f t="shared" ref="B8:B13" ca="1" si="1">SUMIF(INDIRECT("'"&amp;A8&amp;"'"&amp;"!A:A"),"总价",INDIRECT("'"&amp;A8&amp;"'"&amp;"!B:B"))</f>
        <v>#REF!</v>
      </c>
      <c r="C8" s="1574" t="s">
        <v>1984</v>
      </c>
      <c r="D8" s="2032"/>
      <c r="E8" s="2924" t="e">
        <f t="shared" ca="1" si="0"/>
        <v>#REF!</v>
      </c>
      <c r="F8" s="2032"/>
      <c r="G8" s="2032"/>
      <c r="H8" s="2032"/>
      <c r="I8" s="2032"/>
      <c r="J8" s="2032"/>
      <c r="K8" s="2032"/>
      <c r="L8" s="2032"/>
      <c r="M8" s="2032"/>
      <c r="N8" s="2032"/>
      <c r="O8" s="2032"/>
      <c r="P8" s="2032"/>
    </row>
    <row r="9" spans="1:16" ht="15.75">
      <c r="A9" s="1886"/>
      <c r="B9" s="2923" t="e">
        <f t="shared" ca="1" si="1"/>
        <v>#REF!</v>
      </c>
      <c r="C9" s="1574" t="s">
        <v>1984</v>
      </c>
      <c r="D9" s="2032"/>
      <c r="E9" s="2924" t="e">
        <f t="shared" ca="1" si="0"/>
        <v>#REF!</v>
      </c>
      <c r="F9" s="2032"/>
      <c r="G9" s="2032"/>
      <c r="H9" s="2032"/>
      <c r="I9" s="2032"/>
      <c r="J9" s="2032"/>
      <c r="K9" s="2032"/>
      <c r="L9" s="2032"/>
      <c r="M9" s="2032"/>
      <c r="N9" s="2032"/>
      <c r="O9" s="2032"/>
      <c r="P9" s="2032"/>
    </row>
    <row r="10" spans="1:16" ht="15.75">
      <c r="A10" s="1886"/>
      <c r="B10" s="2923" t="e">
        <f t="shared" ca="1" si="1"/>
        <v>#REF!</v>
      </c>
      <c r="C10" s="1574" t="s">
        <v>1984</v>
      </c>
      <c r="D10" s="2032"/>
      <c r="E10" s="2924" t="e">
        <f t="shared" ca="1" si="0"/>
        <v>#REF!</v>
      </c>
      <c r="F10" s="2032"/>
      <c r="G10" s="2032"/>
      <c r="H10" s="2032"/>
      <c r="I10" s="2032"/>
      <c r="J10" s="2032"/>
      <c r="K10" s="2032"/>
      <c r="L10" s="2032"/>
      <c r="M10" s="2032"/>
      <c r="N10" s="2032"/>
      <c r="O10" s="2032"/>
      <c r="P10" s="2032"/>
    </row>
    <row r="11" spans="1:16" ht="15.75">
      <c r="A11" s="1886"/>
      <c r="B11" s="2923" t="e">
        <f t="shared" ca="1" si="1"/>
        <v>#REF!</v>
      </c>
      <c r="C11" s="1574" t="s">
        <v>1984</v>
      </c>
      <c r="D11" s="2032"/>
      <c r="E11" s="2924" t="e">
        <f t="shared" ca="1" si="0"/>
        <v>#REF!</v>
      </c>
      <c r="F11" s="2032"/>
      <c r="G11" s="2032"/>
      <c r="H11" s="2032"/>
      <c r="I11" s="2032"/>
      <c r="J11" s="2032"/>
      <c r="K11" s="2032"/>
      <c r="L11" s="2032"/>
      <c r="M11" s="2032"/>
      <c r="N11" s="2032"/>
      <c r="O11" s="2032"/>
      <c r="P11" s="2032"/>
    </row>
    <row r="12" spans="1:16" ht="15.75">
      <c r="A12" s="1886"/>
      <c r="B12" s="2923" t="e">
        <f t="shared" ca="1" si="1"/>
        <v>#REF!</v>
      </c>
      <c r="C12" s="1574" t="s">
        <v>1984</v>
      </c>
      <c r="D12" s="2032"/>
      <c r="E12" s="2924" t="e">
        <f t="shared" ca="1" si="0"/>
        <v>#REF!</v>
      </c>
      <c r="F12" s="2032"/>
      <c r="G12" s="2032"/>
      <c r="H12" s="2032"/>
      <c r="I12" s="2032"/>
      <c r="J12" s="2032"/>
      <c r="K12" s="2032"/>
      <c r="L12" s="2032"/>
      <c r="M12" s="2032"/>
      <c r="N12" s="2032"/>
      <c r="O12" s="2032"/>
      <c r="P12" s="2032"/>
    </row>
    <row r="13" spans="1:16" ht="15.75">
      <c r="A13" s="1886"/>
      <c r="B13" s="2923" t="e">
        <f t="shared" ca="1" si="1"/>
        <v>#REF!</v>
      </c>
      <c r="C13" s="1574" t="s">
        <v>1984</v>
      </c>
      <c r="D13" s="2032"/>
      <c r="E13" s="2924"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2" sqref="C62:G6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c r="F2" s="68" t="s">
        <v>1847</v>
      </c>
      <c r="G2" s="3542">
        <f>IF(E2="商业",项目基本情况!B37,IF(E2="办公",项目基本情况!C37,IF(E2="住宅",项目基本情况!D37,IF(E2="工业",项目基本情况!E37,项目基本情况!F37))))</f>
        <v>0</v>
      </c>
      <c r="H2" s="68" t="s">
        <v>1848</v>
      </c>
      <c r="I2" s="3542">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c r="F3" s="1443"/>
      <c r="G3" s="4138">
        <f>IF(F3="宗地容积率",'数据-汇总表'!I4,IF(F3="估价对象容积率",'数据-汇总表'!I6,'数据-汇总表'!I7))</f>
        <v>0</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5" t="s">
        <v>3641</v>
      </c>
      <c r="B4" s="3394" t="e">
        <f>ROUND(B2*10000/F1,0)</f>
        <v>#DIV/0!</v>
      </c>
      <c r="C4" s="3393" t="s">
        <v>3642</v>
      </c>
      <c r="D4" s="3394" t="e">
        <f>ROUND(B2/(F1/666.67),0)</f>
        <v>#DIV/0!</v>
      </c>
      <c r="E4" s="3393" t="s">
        <v>3643</v>
      </c>
      <c r="F4" s="3391"/>
      <c r="G4" s="3391"/>
      <c r="H4" s="3391"/>
      <c r="I4" s="3391"/>
      <c r="J4" s="3392"/>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t="e">
        <f>ROUND(IF(E2="商业",C6*C7*C17+C20,(IF(E2="住宅",C6*C13*C17+C20,IF(E2="办公",C6*C12*C17+C20,C6+C20)))),0)</f>
        <v>#DIV/0!</v>
      </c>
      <c r="D5" s="2925" t="e">
        <f>ROUND(C6*C17+C20,0)</f>
        <v>#DIV/0!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3129</v>
      </c>
      <c r="B7" s="1460" t="s">
        <v>1862</v>
      </c>
      <c r="C7" s="4132" t="e">
        <f>IF(C8="不临65条商业街",1,ROUND(1+(1.6*E8+1.2*E9+0.8*E10+0.4*E11)*C9,4))</f>
        <v>#DIV/0!</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0</v>
      </c>
      <c r="AA7" s="805"/>
      <c r="AB7" s="805"/>
      <c r="AC7" s="806"/>
      <c r="AD7" s="807"/>
      <c r="AE7" s="807"/>
      <c r="AF7" s="807"/>
      <c r="AG7" s="807"/>
      <c r="AH7" s="807"/>
      <c r="AI7" s="807"/>
      <c r="AJ7" s="808"/>
    </row>
    <row r="8" spans="1:36" ht="15">
      <c r="A8" s="2394"/>
      <c r="B8" s="68" t="s">
        <v>1867</v>
      </c>
      <c r="C8" s="4133"/>
      <c r="D8" s="3663"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615" t="s">
        <v>1870</v>
      </c>
      <c r="X8" s="46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1">
        <f>SUMIF(修正!C73:C140,C8,修正!E73:E140)</f>
        <v>0</v>
      </c>
      <c r="D9" s="3542" t="s">
        <v>111</v>
      </c>
      <c r="E9" s="3542"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617"/>
      <c r="X9" s="2442" t="s">
        <v>3158</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4">
        <f>SUMIF(修正!C73:C140,C8,修正!F73:F140)</f>
        <v>0</v>
      </c>
      <c r="D10" s="3542" t="s">
        <v>112</v>
      </c>
      <c r="E10" s="3542"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6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3130</v>
      </c>
      <c r="B12" s="2398" t="s">
        <v>3131</v>
      </c>
      <c r="C12" s="4140"/>
      <c r="D12" s="2399" t="s">
        <v>3132</v>
      </c>
      <c r="E12" s="2400" t="s">
        <v>3133</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3134</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3135</v>
      </c>
      <c r="G14" s="2404" t="s">
        <v>3135</v>
      </c>
      <c r="H14" s="2404" t="s">
        <v>3135</v>
      </c>
      <c r="I14" s="2404" t="s">
        <v>3135</v>
      </c>
      <c r="J14" s="2404" t="s">
        <v>3135</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3136</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3137</v>
      </c>
      <c r="B17" s="2409" t="s">
        <v>3138</v>
      </c>
      <c r="C17" s="4144">
        <f>ROUND(IF(OR(E2="工业",E2="公共服务"),1,IF(AND(E18=0,E19=0),1,IF(AND(E18=J24,E19=G19),0.8,IF(E19=0,1+E17*(-0.2),1+E17*G17*(-0.2))))),4)</f>
        <v>1</v>
      </c>
      <c r="D17" s="2410" t="s">
        <v>3139</v>
      </c>
      <c r="E17" s="2417" t="e">
        <f>ROUND(G18/I18,2)</f>
        <v>#DIV/0!</v>
      </c>
      <c r="F17" s="2410" t="s">
        <v>3142</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3140</v>
      </c>
      <c r="E18" s="2592"/>
      <c r="F18" s="2412" t="s">
        <v>3143</v>
      </c>
      <c r="G18" s="2415">
        <f>ROUND(1-(1/(POWER(1+G24,E18))),4)</f>
        <v>0</v>
      </c>
      <c r="H18" s="2412" t="s">
        <v>3145</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3141</v>
      </c>
      <c r="E19" s="2926"/>
      <c r="F19" s="2424" t="s">
        <v>3144</v>
      </c>
      <c r="G19" s="2926"/>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18" t="s">
        <v>3146</v>
      </c>
      <c r="B20" s="66" t="s">
        <v>1904</v>
      </c>
      <c r="C20" s="4147" t="e">
        <f>ROUND(IF(F21="与级别开发程度一致",0,(G21-E21)/C21),0)</f>
        <v>#DIV/0!</v>
      </c>
      <c r="D20" s="2426" t="s">
        <v>1908</v>
      </c>
      <c r="E20" s="2427"/>
      <c r="F20" s="4624" t="s">
        <v>1905</v>
      </c>
      <c r="G20" s="46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1912</v>
      </c>
      <c r="E23" s="4170">
        <v>44197</v>
      </c>
      <c r="F23" s="1491" t="s">
        <v>1913</v>
      </c>
      <c r="G23" s="4171">
        <f>'数据-取费表'!B2</f>
        <v>46051</v>
      </c>
      <c r="H23" s="2428"/>
      <c r="I23" s="2429" t="str">
        <f>IF(H23="季度增幅（自定义）",SUMIF(N25:N28,E2,O25:O28),"")</f>
        <v/>
      </c>
      <c r="J23" s="2483"/>
      <c r="K23" s="755"/>
      <c r="L23" s="1492" t="s">
        <v>1914</v>
      </c>
      <c r="M23" s="888">
        <f>ROUND(SUMIF(地价!B2:G2,E2,地价!B16:G16),0)</f>
        <v>0</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3147</v>
      </c>
      <c r="D26" s="4163">
        <f>IF(E26=G26,F26,IF(G3&lt;10,ROUND(F26+(H26-F26)*(G3-E26)/(G26-E26),4),"——"))</f>
        <v>0</v>
      </c>
      <c r="E26" s="4163">
        <f>ROUNDDOWN(G3,1)</f>
        <v>0</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0</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3148</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0</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3802</v>
      </c>
      <c r="E30" s="1437"/>
      <c r="F30" s="1520"/>
      <c r="G30" s="1437"/>
      <c r="H30" s="1437"/>
      <c r="I30" s="1437"/>
      <c r="J30" s="1521"/>
      <c r="K30" s="750"/>
      <c r="L30" s="2434" t="s">
        <v>1846</v>
      </c>
      <c r="M30" s="2435" t="s">
        <v>1900</v>
      </c>
      <c r="N30" s="2435" t="s">
        <v>1901</v>
      </c>
      <c r="O30" s="2435" t="s">
        <v>1902</v>
      </c>
      <c r="P30" s="2435" t="s">
        <v>1903</v>
      </c>
      <c r="Q30" s="2438" t="s">
        <v>3152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7">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c r="E33" s="2610" t="e">
        <f>ROUND(C33*D33/10000,0)</f>
        <v>#DIV/0!</v>
      </c>
      <c r="F33" s="2430" t="s">
        <v>3150</v>
      </c>
      <c r="G33" s="1534"/>
      <c r="H33" s="1534"/>
      <c r="I33" s="1534"/>
      <c r="J33" s="1535"/>
      <c r="K33" s="750"/>
      <c r="L33" s="2433" t="s">
        <v>3153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3154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3151</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3155</v>
      </c>
      <c r="L36" s="2484">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22"/>
      <c r="B37" s="4185" t="s">
        <v>1946</v>
      </c>
      <c r="C37" s="4155" t="e">
        <f>ROUND(D5*C22*C23*C24*C28*F37,0)</f>
        <v>#DIV/0!</v>
      </c>
      <c r="D37" s="4157"/>
      <c r="E37" s="3089" t="e">
        <f>ROUND(C37*D37/10000,0)</f>
        <v>#DIV/0!</v>
      </c>
      <c r="F37" s="3064">
        <f>SUMIF(修正!A59:A70,G2,修正!B59:B70)</f>
        <v>0</v>
      </c>
      <c r="G37" s="3089" t="e">
        <f>ROUND(IF(E2="工业",C37*$M$42,C37*$M$41),0)</f>
        <v>#DIV/0!</v>
      </c>
      <c r="H37" s="3064">
        <f>D37</f>
        <v>0</v>
      </c>
      <c r="I37" s="3089" t="e">
        <f>ROUND(G37*H37/10000,0)</f>
        <v>#DIV/0!</v>
      </c>
      <c r="J37" s="2184"/>
      <c r="K37" s="2440" t="s">
        <v>3156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23"/>
      <c r="B38" s="3540" t="s">
        <v>1947</v>
      </c>
      <c r="C38" s="4155" t="e">
        <f>ROUND(D5*C22*C23*C24*C28*F38,0)</f>
        <v>#DIV/0!</v>
      </c>
      <c r="D38" s="4157"/>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3"/>
      <c r="B39" s="3540" t="s">
        <v>3149</v>
      </c>
      <c r="C39" s="4155" t="e">
        <f>ROUND(D5*C22*C23*C24*C28*F39,0)</f>
        <v>#DIV/0!</v>
      </c>
      <c r="D39" s="4157"/>
      <c r="E39" s="3089" t="e">
        <f t="shared" si="4"/>
        <v>#DIV/0!</v>
      </c>
      <c r="F39" s="3064">
        <f>SUMIF(修正!A59:A70,G2,修正!D59:D70)</f>
        <v>0</v>
      </c>
      <c r="G39" s="3089" t="e">
        <f>ROUND(IF(E2="工业",C39*$M$42,C39*$M$41),0)</f>
        <v>#DIV/0!</v>
      </c>
      <c r="H39" s="3064">
        <f t="shared" si="5"/>
        <v>0</v>
      </c>
      <c r="I39" s="3089"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40" t="s">
        <v>1948</v>
      </c>
      <c r="C40" s="3089" t="e">
        <f>ROUND(D5*C22*C23*C24*C28*F40,0)</f>
        <v>#DIV/0!</v>
      </c>
      <c r="D40" s="4157"/>
      <c r="E40" s="3089" t="e">
        <f t="shared" si="4"/>
        <v>#DIV/0!</v>
      </c>
      <c r="F40" s="4160">
        <f>SUMIF(修正!A59:A70,G2,修正!E59:E70)</f>
        <v>0</v>
      </c>
      <c r="G40" s="3089" t="e">
        <f>ROUND(IF(E2="工业",C40*$M$42,C40*$M$41),0)</f>
        <v>#DIV/0!</v>
      </c>
      <c r="H40" s="3064">
        <f t="shared" si="5"/>
        <v>0</v>
      </c>
      <c r="I40" s="3089"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40" t="s">
        <v>1950</v>
      </c>
      <c r="C41" s="3089" t="e">
        <f>ROUND(D5*C22*C23*C44*C28*F41,0)</f>
        <v>#DIV/0!</v>
      </c>
      <c r="D41" s="4157"/>
      <c r="E41" s="3089" t="e">
        <f t="shared" si="4"/>
        <v>#DIV/0!</v>
      </c>
      <c r="F41" s="4160">
        <f>SUMIF(修正!A59:A70,G2,修正!F59:F70)</f>
        <v>0</v>
      </c>
      <c r="G41" s="3089" t="e">
        <f>ROUND(IF(E2="工业",C41*$M$42,C41*$M$41),0)</f>
        <v>#DIV/0!</v>
      </c>
      <c r="H41" s="3064">
        <f t="shared" si="5"/>
        <v>0</v>
      </c>
      <c r="I41" s="3089" t="e">
        <f t="shared" si="6"/>
        <v>#DIV/0!</v>
      </c>
      <c r="J41" s="665"/>
      <c r="L41" s="2441" t="s">
        <v>3157</v>
      </c>
      <c r="M41" s="1550">
        <v>0.25</v>
      </c>
      <c r="Z41" s="751"/>
      <c r="AA41" s="751"/>
      <c r="AB41" s="751"/>
      <c r="AC41" s="751"/>
      <c r="AD41" s="751"/>
      <c r="AE41" s="751"/>
      <c r="AF41" s="751"/>
      <c r="AG41" s="751"/>
      <c r="AH41" s="751"/>
      <c r="AI41" s="751"/>
      <c r="AJ41" s="751"/>
    </row>
    <row r="42" spans="1:37" s="750" customFormat="1" ht="13.5" thickBot="1">
      <c r="A42" s="1536"/>
      <c r="B42" s="4186" t="s">
        <v>1951</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t="e">
        <f>ROUND(POWER(1+E44,H44-G44)*(POWER(1+E44,G44)-1)/(POWER(1+E44,H44)-1),4)</f>
        <v>#DIV/0!</v>
      </c>
      <c r="D44" s="69" t="s">
        <v>1909</v>
      </c>
      <c r="E44" s="1581">
        <f>G24</f>
        <v>0</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c r="A50" s="1560" t="s">
        <v>1962</v>
      </c>
      <c r="B50" s="1563" t="str">
        <f>估价对象房地状况!C4</f>
        <v>估价对象位于XX商圈，周边商业氛围成熟，人流量大，商业繁华度好</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38.25">
      <c r="A51" s="1560" t="s">
        <v>1963</v>
      </c>
      <c r="B51" s="906" t="str">
        <f>估价对象房地状况!C18</f>
        <v>估价对象周边道路状况、公共交通通达情况、停车便捷程度，综合评价交通便捷度较好</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3159</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5.5">
      <c r="A56" s="1566" t="s">
        <v>1969</v>
      </c>
      <c r="B56" s="887" t="str">
        <f>估价对象房地状况!C21</f>
        <v>估价对象所在区域公共配套设施齐备情况</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5.5">
      <c r="A57" s="1566" t="s">
        <v>1970</v>
      </c>
      <c r="B57" s="906" t="str">
        <f>估价对象房地状况!C22</f>
        <v>估价对象所在区域基础设施水平</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6.25" thickBot="1">
      <c r="A58" s="1567" t="s">
        <v>1971</v>
      </c>
      <c r="B58" s="1568" t="str">
        <f>估价对象房地状况!C20</f>
        <v>区域自然环境：；人文环境；综合评价环境状况一般</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0" t="s">
        <v>1974</v>
      </c>
      <c r="B61" s="1563" t="str">
        <f>估价对象房地状况!C17</f>
        <v>估价对象位于XX商圈，周边办公楼项目较多，入驻率高，办公集聚程度较好</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38.25">
      <c r="A62" s="1560" t="s">
        <v>1963</v>
      </c>
      <c r="B62" s="906" t="str">
        <f>估价对象房地状况!C18</f>
        <v>估价对象周边道路状况、公共交通通达情况、停车便捷程度，综合评价交通便捷度较好</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3159</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5.5">
      <c r="A67" s="1560" t="s">
        <v>1969</v>
      </c>
      <c r="B67" s="887" t="str">
        <f>估价对象房地状况!C21</f>
        <v>估价对象所在区域公共配套设施齐备情况</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5.5">
      <c r="A68" s="1560" t="s">
        <v>1970</v>
      </c>
      <c r="B68" s="887" t="str">
        <f>估价对象房地状况!C22</f>
        <v>估价对象所在区域基础设施水平</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6.25" thickBot="1">
      <c r="A69" s="1567" t="s">
        <v>1971</v>
      </c>
      <c r="B69" s="1569" t="str">
        <f>估价对象房地状况!C20</f>
        <v>区域自然环境：；人文环境；综合评价环境状况一般</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0" t="s">
        <v>1976</v>
      </c>
      <c r="B72" s="1563" t="str">
        <f>估价对象房地状况!C15</f>
        <v>估价对象周边居住用地比例、居住小区规模和社区发展完善程度，综合评价居住社区成熟度一般</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38.25">
      <c r="A73" s="1560" t="s">
        <v>1963</v>
      </c>
      <c r="B73" s="906" t="str">
        <f>估价对象房地状况!C18</f>
        <v>估价对象周边道路状况、公共交通通达情况、停车便捷程度，综合评价交通便捷度较好</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3159</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5.5">
      <c r="A76" s="1560" t="s">
        <v>1969</v>
      </c>
      <c r="B76" s="887" t="str">
        <f>估价对象房地状况!C21</f>
        <v>估价对象所在区域公共配套设施齐备情况</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5.5">
      <c r="A77" s="1560" t="s">
        <v>1970</v>
      </c>
      <c r="B77" s="887" t="str">
        <f>估价对象房地状况!C22</f>
        <v>估价对象所在区域基础设施水平</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5.5">
      <c r="A79" s="1560" t="s">
        <v>1971</v>
      </c>
      <c r="B79" s="1563" t="str">
        <f>估价对象房地状况!C20</f>
        <v>区域自然环境：；人文环境；综合评价环境状况一般</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38.25">
      <c r="A83" s="1560" t="s">
        <v>1980</v>
      </c>
      <c r="B83" s="906" t="str">
        <f>估价对象房地状况!G15</f>
        <v>估价对象位于XX开发区，园区建设成熟度XX，产业集聚程度XX</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38.25">
      <c r="A84" s="1560" t="s">
        <v>1963</v>
      </c>
      <c r="B84" s="906" t="str">
        <f>估价对象房地状况!G16</f>
        <v>估价对象周边道路状况、公共交通通达情况、停车便捷程度，综合评价交通便捷度较好</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36">
      <c r="A85" s="2443" t="s">
        <v>3160</v>
      </c>
      <c r="B85" s="906">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5.5">
      <c r="A87" s="1560" t="s">
        <v>1969</v>
      </c>
      <c r="B87" s="887" t="str">
        <f>估价对象房地状况!G19</f>
        <v>估价对象所在区域公共配套设施齐备情况</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5.5">
      <c r="A88" s="1560" t="s">
        <v>1970</v>
      </c>
      <c r="B88" s="887" t="str">
        <f>估价对象房地状况!G20</f>
        <v>估价对象所在区域基础设施水平</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24">
      <c r="A89" s="1560" t="s">
        <v>1967</v>
      </c>
      <c r="B89" s="1565" t="s">
        <v>1981</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39" thickBot="1">
      <c r="A90" s="1567" t="s">
        <v>1982</v>
      </c>
      <c r="B90" s="1572" t="str">
        <f>估价对象房地状况!G18</f>
        <v>该园区内是否有污染型企业，绿化情况，卫生条件，整体环境状况判断</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5">
      <c r="A91" s="2451" t="s">
        <v>2504</v>
      </c>
      <c r="B91" s="2452">
        <f>1+E93</f>
        <v>1</v>
      </c>
      <c r="C91" s="2445"/>
      <c r="D91" s="2446"/>
      <c r="E91" s="1302"/>
      <c r="F91" s="1302"/>
      <c r="G91" s="2447"/>
      <c r="H91" s="2448"/>
      <c r="I91" s="2449"/>
      <c r="J91" s="2450"/>
      <c r="K91" s="2450"/>
      <c r="L91" s="2450"/>
      <c r="M91" s="2450"/>
      <c r="N91" s="2450"/>
    </row>
    <row r="92" spans="1:37" ht="24.75">
      <c r="A92" s="2453" t="s">
        <v>3161</v>
      </c>
      <c r="B92" s="1848"/>
      <c r="C92" s="1848" t="s">
        <v>3170</v>
      </c>
      <c r="D92" s="1848" t="s">
        <v>3171</v>
      </c>
      <c r="E92" s="2432" t="s">
        <v>3172</v>
      </c>
      <c r="F92" s="2455" t="s">
        <v>3173</v>
      </c>
      <c r="G92" s="1848" t="s">
        <v>3174</v>
      </c>
      <c r="H92" s="2459" t="s">
        <v>3177</v>
      </c>
      <c r="I92" s="1848" t="s">
        <v>3178</v>
      </c>
      <c r="J92" s="1698" t="s">
        <v>3179</v>
      </c>
      <c r="K92" s="1698" t="s">
        <v>3180</v>
      </c>
      <c r="L92" s="1698" t="s">
        <v>3181</v>
      </c>
      <c r="M92" s="1698" t="s">
        <v>3182</v>
      </c>
      <c r="N92" s="1698" t="s">
        <v>3183</v>
      </c>
    </row>
    <row r="93" spans="1:37" ht="24">
      <c r="A93" s="2443" t="s">
        <v>3162</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38.25">
      <c r="A94" s="2453" t="s">
        <v>3163</v>
      </c>
      <c r="B94" s="2444" t="str">
        <f>估价对象房地状况!C18</f>
        <v>估价对象周边道路状况、公共交通通达情况、停车便捷程度，综合评价交通便捷度较好</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36">
      <c r="A95" s="2443" t="s">
        <v>3159</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6.75">
      <c r="A96" s="2453" t="s">
        <v>3164</v>
      </c>
      <c r="B96" s="2456" t="s">
        <v>3175</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3165</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24">
      <c r="A98" s="2453" t="s">
        <v>3166</v>
      </c>
      <c r="B98" s="2457" t="s">
        <v>3176</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5.5">
      <c r="A99" s="2453" t="s">
        <v>3167</v>
      </c>
      <c r="B99" s="2444" t="str">
        <f>估价对象房地状况!C21</f>
        <v>估价对象所在区域公共配套设施齐备情况</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5.5">
      <c r="A100" s="2453" t="s">
        <v>3168</v>
      </c>
      <c r="B100" s="2444" t="str">
        <f>估价对象房地状况!C22</f>
        <v>估价对象所在区域基础设施水平</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26.25" thickBot="1">
      <c r="A101" s="2454" t="s">
        <v>3169</v>
      </c>
      <c r="B101" s="2458" t="str">
        <f>估价对象房地状况!C20</f>
        <v>区域自然环境：；人文环境；综合评价环境状况一般</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20" t="s">
        <v>3184</v>
      </c>
      <c r="B103" s="4620"/>
      <c r="C103" s="4620"/>
      <c r="D103" s="4620"/>
      <c r="E103" s="4620"/>
      <c r="F103" s="4620"/>
      <c r="G103" s="4620"/>
      <c r="H103" s="4620"/>
      <c r="I103" s="4620"/>
      <c r="J103" s="4620"/>
      <c r="K103" s="1294"/>
      <c r="L103" s="1294"/>
      <c r="M103" s="1294"/>
      <c r="N103" s="1294"/>
    </row>
    <row r="104" spans="1:14">
      <c r="A104" s="4621" t="s">
        <v>3185</v>
      </c>
      <c r="B104" s="4621" t="s">
        <v>3186</v>
      </c>
      <c r="C104" s="4218" t="s">
        <v>3187</v>
      </c>
      <c r="D104" s="1534"/>
      <c r="E104" s="1534"/>
      <c r="F104" s="1534"/>
      <c r="G104" s="1534"/>
      <c r="H104" s="1534"/>
      <c r="I104" s="1534"/>
      <c r="J104" s="1534"/>
      <c r="K104" s="1534"/>
      <c r="L104" s="1534"/>
      <c r="M104" s="1534"/>
      <c r="N104" s="4219"/>
    </row>
    <row r="105" spans="1:14">
      <c r="A105" s="4621"/>
      <c r="B105" s="4621"/>
      <c r="C105" s="2460" t="s">
        <v>3188</v>
      </c>
      <c r="D105" s="2460" t="s">
        <v>3189</v>
      </c>
      <c r="E105" s="2460" t="s">
        <v>3190</v>
      </c>
      <c r="F105" s="2460" t="s">
        <v>3191</v>
      </c>
      <c r="G105" s="2460" t="s">
        <v>3192</v>
      </c>
      <c r="H105" s="2460" t="s">
        <v>3193</v>
      </c>
      <c r="I105" s="2460" t="s">
        <v>3194</v>
      </c>
      <c r="J105" s="2460" t="s">
        <v>3195</v>
      </c>
      <c r="K105" s="2460" t="s">
        <v>3196</v>
      </c>
      <c r="L105" s="2460" t="s">
        <v>3197</v>
      </c>
      <c r="M105" s="2460" t="s">
        <v>3198</v>
      </c>
      <c r="N105" s="2460" t="s">
        <v>3199</v>
      </c>
    </row>
    <row r="106" spans="1:14">
      <c r="A106" s="4611" t="s">
        <v>3200</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2"/>
      <c r="B111" s="2460" t="s">
        <v>3158</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3"/>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4" t="s">
        <v>3201</v>
      </c>
      <c r="B113" s="4614"/>
      <c r="C113" s="4614"/>
      <c r="D113" s="4614"/>
      <c r="E113" s="4614"/>
      <c r="F113" s="4614"/>
      <c r="G113" s="4614"/>
      <c r="H113" s="4614"/>
      <c r="I113" s="4614"/>
      <c r="J113" s="46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3202</v>
      </c>
      <c r="B116" s="4216">
        <f>G3</f>
        <v>0</v>
      </c>
      <c r="C116" s="4213" t="s">
        <v>3203</v>
      </c>
      <c r="D116" s="4217">
        <f>SUMPRODUCT((A118:A122=F116)*(B117:M117=H116)*B118:M122)</f>
        <v>0</v>
      </c>
      <c r="E116" s="4213" t="s">
        <v>3204</v>
      </c>
      <c r="F116" s="4214">
        <f>E2</f>
        <v>0</v>
      </c>
      <c r="G116" s="4213" t="s">
        <v>3205</v>
      </c>
      <c r="H116" s="4214">
        <f>G2</f>
        <v>0</v>
      </c>
      <c r="I116" s="4215"/>
      <c r="J116" s="2463"/>
      <c r="K116" s="2463"/>
      <c r="L116" s="2463"/>
      <c r="M116" s="2463"/>
      <c r="N116" s="2462"/>
    </row>
    <row r="117" spans="1:14">
      <c r="A117" s="2434"/>
      <c r="B117" s="2464" t="s">
        <v>3206</v>
      </c>
      <c r="C117" s="2464" t="s">
        <v>3207</v>
      </c>
      <c r="D117" s="2464" t="s">
        <v>3208</v>
      </c>
      <c r="E117" s="2464" t="s">
        <v>3209</v>
      </c>
      <c r="F117" s="2464" t="s">
        <v>3210</v>
      </c>
      <c r="G117" s="2464" t="s">
        <v>3211</v>
      </c>
      <c r="H117" s="4209" t="s">
        <v>3212</v>
      </c>
      <c r="I117" s="4209" t="s">
        <v>3213</v>
      </c>
      <c r="J117" s="2464" t="s">
        <v>3214</v>
      </c>
      <c r="K117" s="2464" t="s">
        <v>3215</v>
      </c>
      <c r="L117" s="2464" t="s">
        <v>3216</v>
      </c>
      <c r="M117" s="4210" t="s">
        <v>3217</v>
      </c>
      <c r="N117" s="2462"/>
    </row>
    <row r="118" spans="1:14">
      <c r="A118" s="2436" t="s">
        <v>3218</v>
      </c>
      <c r="B118" s="4205">
        <f>ROUND(0.9968-0.011*B116,4)</f>
        <v>0.99680000000000002</v>
      </c>
      <c r="C118" s="4205">
        <f>B118</f>
        <v>0.99680000000000002</v>
      </c>
      <c r="D118" s="4205">
        <f>ROUND(0.949-0.014*B116,4)</f>
        <v>0.94899999999999995</v>
      </c>
      <c r="E118" s="4205">
        <f>D118</f>
        <v>0.94899999999999995</v>
      </c>
      <c r="F118" s="4205">
        <f>E118</f>
        <v>0.94899999999999995</v>
      </c>
      <c r="G118" s="4205">
        <f>F118</f>
        <v>0.94899999999999995</v>
      </c>
      <c r="H118" s="4205">
        <f>G118</f>
        <v>0.94899999999999995</v>
      </c>
      <c r="I118" s="4205">
        <f>ROUND(0.8486-0.018*B116,4)</f>
        <v>0.84860000000000002</v>
      </c>
      <c r="J118" s="4205">
        <f t="shared" ref="J118:M122" si="35">I118</f>
        <v>0.84860000000000002</v>
      </c>
      <c r="K118" s="4205">
        <f t="shared" si="35"/>
        <v>0.84860000000000002</v>
      </c>
      <c r="L118" s="4205">
        <f t="shared" si="35"/>
        <v>0.84860000000000002</v>
      </c>
      <c r="M118" s="4206">
        <f t="shared" si="35"/>
        <v>0.84860000000000002</v>
      </c>
      <c r="N118" s="2462"/>
    </row>
    <row r="119" spans="1:14">
      <c r="A119" s="2436" t="s">
        <v>3219</v>
      </c>
      <c r="B119" s="4205">
        <f>ROUND(0.993-0.0112*B116,4)</f>
        <v>0.99299999999999999</v>
      </c>
      <c r="C119" s="4205">
        <f>B119</f>
        <v>0.99299999999999999</v>
      </c>
      <c r="D119" s="4205">
        <f>ROUND(0.9415-0.0142*B116,4)</f>
        <v>0.9415</v>
      </c>
      <c r="E119" s="4205">
        <f t="shared" ref="E119:H120" si="36">D119</f>
        <v>0.9415</v>
      </c>
      <c r="F119" s="4205">
        <f t="shared" si="36"/>
        <v>0.9415</v>
      </c>
      <c r="G119" s="4205">
        <f t="shared" si="36"/>
        <v>0.9415</v>
      </c>
      <c r="H119" s="4205">
        <f t="shared" si="36"/>
        <v>0.9415</v>
      </c>
      <c r="I119" s="4205">
        <f>ROUND(0.838-0.0182*B116,4)</f>
        <v>0.83799999999999997</v>
      </c>
      <c r="J119" s="4205">
        <f t="shared" si="35"/>
        <v>0.83799999999999997</v>
      </c>
      <c r="K119" s="4205">
        <f t="shared" si="35"/>
        <v>0.83799999999999997</v>
      </c>
      <c r="L119" s="4205">
        <f t="shared" si="35"/>
        <v>0.83799999999999997</v>
      </c>
      <c r="M119" s="4206">
        <f t="shared" si="35"/>
        <v>0.83799999999999997</v>
      </c>
      <c r="N119" s="2462"/>
    </row>
    <row r="120" spans="1:14">
      <c r="A120" s="2436" t="s">
        <v>3220</v>
      </c>
      <c r="B120" s="4205">
        <f>ROUND(0.9448-0.0115*B116,4)</f>
        <v>0.94479999999999997</v>
      </c>
      <c r="C120" s="4205">
        <f>B120</f>
        <v>0.94479999999999997</v>
      </c>
      <c r="D120" s="4205">
        <f>ROUND(0.937-0.0145*B116,4)</f>
        <v>0.93700000000000006</v>
      </c>
      <c r="E120" s="4205">
        <f t="shared" si="36"/>
        <v>0.93700000000000006</v>
      </c>
      <c r="F120" s="4205">
        <f t="shared" si="36"/>
        <v>0.93700000000000006</v>
      </c>
      <c r="G120" s="4205">
        <f t="shared" si="36"/>
        <v>0.93700000000000006</v>
      </c>
      <c r="H120" s="4205">
        <f t="shared" si="36"/>
        <v>0.93700000000000006</v>
      </c>
      <c r="I120" s="4205">
        <f>ROUND(0.7965-0.0185*B116,4)</f>
        <v>0.79649999999999999</v>
      </c>
      <c r="J120" s="4205">
        <f t="shared" si="35"/>
        <v>0.79649999999999999</v>
      </c>
      <c r="K120" s="4205">
        <f t="shared" si="35"/>
        <v>0.79649999999999999</v>
      </c>
      <c r="L120" s="4205">
        <f t="shared" si="35"/>
        <v>0.79649999999999999</v>
      </c>
      <c r="M120" s="4206">
        <f t="shared" si="35"/>
        <v>0.79649999999999999</v>
      </c>
      <c r="N120" s="2462"/>
    </row>
    <row r="121" spans="1:14">
      <c r="A121" s="2436" t="s">
        <v>3221</v>
      </c>
      <c r="B121" s="4205">
        <f>ROUND(0.7836-0.012*B116,4)</f>
        <v>0.78359999999999996</v>
      </c>
      <c r="C121" s="4205">
        <f>B121</f>
        <v>0.78359999999999996</v>
      </c>
      <c r="D121" s="4205">
        <f>ROUND(0.753-0.015*B116,4)</f>
        <v>0.753</v>
      </c>
      <c r="E121" s="4205">
        <f>D121</f>
        <v>0.753</v>
      </c>
      <c r="F121" s="4205">
        <f>E121</f>
        <v>0.753</v>
      </c>
      <c r="G121" s="4205">
        <f>ROUND(0.6612-0.018*B116,4)</f>
        <v>0.66120000000000001</v>
      </c>
      <c r="H121" s="4205">
        <f>G121</f>
        <v>0.66120000000000001</v>
      </c>
      <c r="I121" s="4205">
        <f>ROUND(0.5905-0.019*B116,4)</f>
        <v>0.59050000000000002</v>
      </c>
      <c r="J121" s="4205">
        <f t="shared" si="35"/>
        <v>0.59050000000000002</v>
      </c>
      <c r="K121" s="4205">
        <f t="shared" si="35"/>
        <v>0.59050000000000002</v>
      </c>
      <c r="L121" s="4205">
        <f t="shared" si="35"/>
        <v>0.59050000000000002</v>
      </c>
      <c r="M121" s="4206">
        <f t="shared" si="35"/>
        <v>0.59050000000000002</v>
      </c>
      <c r="N121" s="2462"/>
    </row>
    <row r="122" spans="1:14" ht="13.5" thickBot="1">
      <c r="A122" s="4211" t="s">
        <v>2504</v>
      </c>
      <c r="B122" s="4207">
        <f>ROUND(0.9404-0.0106*B116,4)</f>
        <v>0.94040000000000001</v>
      </c>
      <c r="C122" s="4207">
        <f>B122</f>
        <v>0.94040000000000001</v>
      </c>
      <c r="D122" s="4207">
        <f>ROUND(0.8955-0.0135*B116,4)</f>
        <v>0.89549999999999996</v>
      </c>
      <c r="E122" s="4207">
        <f t="shared" ref="E122:H122" si="37">D122</f>
        <v>0.89549999999999996</v>
      </c>
      <c r="F122" s="4207">
        <f t="shared" si="37"/>
        <v>0.89549999999999996</v>
      </c>
      <c r="G122" s="4207">
        <f t="shared" si="37"/>
        <v>0.89549999999999996</v>
      </c>
      <c r="H122" s="4207">
        <f t="shared" si="37"/>
        <v>0.89549999999999996</v>
      </c>
      <c r="I122" s="4207">
        <f>ROUND(0.7632-0.0166*B116,4)</f>
        <v>0.76319999999999999</v>
      </c>
      <c r="J122" s="4207">
        <f t="shared" si="35"/>
        <v>0.76319999999999999</v>
      </c>
      <c r="K122" s="4207">
        <f t="shared" si="35"/>
        <v>0.76319999999999999</v>
      </c>
      <c r="L122" s="4207">
        <f t="shared" si="35"/>
        <v>0.76319999999999999</v>
      </c>
      <c r="M122" s="4208">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7" t="s">
        <v>3523</v>
      </c>
      <c r="B1" s="47"/>
      <c r="C1" s="785"/>
      <c r="D1" s="784"/>
      <c r="E1" s="2045"/>
      <c r="F1" s="2045"/>
      <c r="G1" s="1938"/>
      <c r="H1" s="2045"/>
      <c r="I1" s="2045"/>
      <c r="J1" s="2045"/>
      <c r="K1" s="2046">
        <f>MATCH(C1,'数据-取费表'!A6:A16,0)+5</f>
        <v>7</v>
      </c>
    </row>
    <row r="2" spans="1:33" ht="18" customHeight="1">
      <c r="A2" s="96" t="s">
        <v>1431</v>
      </c>
      <c r="B2" s="2523">
        <f ca="1">C34</f>
        <v>-52</v>
      </c>
      <c r="C2" s="171" t="s">
        <v>1534</v>
      </c>
      <c r="D2" s="171"/>
      <c r="E2" s="2045"/>
      <c r="F2" s="2045"/>
      <c r="G2" s="2045"/>
      <c r="H2" s="2045"/>
      <c r="I2" s="2045"/>
      <c r="J2" s="2045"/>
      <c r="K2" s="2045"/>
    </row>
    <row r="3" spans="1:33" ht="18" customHeight="1">
      <c r="A3" s="98" t="s">
        <v>1433</v>
      </c>
      <c r="B3" s="2523">
        <f ca="1">ROUND(B2*10000/IF(C1="",'数据-汇总表'!E3,INDIRECT("'数据-取费表'!K"&amp;$K$1)),0)</f>
        <v>-4753</v>
      </c>
      <c r="C3" s="171" t="s">
        <v>1535</v>
      </c>
      <c r="D3" s="171"/>
      <c r="E3" s="2045"/>
      <c r="F3" s="2045"/>
      <c r="G3" s="2045"/>
      <c r="H3" s="2045"/>
      <c r="I3" s="2045"/>
      <c r="J3" s="2045"/>
      <c r="K3" s="2045"/>
    </row>
    <row r="4" spans="1:33" ht="18" customHeight="1">
      <c r="A4" s="3387" t="s">
        <v>3638</v>
      </c>
      <c r="B4" s="2522" t="e">
        <f ca="1">ROUND(B2*10000/IF(C1="",'数据-汇总表'!D3,INDIRECT("'数据-取费表'!R"&amp;$K$1)),0)</f>
        <v>#DIV/0!</v>
      </c>
      <c r="C4" s="1337" t="s">
        <v>3640</v>
      </c>
      <c r="D4" s="171"/>
      <c r="E4" s="2045"/>
      <c r="F4" s="2045"/>
      <c r="G4" s="2045"/>
      <c r="H4" s="2045"/>
      <c r="I4" s="2045"/>
      <c r="J4" s="2045"/>
      <c r="K4" s="2045"/>
    </row>
    <row r="5" spans="1:33" ht="18" customHeight="1" thickBot="1">
      <c r="A5" s="94"/>
      <c r="B5" s="3396" t="e">
        <f ca="1">ROUND(B2/(IF(C1="",'数据-汇总表'!D3,INDIRECT("'数据-取费表'!R"&amp;$K$1))/666.67),0)</f>
        <v>#DIV/0!</v>
      </c>
      <c r="C5" s="3390" t="s">
        <v>3639</v>
      </c>
      <c r="D5" s="171"/>
      <c r="E5" s="2045"/>
      <c r="F5" s="2045"/>
      <c r="G5" s="2045"/>
      <c r="H5" s="2045"/>
      <c r="I5" s="2045"/>
      <c r="J5" s="2045"/>
      <c r="K5" s="2045"/>
    </row>
    <row r="6" spans="1:33" s="515" customFormat="1" ht="16.5" customHeight="1">
      <c r="A6" s="2653" t="s">
        <v>3527</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3973</v>
      </c>
      <c r="B10" s="4077" t="s">
        <v>3968</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6" t="s">
        <v>3528</v>
      </c>
      <c r="B11" s="4627"/>
      <c r="C11" s="4627"/>
      <c r="D11" s="4627"/>
      <c r="E11" s="4627"/>
      <c r="F11" s="4627"/>
      <c r="G11" s="4627"/>
      <c r="H11" s="4627"/>
      <c r="I11" s="4627"/>
      <c r="J11" s="4627"/>
      <c r="K11" s="4628"/>
    </row>
    <row r="12" spans="1:33" s="4074" customFormat="1" ht="13.5" customHeight="1">
      <c r="A12" s="3212" t="s">
        <v>3517</v>
      </c>
      <c r="B12" s="4071" t="s">
        <v>1540</v>
      </c>
      <c r="C12" s="4075" t="s">
        <v>3968</v>
      </c>
      <c r="D12" s="4071" t="s">
        <v>1542</v>
      </c>
      <c r="E12" s="4071" t="s">
        <v>1543</v>
      </c>
      <c r="F12" s="4071" t="s">
        <v>1544</v>
      </c>
      <c r="G12" s="4083" t="s">
        <v>3405</v>
      </c>
      <c r="H12" s="4084"/>
      <c r="I12" s="4084"/>
      <c r="J12" s="4084"/>
      <c r="K12" s="4085"/>
    </row>
    <row r="13" spans="1:33" s="521" customFormat="1" ht="13.5" customHeight="1">
      <c r="A13" s="2493">
        <v>1</v>
      </c>
      <c r="B13" s="2677" t="s">
        <v>3529</v>
      </c>
      <c r="C13" s="2662">
        <f>SUM(C10:K10)</f>
        <v>0</v>
      </c>
      <c r="D13" s="520"/>
      <c r="E13" s="520"/>
      <c r="F13" s="3226"/>
      <c r="G13" s="3351"/>
      <c r="H13" s="3350"/>
      <c r="I13" s="3350"/>
      <c r="J13" s="3350"/>
      <c r="K13" s="3362"/>
    </row>
    <row r="14" spans="1:33" s="521" customFormat="1" ht="13.5" customHeight="1">
      <c r="A14" s="2493">
        <v>2</v>
      </c>
      <c r="B14" s="2678" t="s">
        <v>3632</v>
      </c>
      <c r="C14" s="2662">
        <v>0</v>
      </c>
      <c r="D14" s="2678"/>
      <c r="E14" s="2678"/>
      <c r="F14" s="2596">
        <v>0</v>
      </c>
      <c r="G14" s="3530" t="s">
        <v>3682</v>
      </c>
      <c r="H14" s="3350"/>
      <c r="I14" s="3350"/>
      <c r="J14" s="3350"/>
      <c r="K14" s="3362"/>
    </row>
    <row r="15" spans="1:33" s="523" customFormat="1" ht="13.5" customHeight="1">
      <c r="A15" s="2493">
        <v>3</v>
      </c>
      <c r="B15" s="530" t="s">
        <v>3602</v>
      </c>
      <c r="C15" s="2534">
        <f ca="1">C32-C33</f>
        <v>52</v>
      </c>
      <c r="D15" s="530"/>
      <c r="E15" s="173"/>
      <c r="F15" s="3227"/>
      <c r="G15" s="3352" t="s">
        <v>3547</v>
      </c>
      <c r="H15" s="526"/>
      <c r="I15" s="526"/>
      <c r="J15" s="526"/>
      <c r="K15" s="527"/>
    </row>
    <row r="16" spans="1:33" s="523" customFormat="1" ht="13.5" customHeight="1">
      <c r="A16" s="3363" t="s">
        <v>3597</v>
      </c>
      <c r="B16" s="3231" t="s">
        <v>3530</v>
      </c>
      <c r="C16" s="3232">
        <f ca="1">SUM(C17:C22)</f>
        <v>52</v>
      </c>
      <c r="D16" s="3231"/>
      <c r="E16" s="3231"/>
      <c r="F16" s="3233"/>
      <c r="G16" s="2632"/>
      <c r="H16" s="3350"/>
      <c r="I16" s="3350"/>
      <c r="J16" s="3350"/>
      <c r="K16" s="3362"/>
    </row>
    <row r="17" spans="1:33" s="523" customFormat="1" ht="13.5" customHeight="1">
      <c r="A17" s="3364" t="s">
        <v>3548</v>
      </c>
      <c r="B17" s="3218" t="s">
        <v>3535</v>
      </c>
      <c r="C17" s="2501">
        <f ca="1">IF(C1="",'数据-取费表'!M16,INDIRECT("'数据-取费表'!M"&amp;$K$1)+INDIRECT("'数据-取费表'!ap"&amp;$K$1))</f>
        <v>45</v>
      </c>
      <c r="D17" s="3234"/>
      <c r="E17" s="3235"/>
      <c r="F17" s="3247"/>
      <c r="G17" s="3353"/>
      <c r="H17" s="3350"/>
      <c r="I17" s="3350"/>
      <c r="J17" s="3350"/>
      <c r="K17" s="3362"/>
    </row>
    <row r="18" spans="1:33" s="523" customFormat="1" ht="13.5" customHeight="1">
      <c r="A18" s="3364" t="s">
        <v>3536</v>
      </c>
      <c r="B18" s="3219" t="s">
        <v>3537</v>
      </c>
      <c r="C18" s="2501">
        <f ca="1">ROUND(C17*F18,0)</f>
        <v>3</v>
      </c>
      <c r="D18" s="3231"/>
      <c r="E18" s="3231"/>
      <c r="F18" s="3248">
        <f>'数据-取费表'!B33</f>
        <v>0.06</v>
      </c>
      <c r="G18" s="2632"/>
      <c r="H18" s="3350"/>
      <c r="I18" s="3350"/>
      <c r="J18" s="3350"/>
      <c r="K18" s="3362"/>
    </row>
    <row r="19" spans="1:33" s="523" customFormat="1" ht="13.5" customHeight="1">
      <c r="A19" s="3364" t="s">
        <v>3549</v>
      </c>
      <c r="B19" s="3220" t="s">
        <v>3505</v>
      </c>
      <c r="C19" s="2501">
        <f ca="1">ROUND(IF(C1="",SUMIF('数据-取费表'!C:C,"住宅",'数据-取费表'!M:M)*F19,IF(INDIRECT("'数据-取费表'!c"&amp;$K$1)="住宅",INDIRECT("'数据-取费表'!M"&amp;$K$1)*F19,0)),0)</f>
        <v>0</v>
      </c>
      <c r="D19" s="3236"/>
      <c r="E19" s="3236"/>
      <c r="F19" s="3248">
        <f>'数据-取费表'!B34</f>
        <v>0</v>
      </c>
      <c r="G19" s="2497"/>
      <c r="H19" s="3350"/>
      <c r="I19" s="3350"/>
      <c r="J19" s="3350"/>
      <c r="K19" s="3362"/>
    </row>
    <row r="20" spans="1:33" s="523" customFormat="1" ht="13.5" customHeight="1">
      <c r="A20" s="3364" t="s">
        <v>3550</v>
      </c>
      <c r="B20" s="3220" t="s">
        <v>3558</v>
      </c>
      <c r="C20" s="2501">
        <f ca="1">ROUND(D20*E20/10000,0)</f>
        <v>4</v>
      </c>
      <c r="D20" s="3229">
        <f ca="1">IF(C1="",'数据-汇总表'!E3,INDIRECT("'数据-取费表'!K"&amp;$K$1)+INDIRECT("'数据-取费表'!S"&amp;$K$1))</f>
        <v>109.4</v>
      </c>
      <c r="E20" s="3230">
        <f>'数据-取费表'!B35</f>
        <v>350</v>
      </c>
      <c r="F20" s="3229"/>
      <c r="G20" s="2497"/>
      <c r="H20" s="3350"/>
      <c r="I20" s="3350"/>
      <c r="J20" s="526"/>
      <c r="K20" s="527"/>
    </row>
    <row r="21" spans="1:33" s="523" customFormat="1" ht="13.5" customHeight="1">
      <c r="A21" s="3364" t="s">
        <v>3551</v>
      </c>
      <c r="B21" s="3221" t="s">
        <v>3508</v>
      </c>
      <c r="C21" s="2501">
        <f ca="1">ROUND(C17*F21,0)</f>
        <v>0</v>
      </c>
      <c r="D21" s="3236"/>
      <c r="E21" s="3236"/>
      <c r="F21" s="3248">
        <f>'数据-取费表'!B36</f>
        <v>0.01</v>
      </c>
      <c r="G21" s="2497"/>
      <c r="H21" s="528"/>
      <c r="I21" s="528"/>
      <c r="J21" s="528"/>
      <c r="K21" s="3365"/>
    </row>
    <row r="22" spans="1:33" s="523" customFormat="1" ht="13.5" customHeight="1">
      <c r="A22" s="3364" t="s">
        <v>3552</v>
      </c>
      <c r="B22" s="3221" t="s">
        <v>3559</v>
      </c>
      <c r="C22" s="2501">
        <f ca="1">ROUND(C17*F22,0)</f>
        <v>0</v>
      </c>
      <c r="D22" s="3236"/>
      <c r="E22" s="3236"/>
      <c r="F22" s="3248">
        <f>'数据-取费表'!B37</f>
        <v>0</v>
      </c>
      <c r="G22" s="2497"/>
      <c r="H22" s="528"/>
      <c r="I22" s="528"/>
      <c r="J22" s="528"/>
      <c r="K22" s="3365"/>
    </row>
    <row r="23" spans="1:33" s="524" customFormat="1" ht="13.5" customHeight="1">
      <c r="A23" s="3363" t="s">
        <v>3598</v>
      </c>
      <c r="B23" s="3231" t="s">
        <v>3494</v>
      </c>
      <c r="C23" s="2506">
        <f ca="1">ROUND(C16*F23,0)</f>
        <v>1</v>
      </c>
      <c r="D23" s="3237"/>
      <c r="E23" s="3237"/>
      <c r="F23" s="3249">
        <f>'数据-取费表'!B38</f>
        <v>0.02</v>
      </c>
      <c r="G23" s="2509" t="s">
        <v>3531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3599</v>
      </c>
      <c r="B24" s="3231" t="s">
        <v>3538</v>
      </c>
      <c r="C24" s="2506" t="str">
        <f>F24&amp;"V建"</f>
        <v>0.02V建</v>
      </c>
      <c r="D24" s="3237"/>
      <c r="E24" s="3237"/>
      <c r="F24" s="3249">
        <f>'数据-取费表'!B39</f>
        <v>0.02</v>
      </c>
      <c r="G24" s="2509"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3" t="s">
        <v>3600</v>
      </c>
      <c r="B25" s="3231" t="s">
        <v>3422</v>
      </c>
      <c r="C25" s="3238" t="str">
        <f ca="1">C26&amp;"+"&amp;C27&amp;"V建"</f>
        <v>2+0.0004V建</v>
      </c>
      <c r="D25" s="3239"/>
      <c r="E25" s="3239"/>
      <c r="F25" s="3248">
        <f ca="1">'数据-取费表'!B41</f>
        <v>3.1300000000000001E-2</v>
      </c>
      <c r="G25" s="3354" t="s">
        <v>3539</v>
      </c>
      <c r="H25" s="3355"/>
      <c r="I25" s="3355"/>
      <c r="J25" s="3355"/>
      <c r="K25" s="3366"/>
    </row>
    <row r="26" spans="1:33" s="524" customFormat="1" ht="13.5" customHeight="1">
      <c r="A26" s="3364" t="s">
        <v>3540</v>
      </c>
      <c r="B26" s="3221" t="s">
        <v>3563</v>
      </c>
      <c r="C26" s="3238">
        <f ca="1">ROUND(IF('数据-取费表'!B20&lt;=1,(C16+C23)*F25*'数据-取费表'!B20/2,(C23+C16)*(POWER((1+F25),'数据-取费表'!B20/2)-1)),0)</f>
        <v>2</v>
      </c>
      <c r="D26" s="3239"/>
      <c r="E26" s="3239"/>
      <c r="F26" s="3229"/>
      <c r="G26" s="3354"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3542</v>
      </c>
      <c r="B27" s="3221" t="s">
        <v>3564</v>
      </c>
      <c r="C27" s="3240">
        <f>ROUND(IF('数据-取费表'!B20&lt;=1,F24*F25*'数据-取费表'!B20/2,F24*(POWER((1+F23),'数据-取费表'!B20/2)-1)),4)</f>
        <v>4.0000000000000002E-4</v>
      </c>
      <c r="D27" s="3031"/>
      <c r="E27" s="3031"/>
      <c r="F27" s="3247"/>
      <c r="G27" s="3356"/>
      <c r="H27" s="3350"/>
      <c r="I27" s="3350"/>
      <c r="J27" s="3350"/>
      <c r="K27" s="3362"/>
    </row>
    <row r="28" spans="1:33" s="523" customFormat="1" ht="13.5" customHeight="1">
      <c r="A28" s="3363" t="s">
        <v>3543</v>
      </c>
      <c r="B28" s="3231" t="s">
        <v>3560</v>
      </c>
      <c r="C28" s="2650" t="str">
        <f ca="1">C29&amp;"+"&amp;C30&amp;"V建"</f>
        <v>8+0.003V建</v>
      </c>
      <c r="D28" s="1012"/>
      <c r="E28" s="1012"/>
      <c r="F28" s="3250">
        <f ca="1">IF(C1="",'数据-取费表'!Q16,INDIRECT("'数据-取费表'!q"&amp;$K$1))</f>
        <v>0.15</v>
      </c>
      <c r="G28" s="4629" t="s">
        <v>3544</v>
      </c>
      <c r="H28" s="3350"/>
      <c r="I28" s="3350"/>
      <c r="J28" s="3350"/>
      <c r="K28" s="3362"/>
    </row>
    <row r="29" spans="1:33" s="523" customFormat="1" ht="13.5" customHeight="1">
      <c r="A29" s="3364" t="s">
        <v>3556</v>
      </c>
      <c r="B29" s="3221" t="s">
        <v>3561</v>
      </c>
      <c r="C29" s="2651">
        <f ca="1">ROUND((C16+C23)*F28,0)</f>
        <v>8</v>
      </c>
      <c r="D29" s="1012"/>
      <c r="E29" s="1012"/>
      <c r="F29" s="2720"/>
      <c r="G29" s="4629"/>
      <c r="H29" s="3357"/>
      <c r="I29" s="3357"/>
      <c r="J29" s="3357"/>
      <c r="K29" s="3367"/>
    </row>
    <row r="30" spans="1:33" s="531" customFormat="1" ht="13.5" customHeight="1">
      <c r="A30" s="3364" t="s">
        <v>3557</v>
      </c>
      <c r="B30" s="3221" t="s">
        <v>3562</v>
      </c>
      <c r="C30" s="2501">
        <f ca="1">ROUND(F24*F28,4)</f>
        <v>3.0000000000000001E-3</v>
      </c>
      <c r="D30" s="3241"/>
      <c r="E30" s="3239"/>
      <c r="F30" s="3229"/>
      <c r="G30" s="3358"/>
      <c r="H30" s="526"/>
      <c r="I30" s="526"/>
      <c r="J30" s="526"/>
      <c r="K30" s="527"/>
    </row>
    <row r="31" spans="1:33" s="531" customFormat="1" ht="13.5" customHeight="1">
      <c r="A31" s="3363" t="s">
        <v>3553</v>
      </c>
      <c r="B31" s="3231" t="s">
        <v>3565</v>
      </c>
      <c r="C31" s="2501">
        <v>0</v>
      </c>
      <c r="D31" s="3242"/>
      <c r="E31" s="3243"/>
      <c r="F31" s="3229"/>
      <c r="G31" s="3359" t="s">
        <v>3533</v>
      </c>
      <c r="H31" s="526"/>
      <c r="I31" s="526"/>
      <c r="J31" s="526"/>
      <c r="K31" s="527"/>
    </row>
    <row r="32" spans="1:33" s="523" customFormat="1" ht="13.5" customHeight="1">
      <c r="A32" s="3363" t="s">
        <v>3554</v>
      </c>
      <c r="B32" s="3231" t="s">
        <v>3601</v>
      </c>
      <c r="C32" s="3232">
        <f ca="1">ROUND((C16+C23+C26+C29)/(1-F24-C27-C30),0)</f>
        <v>65</v>
      </c>
      <c r="D32" s="3242"/>
      <c r="E32" s="3243"/>
      <c r="F32" s="3229"/>
      <c r="G32" s="3360" t="s">
        <v>3534</v>
      </c>
      <c r="H32" s="3361"/>
      <c r="I32" s="3361"/>
      <c r="J32" s="3361"/>
      <c r="K32" s="3368"/>
    </row>
    <row r="33" spans="1:11" s="176" customFormat="1" ht="13.5" customHeight="1">
      <c r="A33" s="3363" t="s">
        <v>3555</v>
      </c>
      <c r="B33" s="3244" t="s">
        <v>3545</v>
      </c>
      <c r="C33" s="3245">
        <f ca="1">ROUND(C32*(1-F33),0)</f>
        <v>13</v>
      </c>
      <c r="D33" s="3246"/>
      <c r="E33" s="3031"/>
      <c r="F33" s="3249">
        <f>IF('数据-取费表'!B24=0,'数据-取费表'!N16,1)</f>
        <v>0.8</v>
      </c>
      <c r="G33" s="3352" t="s">
        <v>3546</v>
      </c>
      <c r="H33" s="3357"/>
      <c r="I33" s="3357"/>
      <c r="J33" s="3357"/>
      <c r="K33" s="3367"/>
    </row>
    <row r="34" spans="1:11" s="521" customFormat="1" ht="15.75" thickBot="1">
      <c r="A34" s="3369">
        <v>4</v>
      </c>
      <c r="B34" s="3370" t="s">
        <v>3603</v>
      </c>
      <c r="C34" s="3371">
        <f ca="1">C13-C15</f>
        <v>-52</v>
      </c>
      <c r="D34" s="3370"/>
      <c r="E34" s="3370"/>
      <c r="F34" s="3372"/>
      <c r="G34" s="3373" t="s">
        <v>3631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0"/>
      <c r="C2" s="4240"/>
      <c r="D2" s="4240"/>
      <c r="E2" s="4240"/>
    </row>
    <row r="3" spans="1:5" ht="18">
      <c r="A3" s="4241" t="str">
        <f>IF(项目基本情况!B9="房地产市场价值","估价结果一览表（市场价值不需“结果表-1”）","估价结果一览表")</f>
        <v>估价结果一览表</v>
      </c>
      <c r="B3" s="4241"/>
      <c r="C3" s="4241"/>
      <c r="D3" s="4241"/>
      <c r="E3" s="4241"/>
    </row>
    <row r="4" spans="1:5" ht="19.5" thickBot="1">
      <c r="A4" s="1036"/>
      <c r="B4" s="4239" t="s">
        <v>901</v>
      </c>
      <c r="C4" s="4239"/>
      <c r="D4" s="4239"/>
      <c r="E4" s="1036"/>
    </row>
    <row r="5" spans="1:5" ht="16.5" thickTop="1">
      <c r="B5" s="4237" t="s">
        <v>893</v>
      </c>
      <c r="C5" s="1037" t="s">
        <v>894</v>
      </c>
      <c r="D5" s="540">
        <f ca="1">结果表!H101</f>
        <v>209.97139999999999</v>
      </c>
    </row>
    <row r="6" spans="1:5" ht="15.75">
      <c r="B6" s="4237"/>
      <c r="C6" s="1037" t="s">
        <v>895</v>
      </c>
      <c r="D6" s="540" t="str">
        <f ca="1">NUMBERSTRING(INT(D5*10000),2)&amp;"元整"</f>
        <v>贰佰零玖万玖仟柒佰壹拾肆元整</v>
      </c>
    </row>
    <row r="7" spans="1:5" ht="15.75">
      <c r="B7" s="4242"/>
      <c r="C7" s="1038" t="s">
        <v>896</v>
      </c>
      <c r="D7" s="541">
        <f ca="1">结果表!H102</f>
        <v>19193</v>
      </c>
    </row>
    <row r="8" spans="1:5" ht="15.75">
      <c r="B8" s="4243" t="str">
        <f>结果表!E103</f>
        <v>2.估价师知悉的法定优先受偿款</v>
      </c>
      <c r="C8" s="1039" t="s">
        <v>897</v>
      </c>
      <c r="D8" s="541">
        <f>结果表!H103</f>
        <v>0</v>
      </c>
    </row>
    <row r="9" spans="1:5" ht="15.75">
      <c r="B9" s="4245"/>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6" t="str">
        <f>结果表!E107</f>
        <v>3.房地产抵押价值</v>
      </c>
      <c r="C13" s="1042" t="s">
        <v>894</v>
      </c>
      <c r="D13" s="543">
        <f ca="1">结果表!H107</f>
        <v>209.97139999999999</v>
      </c>
    </row>
    <row r="14" spans="1:5" ht="15.75">
      <c r="B14" s="4237"/>
      <c r="C14" s="1037" t="s">
        <v>895</v>
      </c>
      <c r="D14" s="540" t="str">
        <f ca="1">NUMBERSTRING(INT(D13*10000),2)&amp;"元整"</f>
        <v>贰佰零玖万玖仟柒佰壹拾肆元整</v>
      </c>
    </row>
    <row r="15" spans="1:5" ht="15">
      <c r="B15" s="4242"/>
      <c r="C15" s="1038" t="s">
        <v>905</v>
      </c>
      <c r="D15" s="548">
        <f ca="1">结果表!H108</f>
        <v>19193</v>
      </c>
    </row>
    <row r="16" spans="1:5" ht="15">
      <c r="B16" s="4243" t="str">
        <f>结果表!E109</f>
        <v>——</v>
      </c>
      <c r="C16" s="1042" t="s">
        <v>906</v>
      </c>
      <c r="D16" s="1043" t="str">
        <f>结果表!H109</f>
        <v>——</v>
      </c>
    </row>
    <row r="17" spans="1:5" ht="15.75">
      <c r="B17" s="4244"/>
      <c r="C17" s="1037" t="s">
        <v>907</v>
      </c>
      <c r="D17" s="540" t="e">
        <f>NUMBERSTRING(INT(D16*10000),2)&amp;"元整"</f>
        <v>#VALUE!</v>
      </c>
    </row>
    <row r="18" spans="1:5" ht="15">
      <c r="B18" s="4245"/>
      <c r="C18" s="1038" t="s">
        <v>896</v>
      </c>
      <c r="D18" s="548" t="str">
        <f>结果表!H110</f>
        <v>——</v>
      </c>
    </row>
    <row r="19" spans="1:5" ht="15.75">
      <c r="B19" s="4236" t="str">
        <f>结果表!E111</f>
        <v>——</v>
      </c>
      <c r="C19" s="1042" t="s">
        <v>894</v>
      </c>
      <c r="D19" s="541" t="str">
        <f>结果表!H111</f>
        <v>——</v>
      </c>
    </row>
    <row r="20" spans="1:5" ht="15.75">
      <c r="B20" s="4237"/>
      <c r="C20" s="1037" t="s">
        <v>907</v>
      </c>
      <c r="D20" s="540" t="e">
        <f>NUMBERSTRING(INT(D19*10000),2)&amp;"元整"</f>
        <v>#VALUE!</v>
      </c>
    </row>
    <row r="21" spans="1:5" ht="15.75" thickBot="1">
      <c r="B21" s="4238"/>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62" sqref="C62:G6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7" t="s">
        <v>3524</v>
      </c>
      <c r="B1" s="3225"/>
      <c r="C1" s="2829"/>
      <c r="D1" s="93"/>
      <c r="E1" s="93"/>
      <c r="F1" s="93"/>
      <c r="G1" s="756">
        <f>MATCH(C1,'数据-取费表'!A6:A16,0)+5</f>
        <v>7</v>
      </c>
    </row>
    <row r="2" spans="1:7" s="95" customFormat="1" ht="15.75">
      <c r="A2" s="96" t="s">
        <v>1431</v>
      </c>
      <c r="B2" s="2522">
        <f ca="1">C34</f>
        <v>6</v>
      </c>
      <c r="C2" s="94" t="s">
        <v>1432</v>
      </c>
      <c r="D2" s="94"/>
      <c r="E2" s="2510"/>
      <c r="F2" s="94"/>
      <c r="G2" s="94"/>
    </row>
    <row r="3" spans="1:7" s="95" customFormat="1" ht="15.75">
      <c r="A3" s="98" t="s">
        <v>1433</v>
      </c>
      <c r="B3" s="2523">
        <f ca="1">ROUND(B2*10000/(IF(C1="",'数据-汇总表'!E3,INDIRECT("'数据-取费表'!k"&amp;$G$1))),0)</f>
        <v>548</v>
      </c>
      <c r="C3" s="94" t="s">
        <v>1434</v>
      </c>
      <c r="D3" s="94"/>
      <c r="E3" s="2510"/>
      <c r="F3" s="94"/>
      <c r="G3" s="94"/>
    </row>
    <row r="4" spans="1:7" s="95" customFormat="1" ht="15.75">
      <c r="A4" s="3387" t="s">
        <v>3638</v>
      </c>
      <c r="B4" s="2522" t="e">
        <f ca="1">ROUND(B2*10000/'数据-汇总表'!D3,0)</f>
        <v>#DIV/0!</v>
      </c>
      <c r="C4" s="96" t="s">
        <v>3640</v>
      </c>
      <c r="D4" s="94"/>
      <c r="E4" s="2510"/>
      <c r="F4" s="94"/>
      <c r="G4" s="94"/>
    </row>
    <row r="5" spans="1:7" s="95" customFormat="1" ht="16.5" thickBot="1">
      <c r="A5" s="94"/>
      <c r="B5" s="3396" t="e">
        <f ca="1">ROUND(B2/('数据-汇总表'!D3/666.67),0)</f>
        <v>#DIV/0!</v>
      </c>
      <c r="C5" s="3381" t="s">
        <v>3639</v>
      </c>
      <c r="D5" s="94"/>
      <c r="E5" s="2510"/>
      <c r="F5" s="94"/>
      <c r="G5" s="94"/>
    </row>
    <row r="6" spans="1:7" s="95" customFormat="1" ht="15.75">
      <c r="A6" s="3269" t="s">
        <v>3333</v>
      </c>
      <c r="B6" s="3270" t="s">
        <v>3334</v>
      </c>
      <c r="C6" s="3271" t="s">
        <v>3963</v>
      </c>
      <c r="D6" s="3272" t="s">
        <v>3339</v>
      </c>
      <c r="E6" s="3273" t="s">
        <v>3340</v>
      </c>
      <c r="F6" s="3273" t="s">
        <v>3341</v>
      </c>
      <c r="G6" s="3274" t="s">
        <v>3335</v>
      </c>
    </row>
    <row r="7" spans="1:7" s="103" customFormat="1" ht="15.75">
      <c r="A7" s="3275" t="s">
        <v>3332</v>
      </c>
      <c r="B7" s="2503" t="s">
        <v>3583</v>
      </c>
      <c r="C7" s="2525">
        <f>IF(G7="征收国有地",C8,IF(G7="征收集体地",C11,C17))</f>
        <v>0</v>
      </c>
      <c r="D7" s="3257"/>
      <c r="E7" s="3257"/>
      <c r="F7" s="3257"/>
      <c r="G7" s="3332"/>
    </row>
    <row r="8" spans="1:7" s="109" customFormat="1">
      <c r="A8" s="3276" t="s">
        <v>3607</v>
      </c>
      <c r="B8" s="3264" t="s">
        <v>3578</v>
      </c>
      <c r="C8" s="2562">
        <f>C9+C10</f>
        <v>0</v>
      </c>
      <c r="D8" s="3223"/>
      <c r="E8" s="3223"/>
      <c r="F8" s="3223"/>
      <c r="G8" s="3255"/>
    </row>
    <row r="9" spans="1:7" s="109" customFormat="1">
      <c r="A9" s="2581" t="s">
        <v>1451</v>
      </c>
      <c r="B9" s="124" t="s">
        <v>3566</v>
      </c>
      <c r="C9" s="3408">
        <f>ROUND(D9*E9/10000,0)</f>
        <v>0</v>
      </c>
      <c r="D9" s="3253"/>
      <c r="E9" s="3253"/>
      <c r="F9" s="3223"/>
      <c r="G9" s="3277"/>
    </row>
    <row r="10" spans="1:7" s="109" customFormat="1">
      <c r="A10" s="2581" t="s">
        <v>1454</v>
      </c>
      <c r="B10" s="124" t="s">
        <v>3567</v>
      </c>
      <c r="C10" s="3408">
        <f>ROUND(D10*E10/10000,0)</f>
        <v>0</v>
      </c>
      <c r="D10" s="3253"/>
      <c r="E10" s="3253"/>
      <c r="F10" s="3223"/>
      <c r="G10" s="3277"/>
    </row>
    <row r="11" spans="1:7" s="109" customFormat="1" ht="13.5">
      <c r="A11" s="3224" t="s">
        <v>3589</v>
      </c>
      <c r="B11" s="3327" t="s">
        <v>3579</v>
      </c>
      <c r="C11" s="136">
        <f>C12+C15+C16</f>
        <v>0</v>
      </c>
      <c r="D11" s="3223"/>
      <c r="E11" s="3223"/>
      <c r="F11" s="3223"/>
      <c r="G11" s="3277"/>
    </row>
    <row r="12" spans="1:7" s="109" customFormat="1">
      <c r="A12" s="2581" t="s">
        <v>1451</v>
      </c>
      <c r="B12" s="124" t="s">
        <v>3568</v>
      </c>
      <c r="C12" s="124">
        <f>C13+C14</f>
        <v>0</v>
      </c>
      <c r="D12" s="995"/>
      <c r="E12" s="995"/>
      <c r="F12" s="3223"/>
      <c r="G12" s="3278" t="s">
        <v>3569</v>
      </c>
    </row>
    <row r="13" spans="1:7" s="109" customFormat="1">
      <c r="A13" s="3328" t="s">
        <v>3591</v>
      </c>
      <c r="B13" s="3329" t="s">
        <v>3590</v>
      </c>
      <c r="C13" s="3408">
        <f>ROUND(D13*E13/10000,0)</f>
        <v>0</v>
      </c>
      <c r="D13" s="3253"/>
      <c r="E13" s="3253"/>
      <c r="F13" s="3223"/>
      <c r="G13" s="3279" t="s">
        <v>3671</v>
      </c>
    </row>
    <row r="14" spans="1:7" s="109" customFormat="1">
      <c r="A14" s="3328" t="s">
        <v>3593</v>
      </c>
      <c r="B14" s="3329" t="s">
        <v>3592</v>
      </c>
      <c r="C14" s="3253">
        <v>0</v>
      </c>
      <c r="D14" s="995"/>
      <c r="E14" s="995"/>
      <c r="F14" s="3223"/>
      <c r="G14" s="3279"/>
    </row>
    <row r="15" spans="1:7" s="109" customFormat="1">
      <c r="A15" s="2581" t="s">
        <v>1454</v>
      </c>
      <c r="B15" s="124" t="s">
        <v>3570</v>
      </c>
      <c r="C15" s="3408">
        <f t="shared" ref="C15" si="0">ROUND(D15*E15/10000,0)</f>
        <v>0</v>
      </c>
      <c r="D15" s="3253"/>
      <c r="E15" s="3253"/>
      <c r="F15" s="3223"/>
      <c r="G15" s="3279" t="s">
        <v>3571</v>
      </c>
    </row>
    <row r="16" spans="1:7" s="109" customFormat="1">
      <c r="A16" s="2581" t="s">
        <v>3582</v>
      </c>
      <c r="B16" s="3265" t="s">
        <v>3572</v>
      </c>
      <c r="C16" s="3408">
        <f>C13*F16</f>
        <v>0</v>
      </c>
      <c r="D16" s="3253"/>
      <c r="E16" s="3253"/>
      <c r="F16" s="3409">
        <v>0.25</v>
      </c>
      <c r="G16" s="3342" t="s">
        <v>3573</v>
      </c>
    </row>
    <row r="17" spans="1:9" s="109" customFormat="1" ht="13.5">
      <c r="A17" s="3224" t="s">
        <v>337</v>
      </c>
      <c r="B17" s="3264" t="s">
        <v>3580</v>
      </c>
      <c r="C17" s="2521">
        <f>C18+C19</f>
        <v>0</v>
      </c>
      <c r="D17" s="3334"/>
      <c r="E17" s="3335"/>
      <c r="F17" s="2553"/>
      <c r="G17" s="3343"/>
    </row>
    <row r="18" spans="1:9" s="109" customFormat="1">
      <c r="A18" s="3222" t="s">
        <v>347</v>
      </c>
      <c r="B18" s="3265" t="s">
        <v>1442</v>
      </c>
      <c r="C18" s="3021"/>
      <c r="D18" s="3336"/>
      <c r="E18" s="3335"/>
      <c r="F18" s="2552"/>
      <c r="G18" s="3410" t="s">
        <v>3672</v>
      </c>
    </row>
    <row r="19" spans="1:9" s="109" customFormat="1">
      <c r="A19" s="3222" t="s">
        <v>1443</v>
      </c>
      <c r="B19" s="3265" t="s">
        <v>1444</v>
      </c>
      <c r="C19" s="2521">
        <f>ROUND(C18*F19,0)</f>
        <v>0</v>
      </c>
      <c r="D19" s="3334"/>
      <c r="E19" s="3335"/>
      <c r="F19" s="2553">
        <f>IF(项目基本情况!B8="出让",0,'数据-取费表'!B49+'数据-取费表'!B50)</f>
        <v>3.0499999999999999E-2</v>
      </c>
      <c r="G19" s="3343"/>
    </row>
    <row r="20" spans="1:9" s="2533" customFormat="1" ht="15.75">
      <c r="A20" s="3275" t="s">
        <v>3608</v>
      </c>
      <c r="B20" s="2503" t="s">
        <v>3581</v>
      </c>
      <c r="C20" s="2534">
        <f ca="1">C21+C24+C25</f>
        <v>5</v>
      </c>
      <c r="D20" s="3337"/>
      <c r="E20" s="3338"/>
      <c r="F20" s="2557"/>
      <c r="G20" s="3344"/>
    </row>
    <row r="21" spans="1:9" s="118" customFormat="1" ht="15">
      <c r="A21" s="3280" t="s">
        <v>3604</v>
      </c>
      <c r="B21" s="3258" t="s">
        <v>3325</v>
      </c>
      <c r="C21" s="2562">
        <f>IF(G21="已包含在土地购买价格中","0",IF(C1="",'数据-取费表'!B29,IF(G22="全部缴纳",C22+C23,H22)))</f>
        <v>0</v>
      </c>
      <c r="D21" s="3339"/>
      <c r="E21" s="3340"/>
      <c r="F21" s="3254"/>
      <c r="G21" s="1339"/>
    </row>
    <row r="22" spans="1:9" s="109" customFormat="1">
      <c r="A22" s="2505" t="s">
        <v>3587</v>
      </c>
      <c r="B22" s="3259" t="s">
        <v>1447</v>
      </c>
      <c r="C22" s="2561">
        <f ca="1">ROUND(D22*E22/10000,0)</f>
        <v>0</v>
      </c>
      <c r="D22" s="3251">
        <f ca="1">IF(C1="",'数据-汇总表'!E5,IF(INDIRECT("'数据-取费表'!c"&amp;$G$1)="住宅",INDIRECT("'数据-取费表'!k"&amp;$G$1),0))</f>
        <v>0</v>
      </c>
      <c r="E22" s="3251">
        <f>'数据-取费表'!B27</f>
        <v>0</v>
      </c>
      <c r="F22" s="2553"/>
      <c r="G22" s="1340"/>
      <c r="H22" s="762"/>
      <c r="I22" s="1341" t="s">
        <v>1448</v>
      </c>
    </row>
    <row r="23" spans="1:9" s="109" customFormat="1">
      <c r="A23" s="2505" t="s">
        <v>3588</v>
      </c>
      <c r="B23" s="3259" t="s">
        <v>1449</v>
      </c>
      <c r="C23" s="2561">
        <f ca="1">ROUND(D23*E23/10000,0)</f>
        <v>2</v>
      </c>
      <c r="D23" s="3251">
        <f ca="1">IF(C1="",'数据-汇总表'!E6,IF(INDIRECT("'数据-取费表'!c"&amp;$G$1)="住宅",INDIRECT("'数据-取费表'!s"&amp;$G$1),INDIRECT("'数据-取费表'!k"&amp;$G$1)+INDIRECT("'数据-取费表'!s"&amp;$G$1)))</f>
        <v>109.4</v>
      </c>
      <c r="E23" s="3251">
        <f>'数据-取费表'!B28</f>
        <v>200</v>
      </c>
      <c r="F23" s="2553"/>
      <c r="G23" s="3345"/>
    </row>
    <row r="24" spans="1:9" s="109" customFormat="1" ht="13.5">
      <c r="A24" s="3224" t="s">
        <v>3589</v>
      </c>
      <c r="B24" s="3260" t="s">
        <v>3605</v>
      </c>
      <c r="C24" s="2562">
        <f ca="1">IF(G24="已包含在土地取得成本中","0",ROUND(D24*E24/10000,0))</f>
        <v>1</v>
      </c>
      <c r="D24" s="3252">
        <f ca="1">D22+D23</f>
        <v>109.4</v>
      </c>
      <c r="E24" s="3252">
        <f>'数据-取费表'!B31</f>
        <v>130</v>
      </c>
      <c r="F24" s="3261"/>
      <c r="G24" s="1339"/>
    </row>
    <row r="25" spans="1:9" s="109" customFormat="1" ht="13.5">
      <c r="A25" s="3224" t="s">
        <v>337</v>
      </c>
      <c r="B25" s="3260" t="s">
        <v>3606</v>
      </c>
      <c r="C25" s="2562">
        <f ca="1">ROUND(E25*D25/10000,0)</f>
        <v>4</v>
      </c>
      <c r="D25" s="3252">
        <f ca="1">D24</f>
        <v>109.4</v>
      </c>
      <c r="E25" s="3252">
        <f>'数据-取费表'!B35</f>
        <v>350</v>
      </c>
      <c r="F25" s="3254"/>
      <c r="G25" s="3346"/>
    </row>
    <row r="26" spans="1:9" s="103" customFormat="1" ht="15.75">
      <c r="A26" s="3275" t="s">
        <v>3609</v>
      </c>
      <c r="B26" s="2503" t="s">
        <v>3610</v>
      </c>
      <c r="C26" s="2522">
        <f>C27+C28</f>
        <v>0</v>
      </c>
      <c r="D26" s="3341"/>
      <c r="E26" s="3341"/>
      <c r="F26" s="3254"/>
      <c r="G26" s="3347"/>
    </row>
    <row r="27" spans="1:9" s="109" customFormat="1">
      <c r="A27" s="3276" t="s">
        <v>3607</v>
      </c>
      <c r="B27" s="3262" t="s">
        <v>3574</v>
      </c>
      <c r="C27" s="2562">
        <f>ROUND(E27*D27/10000,0)</f>
        <v>0</v>
      </c>
      <c r="D27" s="3263"/>
      <c r="E27" s="3285">
        <v>25</v>
      </c>
      <c r="F27" s="3254"/>
      <c r="G27" s="3342" t="s">
        <v>3575</v>
      </c>
    </row>
    <row r="28" spans="1:9" s="109" customFormat="1">
      <c r="A28" s="3281" t="s">
        <v>3589</v>
      </c>
      <c r="B28" s="3262" t="s">
        <v>3576</v>
      </c>
      <c r="C28" s="2562">
        <f>ROUND(E28*D28/10000,0)</f>
        <v>0</v>
      </c>
      <c r="D28" s="3263"/>
      <c r="E28" s="3285">
        <v>60.1</v>
      </c>
      <c r="F28" s="3254"/>
      <c r="G28" s="3342" t="s">
        <v>3577</v>
      </c>
    </row>
    <row r="29" spans="1:9" s="2533" customFormat="1" ht="15.75">
      <c r="A29" s="3275" t="s">
        <v>3611</v>
      </c>
      <c r="B29" s="2503" t="s">
        <v>3612</v>
      </c>
      <c r="C29" s="2513">
        <f ca="1">ROUND(IF('数据-取费表'!B19&lt;=1,((C7+C26)*'数据-取费表'!B19+C20*'数据-取费表'!B19/2)*F29,((C7+C26)*(POWER((1+F29),'数据-取费表'!B19)-1)+C20*(POWER((1+F29),'数据-取费表'!B19/2)-1))),0)</f>
        <v>0</v>
      </c>
      <c r="D29" s="2538"/>
      <c r="E29" s="296"/>
      <c r="F29" s="3256">
        <f ca="1">'数据-取费表'!B41</f>
        <v>3.1300000000000001E-2</v>
      </c>
      <c r="G29" s="3348" t="str">
        <f>IF('数据-取费表'!B19&lt;=1,"单利计息","复利计息")</f>
        <v>单利计息</v>
      </c>
    </row>
    <row r="30" spans="1:9" s="2533" customFormat="1" ht="15.75">
      <c r="A30" s="3275" t="s">
        <v>3613</v>
      </c>
      <c r="B30" s="2503" t="s">
        <v>3614</v>
      </c>
      <c r="C30" s="2540">
        <f ca="1">ROUND((C7+C20+C26)*F30,0)</f>
        <v>1</v>
      </c>
      <c r="D30" s="2538"/>
      <c r="E30" s="296"/>
      <c r="F30" s="3266">
        <f ca="1">IF(C1="",'数据-取费表'!Q16,INDIRECT("'数据-取费表'!q"&amp;$G$1))</f>
        <v>0.15</v>
      </c>
      <c r="G30" s="3348"/>
    </row>
    <row r="31" spans="1:9" s="109" customFormat="1" ht="15.75">
      <c r="A31" s="2504" t="s">
        <v>3594</v>
      </c>
      <c r="B31" s="2503" t="s">
        <v>3586</v>
      </c>
      <c r="C31" s="2525">
        <f ca="1">C7+C20+C29+C30</f>
        <v>6</v>
      </c>
      <c r="D31" s="2516"/>
      <c r="E31" s="2516"/>
      <c r="F31" s="2515"/>
      <c r="G31" s="2517" t="s">
        <v>3617</v>
      </c>
    </row>
    <row r="32" spans="1:9" s="109" customFormat="1" ht="15.75">
      <c r="A32" s="2504" t="s">
        <v>3585</v>
      </c>
      <c r="B32" s="2503" t="s">
        <v>3584</v>
      </c>
      <c r="C32" s="3331">
        <f ca="1">ROUND(C31*F32,0)</f>
        <v>1</v>
      </c>
      <c r="D32" s="130"/>
      <c r="E32" s="131"/>
      <c r="F32" s="3267">
        <v>0.1</v>
      </c>
      <c r="G32" s="3349"/>
    </row>
    <row r="33" spans="1:7" s="109" customFormat="1" ht="15.75">
      <c r="A33" s="3330">
        <v>8</v>
      </c>
      <c r="B33" s="2503" t="s">
        <v>3596</v>
      </c>
      <c r="C33" s="2525">
        <f ca="1">C31+C32</f>
        <v>7</v>
      </c>
      <c r="D33" s="2516"/>
      <c r="E33" s="2516"/>
      <c r="F33" s="3268"/>
      <c r="G33" s="2517" t="s">
        <v>3616</v>
      </c>
    </row>
    <row r="34" spans="1:7" s="118" customFormat="1" ht="16.5" thickBot="1">
      <c r="A34" s="3282">
        <v>9</v>
      </c>
      <c r="B34" s="3283" t="s">
        <v>3595</v>
      </c>
      <c r="C34" s="2525">
        <f ca="1">ROUND(C33*F34,0)</f>
        <v>6</v>
      </c>
      <c r="D34" s="3284"/>
      <c r="E34" s="3284"/>
      <c r="F34" s="3333">
        <f>'数据-取费表'!AS16</f>
        <v>0.83499999999999996</v>
      </c>
      <c r="G34" s="2517"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2486</v>
      </c>
      <c r="B1" s="2226" t="s">
        <v>2487</v>
      </c>
      <c r="C1" s="2226" t="s">
        <v>2488</v>
      </c>
      <c r="D1" s="2226" t="s">
        <v>2489</v>
      </c>
      <c r="E1" s="2226" t="s">
        <v>2490</v>
      </c>
      <c r="F1" s="2226" t="s">
        <v>2491</v>
      </c>
      <c r="G1" s="2226" t="s">
        <v>2492</v>
      </c>
      <c r="H1" s="2226" t="s">
        <v>2493</v>
      </c>
      <c r="I1" s="2226" t="s">
        <v>2494</v>
      </c>
      <c r="J1" s="2226" t="s">
        <v>2495</v>
      </c>
      <c r="K1" s="2226" t="s">
        <v>2496</v>
      </c>
      <c r="L1" s="2226" t="s">
        <v>2497</v>
      </c>
      <c r="M1" s="2227" t="s">
        <v>2498</v>
      </c>
    </row>
    <row r="2" spans="1:13" ht="19.5" customHeight="1">
      <c r="A2" s="2229" t="s">
        <v>2499</v>
      </c>
      <c r="B2" s="3036">
        <v>3.5</v>
      </c>
      <c r="C2" s="3036">
        <v>3.5</v>
      </c>
      <c r="D2" s="3037">
        <v>2.5</v>
      </c>
      <c r="E2" s="3037">
        <v>2.5</v>
      </c>
      <c r="F2" s="3037">
        <v>2.5</v>
      </c>
      <c r="G2" s="3037">
        <v>2.5</v>
      </c>
      <c r="H2" s="3037">
        <v>2.5</v>
      </c>
      <c r="I2" s="3036">
        <v>2</v>
      </c>
      <c r="J2" s="3036">
        <v>2</v>
      </c>
      <c r="K2" s="3036">
        <v>2</v>
      </c>
      <c r="L2" s="3036">
        <v>2</v>
      </c>
      <c r="M2" s="3038">
        <v>2</v>
      </c>
    </row>
    <row r="3" spans="1:13" ht="19.5" customHeight="1">
      <c r="A3" s="2192" t="s">
        <v>2500</v>
      </c>
      <c r="B3" s="3039">
        <v>3.5</v>
      </c>
      <c r="C3" s="3039">
        <v>3.5</v>
      </c>
      <c r="D3" s="3040">
        <v>2.5</v>
      </c>
      <c r="E3" s="3040">
        <v>2.5</v>
      </c>
      <c r="F3" s="3040">
        <v>2.5</v>
      </c>
      <c r="G3" s="3040">
        <v>2.5</v>
      </c>
      <c r="H3" s="3040">
        <v>2.5</v>
      </c>
      <c r="I3" s="3039">
        <v>2</v>
      </c>
      <c r="J3" s="3039">
        <v>2</v>
      </c>
      <c r="K3" s="3039">
        <v>2</v>
      </c>
      <c r="L3" s="3039">
        <v>2</v>
      </c>
      <c r="M3" s="3041">
        <v>2</v>
      </c>
    </row>
    <row r="4" spans="1:13" ht="19.5" customHeight="1">
      <c r="A4" s="2192" t="s">
        <v>2501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0" t="s">
        <v>2502</v>
      </c>
      <c r="B5" s="3039">
        <v>1.5</v>
      </c>
      <c r="C5" s="3039">
        <v>1.5</v>
      </c>
      <c r="D5" s="3039">
        <v>1.5</v>
      </c>
      <c r="E5" s="3039">
        <v>1.5</v>
      </c>
      <c r="F5" s="3039">
        <v>1.5</v>
      </c>
      <c r="G5" s="3039">
        <v>1.2</v>
      </c>
      <c r="H5" s="3039">
        <v>1.2</v>
      </c>
      <c r="I5" s="3039">
        <v>1</v>
      </c>
      <c r="J5" s="3039">
        <v>1</v>
      </c>
      <c r="K5" s="3039">
        <v>1</v>
      </c>
      <c r="L5" s="3039">
        <v>1</v>
      </c>
      <c r="M5" s="3041">
        <v>1</v>
      </c>
    </row>
    <row r="6" spans="1:13" ht="19.5" customHeight="1">
      <c r="A6" s="2231" t="s">
        <v>2503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2" t="s">
        <v>2504</v>
      </c>
      <c r="B7" s="3045">
        <v>2.5</v>
      </c>
      <c r="C7" s="3045">
        <v>2.5</v>
      </c>
      <c r="D7" s="3045">
        <v>2</v>
      </c>
      <c r="E7" s="3045">
        <v>2</v>
      </c>
      <c r="F7" s="3045">
        <v>2</v>
      </c>
      <c r="G7" s="3045">
        <v>2</v>
      </c>
      <c r="H7" s="3045">
        <v>2</v>
      </c>
      <c r="I7" s="3046">
        <v>1.5</v>
      </c>
      <c r="J7" s="3046">
        <v>1.5</v>
      </c>
      <c r="K7" s="3046">
        <v>1.5</v>
      </c>
      <c r="L7" s="3046">
        <v>1.5</v>
      </c>
      <c r="M7" s="3047">
        <v>1.5</v>
      </c>
    </row>
    <row r="8" spans="1:13" ht="19.5" customHeight="1">
      <c r="A8" s="2233" t="s">
        <v>2505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4" t="s">
        <v>2506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4" t="s">
        <v>2507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4" t="s">
        <v>2508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4" t="s">
        <v>2509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4" t="s">
        <v>2510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4" t="s">
        <v>2511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6" t="s">
        <v>2512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5" t="s">
        <v>2513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5" t="s">
        <v>2514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0" customFormat="1" ht="19.5" customHeight="1">
      <c r="A18" s="2238" t="s">
        <v>2515</v>
      </c>
      <c r="B18" s="2238"/>
      <c r="C18" s="2239"/>
      <c r="D18" s="2239"/>
      <c r="E18" s="2238"/>
      <c r="F18" s="2239"/>
      <c r="G18" s="2239"/>
    </row>
    <row r="19" spans="1:13" ht="19.5" customHeight="1" thickBot="1">
      <c r="A19" s="2237" t="s">
        <v>2516</v>
      </c>
      <c r="B19" s="2241" t="s">
        <v>2517</v>
      </c>
      <c r="C19" s="2241" t="s">
        <v>2518</v>
      </c>
      <c r="D19" s="2242"/>
      <c r="E19" s="2237" t="s">
        <v>2519</v>
      </c>
      <c r="F19" s="2243"/>
      <c r="G19" s="2243"/>
    </row>
    <row r="20" spans="1:13" ht="19.5" customHeight="1">
      <c r="A20" s="4640" t="s">
        <v>2499</v>
      </c>
      <c r="B20" s="4630" t="s">
        <v>2520</v>
      </c>
      <c r="C20" s="2492" t="s">
        <v>2331</v>
      </c>
      <c r="D20" s="2492"/>
      <c r="E20" s="3056">
        <v>1</v>
      </c>
      <c r="F20" s="2246" t="s">
        <v>2332</v>
      </c>
      <c r="G20" s="2246"/>
    </row>
    <row r="21" spans="1:13" ht="19.5" customHeight="1">
      <c r="A21" s="4641"/>
      <c r="B21" s="4631"/>
      <c r="C21" s="2255" t="s">
        <v>2333</v>
      </c>
      <c r="D21" s="2255"/>
      <c r="E21" s="3057">
        <v>1</v>
      </c>
      <c r="F21" s="2246" t="s">
        <v>2334</v>
      </c>
      <c r="G21" s="2246"/>
    </row>
    <row r="22" spans="1:13" ht="19.5" customHeight="1">
      <c r="A22" s="4641"/>
      <c r="B22" s="4631"/>
      <c r="C22" s="2255" t="s">
        <v>2335</v>
      </c>
      <c r="D22" s="2255"/>
      <c r="E22" s="3057">
        <v>0.9</v>
      </c>
      <c r="F22" s="2246" t="s">
        <v>2336</v>
      </c>
      <c r="G22" s="2246"/>
    </row>
    <row r="23" spans="1:13" ht="19.5" customHeight="1">
      <c r="A23" s="4641"/>
      <c r="B23" s="4631"/>
      <c r="C23" s="2255" t="s">
        <v>2337</v>
      </c>
      <c r="D23" s="2255"/>
      <c r="E23" s="3057">
        <v>0.9</v>
      </c>
      <c r="F23" s="2246" t="s">
        <v>2338</v>
      </c>
      <c r="G23" s="2246"/>
    </row>
    <row r="24" spans="1:13" ht="19.5" customHeight="1">
      <c r="A24" s="4641"/>
      <c r="B24" s="4631"/>
      <c r="C24" s="2255" t="s">
        <v>2339</v>
      </c>
      <c r="D24" s="2255"/>
      <c r="E24" s="3057">
        <v>0.8</v>
      </c>
      <c r="F24" s="2246" t="s">
        <v>2340</v>
      </c>
      <c r="G24" s="2246"/>
    </row>
    <row r="25" spans="1:13" ht="19.5" customHeight="1">
      <c r="A25" s="4641"/>
      <c r="B25" s="4631"/>
      <c r="C25" s="2255" t="s">
        <v>2341</v>
      </c>
      <c r="D25" s="2255"/>
      <c r="E25" s="3057">
        <v>0.8</v>
      </c>
      <c r="F25" s="2246"/>
      <c r="G25" s="2246"/>
    </row>
    <row r="26" spans="1:13" ht="19.5" customHeight="1">
      <c r="A26" s="4641"/>
      <c r="B26" s="4631"/>
      <c r="C26" s="2255" t="s">
        <v>3280</v>
      </c>
      <c r="D26" s="2255"/>
      <c r="E26" s="3057">
        <v>0.43</v>
      </c>
      <c r="F26" s="2246"/>
      <c r="G26" s="2246"/>
    </row>
    <row r="27" spans="1:13" ht="19.5" customHeight="1" thickBot="1">
      <c r="A27" s="4642"/>
      <c r="B27" s="4632"/>
      <c r="C27" s="2489" t="s">
        <v>3281</v>
      </c>
      <c r="D27" s="2489"/>
      <c r="E27" s="3058">
        <f>E26*0.9</f>
        <v>0.38700000000000001</v>
      </c>
      <c r="F27" s="2246" t="s">
        <v>2342</v>
      </c>
      <c r="G27" s="2246"/>
    </row>
    <row r="28" spans="1:13" ht="19.5" customHeight="1" thickBot="1">
      <c r="A28" s="2488" t="s">
        <v>2521</v>
      </c>
      <c r="B28" s="2487" t="s">
        <v>2520</v>
      </c>
      <c r="C28" s="2490" t="s">
        <v>2522</v>
      </c>
      <c r="D28" s="2491"/>
      <c r="E28" s="3059">
        <v>1</v>
      </c>
      <c r="F28" s="2246" t="s">
        <v>2343</v>
      </c>
      <c r="G28" s="2246"/>
    </row>
    <row r="29" spans="1:13" ht="19.5" customHeight="1">
      <c r="A29" s="4633" t="s">
        <v>2523</v>
      </c>
      <c r="B29" s="4636" t="s">
        <v>2504</v>
      </c>
      <c r="C29" s="2244" t="s">
        <v>2344</v>
      </c>
      <c r="D29" s="2245"/>
      <c r="E29" s="3056">
        <v>1</v>
      </c>
      <c r="F29" s="2246" t="s">
        <v>2345</v>
      </c>
      <c r="G29" s="2246"/>
    </row>
    <row r="30" spans="1:13" ht="19.5" customHeight="1">
      <c r="A30" s="4634"/>
      <c r="B30" s="4637"/>
      <c r="C30" s="2247" t="s">
        <v>2346</v>
      </c>
      <c r="D30" s="2248"/>
      <c r="E30" s="3057">
        <v>1</v>
      </c>
      <c r="F30" s="2246" t="s">
        <v>2347</v>
      </c>
      <c r="G30" s="2246"/>
    </row>
    <row r="31" spans="1:13" ht="19.5" customHeight="1">
      <c r="A31" s="4634"/>
      <c r="B31" s="4637"/>
      <c r="C31" s="2247" t="s">
        <v>2348</v>
      </c>
      <c r="D31" s="2248"/>
      <c r="E31" s="3057">
        <v>0.8</v>
      </c>
      <c r="F31" s="2246" t="s">
        <v>2349</v>
      </c>
      <c r="G31" s="2246"/>
    </row>
    <row r="32" spans="1:13" ht="19.5" customHeight="1">
      <c r="A32" s="4634"/>
      <c r="B32" s="4637"/>
      <c r="C32" s="2247" t="s">
        <v>2350</v>
      </c>
      <c r="D32" s="2248"/>
      <c r="E32" s="3057">
        <v>0.8</v>
      </c>
      <c r="F32" s="2246" t="s">
        <v>2351</v>
      </c>
      <c r="G32" s="2246"/>
    </row>
    <row r="33" spans="1:7" ht="19.5" customHeight="1">
      <c r="A33" s="4634"/>
      <c r="B33" s="4637"/>
      <c r="C33" s="2247" t="s">
        <v>2352</v>
      </c>
      <c r="D33" s="2248"/>
      <c r="E33" s="3057">
        <v>0.8</v>
      </c>
      <c r="F33" s="2246" t="s">
        <v>2353</v>
      </c>
      <c r="G33" s="2246"/>
    </row>
    <row r="34" spans="1:7" ht="19.5" customHeight="1">
      <c r="A34" s="4634"/>
      <c r="B34" s="4637"/>
      <c r="C34" s="2247" t="s">
        <v>2354</v>
      </c>
      <c r="D34" s="2248"/>
      <c r="E34" s="3057">
        <v>0.7</v>
      </c>
      <c r="F34" s="2246" t="s">
        <v>2355</v>
      </c>
      <c r="G34" s="2246"/>
    </row>
    <row r="35" spans="1:7" ht="19.5" customHeight="1">
      <c r="A35" s="4634"/>
      <c r="B35" s="4637"/>
      <c r="C35" s="2247" t="s">
        <v>2356</v>
      </c>
      <c r="D35" s="2248"/>
      <c r="E35" s="3057">
        <v>0.8</v>
      </c>
      <c r="F35" s="2246" t="s">
        <v>2357</v>
      </c>
      <c r="G35" s="2246"/>
    </row>
    <row r="36" spans="1:7" ht="19.5" customHeight="1">
      <c r="A36" s="4634"/>
      <c r="B36" s="4637"/>
      <c r="C36" s="2247" t="s">
        <v>2358</v>
      </c>
      <c r="D36" s="2248"/>
      <c r="E36" s="3057">
        <v>0.6</v>
      </c>
      <c r="F36" s="2246" t="s">
        <v>2359</v>
      </c>
      <c r="G36" s="2246"/>
    </row>
    <row r="37" spans="1:7" ht="19.5" customHeight="1">
      <c r="A37" s="4634"/>
      <c r="B37" s="4637"/>
      <c r="C37" s="2247" t="s">
        <v>2360</v>
      </c>
      <c r="D37" s="2248"/>
      <c r="E37" s="3057">
        <v>0.2</v>
      </c>
      <c r="F37" s="2246" t="s">
        <v>2361</v>
      </c>
      <c r="G37" s="2246"/>
    </row>
    <row r="38" spans="1:7" ht="19.5" customHeight="1">
      <c r="A38" s="4634"/>
      <c r="B38" s="4637"/>
      <c r="C38" s="2247" t="s">
        <v>2362</v>
      </c>
      <c r="D38" s="2248"/>
      <c r="E38" s="3057">
        <v>0.2</v>
      </c>
      <c r="F38" s="2246" t="s">
        <v>2363</v>
      </c>
      <c r="G38" s="2246"/>
    </row>
    <row r="39" spans="1:7" ht="19.5" customHeight="1">
      <c r="A39" s="4634"/>
      <c r="B39" s="4638" t="s">
        <v>2524</v>
      </c>
      <c r="C39" s="2247" t="s">
        <v>2364</v>
      </c>
      <c r="D39" s="2248"/>
      <c r="E39" s="3057">
        <v>0.6</v>
      </c>
      <c r="F39" s="2246" t="s">
        <v>2365</v>
      </c>
      <c r="G39" s="2246"/>
    </row>
    <row r="40" spans="1:7" ht="19.5" customHeight="1">
      <c r="A40" s="4634"/>
      <c r="B40" s="4637"/>
      <c r="C40" s="2247" t="s">
        <v>2366</v>
      </c>
      <c r="D40" s="2248"/>
      <c r="E40" s="3057">
        <v>0.6</v>
      </c>
      <c r="F40" s="2246" t="s">
        <v>2367</v>
      </c>
      <c r="G40" s="2246"/>
    </row>
    <row r="41" spans="1:7" ht="19.5" customHeight="1" thickBot="1">
      <c r="A41" s="4635"/>
      <c r="B41" s="4639"/>
      <c r="C41" s="2249" t="s">
        <v>2368</v>
      </c>
      <c r="D41" s="2250"/>
      <c r="E41" s="3058">
        <v>0.6</v>
      </c>
      <c r="F41" s="2246" t="s">
        <v>2369</v>
      </c>
      <c r="G41" s="2246"/>
    </row>
    <row r="42" spans="1:7" ht="19.5" customHeight="1" thickBot="1">
      <c r="A42" s="2251" t="s">
        <v>2501</v>
      </c>
      <c r="B42" s="2252" t="s">
        <v>2501</v>
      </c>
      <c r="C42" s="2253" t="s">
        <v>2525</v>
      </c>
      <c r="D42" s="2254"/>
      <c r="E42" s="3060">
        <v>1</v>
      </c>
      <c r="F42" s="2246" t="s">
        <v>2370</v>
      </c>
      <c r="G42" s="2246"/>
    </row>
    <row r="43" spans="1:7" ht="19.5" customHeight="1">
      <c r="A43" s="4640" t="s">
        <v>2502</v>
      </c>
      <c r="B43" s="4636" t="s">
        <v>2526</v>
      </c>
      <c r="C43" s="2244" t="s">
        <v>2371</v>
      </c>
      <c r="D43" s="2245"/>
      <c r="E43" s="3056">
        <v>1</v>
      </c>
      <c r="F43" s="2246" t="s">
        <v>2372</v>
      </c>
      <c r="G43" s="2246"/>
    </row>
    <row r="44" spans="1:7" ht="19.5" customHeight="1">
      <c r="A44" s="4641"/>
      <c r="B44" s="4637"/>
      <c r="C44" s="2247" t="s">
        <v>2373</v>
      </c>
      <c r="D44" s="2248"/>
      <c r="E44" s="3057">
        <v>1</v>
      </c>
      <c r="F44" s="2246" t="s">
        <v>2374</v>
      </c>
      <c r="G44" s="2246"/>
    </row>
    <row r="45" spans="1:7" ht="19.5" customHeight="1">
      <c r="A45" s="4641"/>
      <c r="B45" s="4643"/>
      <c r="C45" s="2247" t="s">
        <v>2375</v>
      </c>
      <c r="D45" s="2248"/>
      <c r="E45" s="3057">
        <v>1.5</v>
      </c>
      <c r="F45" s="2246" t="s">
        <v>2376</v>
      </c>
      <c r="G45" s="2246"/>
    </row>
    <row r="46" spans="1:7" ht="19.5" customHeight="1">
      <c r="A46" s="4641"/>
      <c r="B46" s="2255" t="s">
        <v>2527</v>
      </c>
      <c r="C46" s="2247" t="s">
        <v>2528</v>
      </c>
      <c r="D46" s="2248"/>
      <c r="E46" s="3057">
        <v>2</v>
      </c>
      <c r="F46" s="2246" t="s">
        <v>2377</v>
      </c>
      <c r="G46" s="2246"/>
    </row>
    <row r="47" spans="1:7" ht="19.5" customHeight="1">
      <c r="A47" s="4641"/>
      <c r="B47" s="4638" t="s">
        <v>2529</v>
      </c>
      <c r="C47" s="2247" t="s">
        <v>2378</v>
      </c>
      <c r="D47" s="2248"/>
      <c r="E47" s="3057">
        <v>1</v>
      </c>
      <c r="F47" s="2246" t="s">
        <v>2379</v>
      </c>
      <c r="G47" s="2246"/>
    </row>
    <row r="48" spans="1:7" ht="19.5" customHeight="1">
      <c r="A48" s="4641"/>
      <c r="B48" s="4637"/>
      <c r="C48" s="2247" t="s">
        <v>2380</v>
      </c>
      <c r="D48" s="2248"/>
      <c r="E48" s="3057">
        <v>1</v>
      </c>
      <c r="F48" s="2246" t="s">
        <v>2381</v>
      </c>
      <c r="G48" s="2246"/>
    </row>
    <row r="49" spans="1:7" ht="19.5" customHeight="1">
      <c r="A49" s="4641"/>
      <c r="B49" s="4637"/>
      <c r="C49" s="2247" t="s">
        <v>2382</v>
      </c>
      <c r="D49" s="2248"/>
      <c r="E49" s="3057">
        <v>1</v>
      </c>
      <c r="F49" s="2246" t="s">
        <v>2383</v>
      </c>
      <c r="G49" s="2246"/>
    </row>
    <row r="50" spans="1:7" ht="19.5" customHeight="1">
      <c r="A50" s="4641"/>
      <c r="B50" s="4637"/>
      <c r="C50" s="2247" t="s">
        <v>2384</v>
      </c>
      <c r="D50" s="2248"/>
      <c r="E50" s="3057">
        <v>1</v>
      </c>
      <c r="F50" s="2246" t="s">
        <v>2385</v>
      </c>
      <c r="G50" s="2246"/>
    </row>
    <row r="51" spans="1:7" ht="19.5" customHeight="1">
      <c r="A51" s="4641"/>
      <c r="B51" s="4637"/>
      <c r="C51" s="2247" t="s">
        <v>2386</v>
      </c>
      <c r="D51" s="2248"/>
      <c r="E51" s="3057">
        <v>1</v>
      </c>
      <c r="F51" s="2246" t="s">
        <v>2387</v>
      </c>
      <c r="G51" s="2246"/>
    </row>
    <row r="52" spans="1:7" ht="19.5" customHeight="1">
      <c r="A52" s="4641"/>
      <c r="B52" s="4637"/>
      <c r="C52" s="2247" t="s">
        <v>2388</v>
      </c>
      <c r="D52" s="2248"/>
      <c r="E52" s="3057">
        <v>1</v>
      </c>
      <c r="F52" s="2246" t="s">
        <v>2389</v>
      </c>
      <c r="G52" s="2246"/>
    </row>
    <row r="53" spans="1:7" ht="19.5" customHeight="1" thickBot="1">
      <c r="A53" s="4642"/>
      <c r="B53" s="4639"/>
      <c r="C53" s="2249" t="s">
        <v>2390</v>
      </c>
      <c r="D53" s="2250"/>
      <c r="E53" s="3058">
        <v>1</v>
      </c>
      <c r="F53" s="2246" t="s">
        <v>2391</v>
      </c>
      <c r="G53" s="2246"/>
    </row>
    <row r="54" spans="1:7" ht="19.5" customHeight="1">
      <c r="A54" s="2256"/>
      <c r="B54" s="2256"/>
      <c r="C54" s="2256"/>
      <c r="D54" s="2256"/>
      <c r="E54" s="2256"/>
      <c r="F54" s="2256"/>
      <c r="G54" s="2256"/>
    </row>
    <row r="56" spans="1:7" ht="19.5" customHeight="1">
      <c r="A56" s="2257"/>
      <c r="B56" s="2235" t="s">
        <v>2530</v>
      </c>
      <c r="C56" s="2235" t="s">
        <v>2530</v>
      </c>
      <c r="D56" s="2235" t="s">
        <v>2530</v>
      </c>
      <c r="E56" s="2237" t="s">
        <v>2530</v>
      </c>
      <c r="F56" s="2237" t="s">
        <v>2531</v>
      </c>
      <c r="G56" s="2237" t="s">
        <v>2532</v>
      </c>
    </row>
    <row r="57" spans="1:7" ht="19.5" customHeight="1">
      <c r="A57" s="2258"/>
      <c r="B57" s="2237" t="s">
        <v>2499</v>
      </c>
      <c r="C57" s="2237" t="s">
        <v>2499</v>
      </c>
      <c r="D57" s="2237" t="s">
        <v>2499</v>
      </c>
      <c r="E57" s="2235" t="s">
        <v>2500</v>
      </c>
      <c r="F57" s="2235" t="s">
        <v>2502</v>
      </c>
      <c r="G57" s="2235" t="s">
        <v>2533</v>
      </c>
    </row>
    <row r="58" spans="1:7" ht="19.5" customHeight="1">
      <c r="A58" s="2259"/>
      <c r="B58" s="3051">
        <v>1</v>
      </c>
      <c r="C58" s="3051">
        <v>2</v>
      </c>
      <c r="D58" s="3051">
        <v>3</v>
      </c>
      <c r="E58" s="2260" t="s">
        <v>2534</v>
      </c>
      <c r="F58" s="2260" t="s">
        <v>2534</v>
      </c>
      <c r="G58" s="2260" t="s">
        <v>2534</v>
      </c>
    </row>
    <row r="59" spans="1:7" ht="19.5" customHeight="1">
      <c r="A59" s="2261" t="s">
        <v>2487</v>
      </c>
      <c r="B59" s="3048">
        <v>0.7</v>
      </c>
      <c r="C59" s="3048">
        <v>0.4</v>
      </c>
      <c r="D59" s="3048">
        <v>0.3</v>
      </c>
      <c r="E59" s="3061">
        <v>0.3</v>
      </c>
      <c r="F59" s="3048">
        <v>0.3</v>
      </c>
      <c r="G59" s="3048">
        <v>0.2</v>
      </c>
    </row>
    <row r="60" spans="1:7" ht="19.5" customHeight="1">
      <c r="A60" s="2261" t="s">
        <v>2488</v>
      </c>
      <c r="B60" s="3048">
        <v>0.7</v>
      </c>
      <c r="C60" s="3048">
        <v>0.4</v>
      </c>
      <c r="D60" s="3048">
        <v>0.3</v>
      </c>
      <c r="E60" s="3048">
        <v>0.3</v>
      </c>
      <c r="F60" s="3048">
        <v>0.3</v>
      </c>
      <c r="G60" s="3048">
        <v>0.2</v>
      </c>
    </row>
    <row r="61" spans="1:7" ht="19.5" customHeight="1">
      <c r="A61" s="2261" t="s">
        <v>2489</v>
      </c>
      <c r="B61" s="3048">
        <v>0.6</v>
      </c>
      <c r="C61" s="3048">
        <v>0.3</v>
      </c>
      <c r="D61" s="3048">
        <v>0.25</v>
      </c>
      <c r="E61" s="3048">
        <v>0.25</v>
      </c>
      <c r="F61" s="3048">
        <v>0.25</v>
      </c>
      <c r="G61" s="3048">
        <v>0.15</v>
      </c>
    </row>
    <row r="62" spans="1:7" ht="19.5" customHeight="1">
      <c r="A62" s="2261" t="s">
        <v>2490</v>
      </c>
      <c r="B62" s="3048">
        <v>0.6</v>
      </c>
      <c r="C62" s="3048">
        <v>0.3</v>
      </c>
      <c r="D62" s="3048">
        <v>0.25</v>
      </c>
      <c r="E62" s="3048">
        <v>0.25</v>
      </c>
      <c r="F62" s="3048">
        <v>0.25</v>
      </c>
      <c r="G62" s="3048">
        <v>0.15</v>
      </c>
    </row>
    <row r="63" spans="1:7" ht="19.5" customHeight="1">
      <c r="A63" s="2261" t="s">
        <v>2491</v>
      </c>
      <c r="B63" s="3048">
        <v>0.6</v>
      </c>
      <c r="C63" s="3048">
        <v>0.3</v>
      </c>
      <c r="D63" s="3048">
        <v>0.25</v>
      </c>
      <c r="E63" s="3048">
        <v>0.25</v>
      </c>
      <c r="F63" s="3048">
        <v>0.25</v>
      </c>
      <c r="G63" s="3048">
        <v>0.15</v>
      </c>
    </row>
    <row r="64" spans="1:7" ht="19.5" customHeight="1">
      <c r="A64" s="2261" t="s">
        <v>2492</v>
      </c>
      <c r="B64" s="3048">
        <v>0.6</v>
      </c>
      <c r="C64" s="3048">
        <v>0.3</v>
      </c>
      <c r="D64" s="3048">
        <v>0.25</v>
      </c>
      <c r="E64" s="3048">
        <v>0.25</v>
      </c>
      <c r="F64" s="3048">
        <v>0.25</v>
      </c>
      <c r="G64" s="3048">
        <v>0.15</v>
      </c>
    </row>
    <row r="65" spans="1:7" ht="19.5" customHeight="1">
      <c r="A65" s="2261" t="s">
        <v>2493</v>
      </c>
      <c r="B65" s="3048">
        <v>0.6</v>
      </c>
      <c r="C65" s="3048">
        <v>0.3</v>
      </c>
      <c r="D65" s="3048">
        <v>0.25</v>
      </c>
      <c r="E65" s="3048">
        <v>0.25</v>
      </c>
      <c r="F65" s="3048">
        <v>0.25</v>
      </c>
      <c r="G65" s="3048">
        <v>0.15</v>
      </c>
    </row>
    <row r="66" spans="1:7" ht="19.5" customHeight="1">
      <c r="A66" s="2261" t="s">
        <v>2494</v>
      </c>
      <c r="B66" s="3048">
        <v>0.5</v>
      </c>
      <c r="C66" s="3048">
        <v>0.2</v>
      </c>
      <c r="D66" s="3048">
        <v>0.2</v>
      </c>
      <c r="E66" s="3048">
        <v>0.2</v>
      </c>
      <c r="F66" s="3048">
        <v>0.2</v>
      </c>
      <c r="G66" s="3048">
        <v>0.1</v>
      </c>
    </row>
    <row r="67" spans="1:7" ht="19.5" customHeight="1">
      <c r="A67" s="2261" t="s">
        <v>2495</v>
      </c>
      <c r="B67" s="3048">
        <v>0.5</v>
      </c>
      <c r="C67" s="3048">
        <v>0.2</v>
      </c>
      <c r="D67" s="3048">
        <v>0.2</v>
      </c>
      <c r="E67" s="3048">
        <v>0.2</v>
      </c>
      <c r="F67" s="3048">
        <v>0.2</v>
      </c>
      <c r="G67" s="3048">
        <v>0.1</v>
      </c>
    </row>
    <row r="68" spans="1:7" ht="19.5" customHeight="1">
      <c r="A68" s="2261" t="s">
        <v>2496</v>
      </c>
      <c r="B68" s="3048">
        <v>0.5</v>
      </c>
      <c r="C68" s="3048">
        <v>0.2</v>
      </c>
      <c r="D68" s="3048">
        <v>0.2</v>
      </c>
      <c r="E68" s="3048">
        <v>0.2</v>
      </c>
      <c r="F68" s="3048">
        <v>0.2</v>
      </c>
      <c r="G68" s="3048">
        <v>0.1</v>
      </c>
    </row>
    <row r="69" spans="1:7" ht="19.5" customHeight="1">
      <c r="A69" s="2261" t="s">
        <v>2497</v>
      </c>
      <c r="B69" s="3048">
        <v>0.5</v>
      </c>
      <c r="C69" s="3048">
        <v>0.2</v>
      </c>
      <c r="D69" s="3048">
        <v>0.2</v>
      </c>
      <c r="E69" s="3048">
        <v>0.2</v>
      </c>
      <c r="F69" s="3048">
        <v>0.2</v>
      </c>
      <c r="G69" s="3048">
        <v>0.1</v>
      </c>
    </row>
    <row r="70" spans="1:7" ht="19.5" customHeight="1">
      <c r="A70" s="2261" t="s">
        <v>2498</v>
      </c>
      <c r="B70" s="3048">
        <v>0.5</v>
      </c>
      <c r="C70" s="3048">
        <v>0.2</v>
      </c>
      <c r="D70" s="3048">
        <v>0.2</v>
      </c>
      <c r="E70" s="3048">
        <v>0.2</v>
      </c>
      <c r="F70" s="3048">
        <v>0.2</v>
      </c>
      <c r="G70" s="3048">
        <v>0.1</v>
      </c>
    </row>
    <row r="72" spans="1:7" ht="19.5" customHeight="1">
      <c r="A72" s="2246"/>
      <c r="B72" s="2262"/>
      <c r="C72" s="2262"/>
      <c r="D72" s="2262" t="s">
        <v>2535</v>
      </c>
      <c r="E72" s="2262"/>
      <c r="F72" s="2262"/>
    </row>
    <row r="73" spans="1:7" ht="19.5" customHeight="1">
      <c r="A73" s="2255" t="s">
        <v>2536</v>
      </c>
      <c r="B73" s="2255" t="s">
        <v>2537</v>
      </c>
      <c r="C73" s="2255" t="s">
        <v>2538</v>
      </c>
      <c r="D73" s="2255" t="s">
        <v>2539</v>
      </c>
      <c r="E73" s="2255" t="s">
        <v>2540</v>
      </c>
      <c r="F73" s="2255" t="s">
        <v>2541</v>
      </c>
    </row>
    <row r="74" spans="1:7" ht="13.5">
      <c r="A74" s="2255"/>
      <c r="B74" s="2255"/>
      <c r="C74" s="2255" t="s">
        <v>2542</v>
      </c>
      <c r="D74" s="2255"/>
      <c r="E74" s="2255" t="s">
        <v>2513</v>
      </c>
      <c r="F74" s="2255" t="s">
        <v>2513</v>
      </c>
    </row>
    <row r="75" spans="1:7" ht="13.5">
      <c r="A75" s="2255">
        <v>1</v>
      </c>
      <c r="B75" s="4638" t="s">
        <v>2543</v>
      </c>
      <c r="C75" s="2235" t="s">
        <v>2544</v>
      </c>
      <c r="D75" s="2235" t="s">
        <v>2545</v>
      </c>
      <c r="E75" s="3062">
        <v>0.2</v>
      </c>
      <c r="F75" s="3063">
        <v>25</v>
      </c>
    </row>
    <row r="76" spans="1:7" ht="24">
      <c r="A76" s="2255">
        <v>2</v>
      </c>
      <c r="B76" s="4637"/>
      <c r="C76" s="2235" t="s">
        <v>2546</v>
      </c>
      <c r="D76" s="2235" t="s">
        <v>2547</v>
      </c>
      <c r="E76" s="3062">
        <v>0.2</v>
      </c>
      <c r="F76" s="3063">
        <v>25</v>
      </c>
    </row>
    <row r="77" spans="1:7" ht="24">
      <c r="A77" s="2255">
        <v>3</v>
      </c>
      <c r="B77" s="4637"/>
      <c r="C77" s="2235" t="s">
        <v>2548</v>
      </c>
      <c r="D77" s="2235" t="s">
        <v>2549</v>
      </c>
      <c r="E77" s="3062">
        <v>0.2</v>
      </c>
      <c r="F77" s="3063">
        <v>25</v>
      </c>
    </row>
    <row r="78" spans="1:7" ht="13.5">
      <c r="A78" s="2255">
        <v>4</v>
      </c>
      <c r="B78" s="4637"/>
      <c r="C78" s="2235" t="s">
        <v>2550</v>
      </c>
      <c r="D78" s="2235" t="s">
        <v>2551</v>
      </c>
      <c r="E78" s="3062">
        <v>0.15</v>
      </c>
      <c r="F78" s="3063">
        <v>20</v>
      </c>
    </row>
    <row r="79" spans="1:7" ht="24">
      <c r="A79" s="2255">
        <v>5</v>
      </c>
      <c r="B79" s="4637"/>
      <c r="C79" s="2235" t="s">
        <v>2552</v>
      </c>
      <c r="D79" s="2235" t="s">
        <v>2553</v>
      </c>
      <c r="E79" s="3062">
        <v>0.15</v>
      </c>
      <c r="F79" s="3063">
        <v>20</v>
      </c>
    </row>
    <row r="80" spans="1:7" ht="24">
      <c r="A80" s="2255">
        <v>6</v>
      </c>
      <c r="B80" s="4637"/>
      <c r="C80" s="2235" t="s">
        <v>2554</v>
      </c>
      <c r="D80" s="2235" t="s">
        <v>2555</v>
      </c>
      <c r="E80" s="3062">
        <v>0.15</v>
      </c>
      <c r="F80" s="3063">
        <v>20</v>
      </c>
    </row>
    <row r="81" spans="1:6" ht="24">
      <c r="A81" s="2255">
        <v>7</v>
      </c>
      <c r="B81" s="4637"/>
      <c r="C81" s="2235" t="s">
        <v>2556</v>
      </c>
      <c r="D81" s="2235" t="s">
        <v>2557</v>
      </c>
      <c r="E81" s="3062">
        <v>0.15</v>
      </c>
      <c r="F81" s="3063">
        <v>20</v>
      </c>
    </row>
    <row r="82" spans="1:6" ht="24">
      <c r="A82" s="2255">
        <v>8</v>
      </c>
      <c r="B82" s="4637"/>
      <c r="C82" s="2235" t="s">
        <v>2558</v>
      </c>
      <c r="D82" s="2235" t="s">
        <v>2559</v>
      </c>
      <c r="E82" s="3062">
        <v>0.1</v>
      </c>
      <c r="F82" s="3063">
        <v>15</v>
      </c>
    </row>
    <row r="83" spans="1:6" ht="24">
      <c r="A83" s="2255">
        <v>9</v>
      </c>
      <c r="B83" s="4637"/>
      <c r="C83" s="2235" t="s">
        <v>2560</v>
      </c>
      <c r="D83" s="2235" t="s">
        <v>2561</v>
      </c>
      <c r="E83" s="3062">
        <v>0.1</v>
      </c>
      <c r="F83" s="3063">
        <v>15</v>
      </c>
    </row>
    <row r="84" spans="1:6" ht="24">
      <c r="A84" s="2255">
        <v>10</v>
      </c>
      <c r="B84" s="4637"/>
      <c r="C84" s="2235" t="s">
        <v>2562</v>
      </c>
      <c r="D84" s="2235" t="s">
        <v>2563</v>
      </c>
      <c r="E84" s="3062">
        <v>0.1</v>
      </c>
      <c r="F84" s="3063">
        <v>15</v>
      </c>
    </row>
    <row r="85" spans="1:6" ht="24">
      <c r="A85" s="2255">
        <v>11</v>
      </c>
      <c r="B85" s="4637"/>
      <c r="C85" s="2235" t="s">
        <v>2564</v>
      </c>
      <c r="D85" s="2235" t="s">
        <v>2565</v>
      </c>
      <c r="E85" s="3062">
        <v>0.1</v>
      </c>
      <c r="F85" s="3063">
        <v>15</v>
      </c>
    </row>
    <row r="86" spans="1:6" ht="24">
      <c r="A86" s="2255">
        <v>12</v>
      </c>
      <c r="B86" s="4637"/>
      <c r="C86" s="2235" t="s">
        <v>2566</v>
      </c>
      <c r="D86" s="2235" t="s">
        <v>2567</v>
      </c>
      <c r="E86" s="3062">
        <v>0.1</v>
      </c>
      <c r="F86" s="3063">
        <v>15</v>
      </c>
    </row>
    <row r="87" spans="1:6" ht="13.5">
      <c r="A87" s="2255">
        <v>13</v>
      </c>
      <c r="B87" s="4637"/>
      <c r="C87" s="2235" t="s">
        <v>2568</v>
      </c>
      <c r="D87" s="2235" t="s">
        <v>2569</v>
      </c>
      <c r="E87" s="3062">
        <v>0.1</v>
      </c>
      <c r="F87" s="3063">
        <v>15</v>
      </c>
    </row>
    <row r="88" spans="1:6" ht="13.5">
      <c r="A88" s="2255">
        <v>14</v>
      </c>
      <c r="B88" s="4637"/>
      <c r="C88" s="2235" t="s">
        <v>2570</v>
      </c>
      <c r="D88" s="2235" t="s">
        <v>2571</v>
      </c>
      <c r="E88" s="3062">
        <v>0.1</v>
      </c>
      <c r="F88" s="3063">
        <v>15</v>
      </c>
    </row>
    <row r="89" spans="1:6" ht="13.5">
      <c r="A89" s="2255">
        <v>15</v>
      </c>
      <c r="B89" s="4637"/>
      <c r="C89" s="2235" t="s">
        <v>2572</v>
      </c>
      <c r="D89" s="2235" t="s">
        <v>2573</v>
      </c>
      <c r="E89" s="3062">
        <v>0.1</v>
      </c>
      <c r="F89" s="3063">
        <v>15</v>
      </c>
    </row>
    <row r="90" spans="1:6" ht="24">
      <c r="A90" s="2255">
        <v>16</v>
      </c>
      <c r="B90" s="4637"/>
      <c r="C90" s="2235" t="s">
        <v>2574</v>
      </c>
      <c r="D90" s="2235" t="s">
        <v>2575</v>
      </c>
      <c r="E90" s="3062">
        <v>0.1</v>
      </c>
      <c r="F90" s="3063">
        <v>15</v>
      </c>
    </row>
    <row r="91" spans="1:6" ht="24">
      <c r="A91" s="2255">
        <v>17</v>
      </c>
      <c r="B91" s="4643"/>
      <c r="C91" s="2235" t="s">
        <v>2576</v>
      </c>
      <c r="D91" s="2235" t="s">
        <v>2577</v>
      </c>
      <c r="E91" s="3062">
        <v>0.1</v>
      </c>
      <c r="F91" s="3063">
        <v>15</v>
      </c>
    </row>
    <row r="92" spans="1:6" ht="13.5">
      <c r="A92" s="2255">
        <v>18</v>
      </c>
      <c r="B92" s="4638" t="s">
        <v>2578</v>
      </c>
      <c r="C92" s="2235" t="s">
        <v>2579</v>
      </c>
      <c r="D92" s="2235" t="s">
        <v>2580</v>
      </c>
      <c r="E92" s="3062">
        <v>0.2</v>
      </c>
      <c r="F92" s="3063">
        <v>25</v>
      </c>
    </row>
    <row r="93" spans="1:6" ht="24">
      <c r="A93" s="2255">
        <v>19</v>
      </c>
      <c r="B93" s="4637"/>
      <c r="C93" s="2235" t="s">
        <v>2581</v>
      </c>
      <c r="D93" s="2235" t="s">
        <v>2582</v>
      </c>
      <c r="E93" s="3062">
        <v>0.2</v>
      </c>
      <c r="F93" s="3063">
        <v>25</v>
      </c>
    </row>
    <row r="94" spans="1:6" ht="13.5">
      <c r="A94" s="2255">
        <v>20</v>
      </c>
      <c r="B94" s="4637"/>
      <c r="C94" s="2235" t="s">
        <v>2583</v>
      </c>
      <c r="D94" s="2235" t="s">
        <v>2584</v>
      </c>
      <c r="E94" s="3062">
        <v>0.15</v>
      </c>
      <c r="F94" s="3063">
        <v>20</v>
      </c>
    </row>
    <row r="95" spans="1:6" ht="13.5">
      <c r="A95" s="2255">
        <v>21</v>
      </c>
      <c r="B95" s="4637"/>
      <c r="C95" s="2235" t="s">
        <v>2585</v>
      </c>
      <c r="D95" s="2235" t="s">
        <v>2586</v>
      </c>
      <c r="E95" s="3062">
        <v>0.15</v>
      </c>
      <c r="F95" s="3063">
        <v>20</v>
      </c>
    </row>
    <row r="96" spans="1:6" ht="13.5">
      <c r="A96" s="2255">
        <v>22</v>
      </c>
      <c r="B96" s="4637"/>
      <c r="C96" s="2235" t="s">
        <v>2587</v>
      </c>
      <c r="D96" s="2235" t="s">
        <v>2588</v>
      </c>
      <c r="E96" s="3062">
        <v>0.15</v>
      </c>
      <c r="F96" s="3063">
        <v>20</v>
      </c>
    </row>
    <row r="97" spans="1:6" ht="36">
      <c r="A97" s="2255">
        <v>23</v>
      </c>
      <c r="B97" s="4637"/>
      <c r="C97" s="2235" t="s">
        <v>2589</v>
      </c>
      <c r="D97" s="2235" t="s">
        <v>2590</v>
      </c>
      <c r="E97" s="3062">
        <v>0.15</v>
      </c>
      <c r="F97" s="3063">
        <v>20</v>
      </c>
    </row>
    <row r="98" spans="1:6" ht="13.5">
      <c r="A98" s="2255">
        <v>24</v>
      </c>
      <c r="B98" s="4637"/>
      <c r="C98" s="2235" t="s">
        <v>2591</v>
      </c>
      <c r="D98" s="2235" t="s">
        <v>2592</v>
      </c>
      <c r="E98" s="3062">
        <v>0.1</v>
      </c>
      <c r="F98" s="3063">
        <v>15</v>
      </c>
    </row>
    <row r="99" spans="1:6" ht="13.5">
      <c r="A99" s="2255">
        <v>25</v>
      </c>
      <c r="B99" s="4637"/>
      <c r="C99" s="2235" t="s">
        <v>2593</v>
      </c>
      <c r="D99" s="2235" t="s">
        <v>2594</v>
      </c>
      <c r="E99" s="3062">
        <v>0.1</v>
      </c>
      <c r="F99" s="3063">
        <v>15</v>
      </c>
    </row>
    <row r="100" spans="1:6" ht="24">
      <c r="A100" s="2255">
        <v>26</v>
      </c>
      <c r="B100" s="4637"/>
      <c r="C100" s="2235" t="s">
        <v>2595</v>
      </c>
      <c r="D100" s="2235" t="s">
        <v>2596</v>
      </c>
      <c r="E100" s="3062">
        <v>0.1</v>
      </c>
      <c r="F100" s="3063">
        <v>15</v>
      </c>
    </row>
    <row r="101" spans="1:6" ht="24">
      <c r="A101" s="2255">
        <v>27</v>
      </c>
      <c r="B101" s="4637"/>
      <c r="C101" s="2235" t="s">
        <v>2597</v>
      </c>
      <c r="D101" s="2235" t="s">
        <v>2598</v>
      </c>
      <c r="E101" s="3062">
        <v>0.1</v>
      </c>
      <c r="F101" s="3063">
        <v>15</v>
      </c>
    </row>
    <row r="102" spans="1:6" ht="13.5">
      <c r="A102" s="2255">
        <v>28</v>
      </c>
      <c r="B102" s="4637"/>
      <c r="C102" s="2235" t="s">
        <v>2599</v>
      </c>
      <c r="D102" s="2235" t="s">
        <v>2600</v>
      </c>
      <c r="E102" s="3062">
        <v>0.1</v>
      </c>
      <c r="F102" s="3063">
        <v>15</v>
      </c>
    </row>
    <row r="103" spans="1:6" ht="13.5">
      <c r="A103" s="2255">
        <v>29</v>
      </c>
      <c r="B103" s="4637"/>
      <c r="C103" s="2235" t="s">
        <v>2601</v>
      </c>
      <c r="D103" s="2235" t="s">
        <v>2602</v>
      </c>
      <c r="E103" s="3062">
        <v>0.1</v>
      </c>
      <c r="F103" s="3063">
        <v>15</v>
      </c>
    </row>
    <row r="104" spans="1:6" ht="13.5">
      <c r="A104" s="2255">
        <v>30</v>
      </c>
      <c r="B104" s="4637"/>
      <c r="C104" s="2235" t="s">
        <v>2603</v>
      </c>
      <c r="D104" s="2235" t="s">
        <v>2604</v>
      </c>
      <c r="E104" s="3062">
        <v>0.1</v>
      </c>
      <c r="F104" s="3063">
        <v>15</v>
      </c>
    </row>
    <row r="105" spans="1:6" ht="24">
      <c r="A105" s="2255">
        <v>31</v>
      </c>
      <c r="B105" s="4637"/>
      <c r="C105" s="2235" t="s">
        <v>2605</v>
      </c>
      <c r="D105" s="2235" t="s">
        <v>2606</v>
      </c>
      <c r="E105" s="3062">
        <v>0.1</v>
      </c>
      <c r="F105" s="3063">
        <v>15</v>
      </c>
    </row>
    <row r="106" spans="1:6" ht="24">
      <c r="A106" s="2255">
        <v>32</v>
      </c>
      <c r="B106" s="4637"/>
      <c r="C106" s="2235" t="s">
        <v>2607</v>
      </c>
      <c r="D106" s="2235" t="s">
        <v>2608</v>
      </c>
      <c r="E106" s="3062">
        <v>0.1</v>
      </c>
      <c r="F106" s="3063">
        <v>15</v>
      </c>
    </row>
    <row r="107" spans="1:6" ht="24">
      <c r="A107" s="2255">
        <v>33</v>
      </c>
      <c r="B107" s="4637"/>
      <c r="C107" s="2235" t="s">
        <v>2609</v>
      </c>
      <c r="D107" s="2235" t="s">
        <v>2610</v>
      </c>
      <c r="E107" s="3062">
        <v>0.1</v>
      </c>
      <c r="F107" s="3063">
        <v>15</v>
      </c>
    </row>
    <row r="108" spans="1:6" ht="24">
      <c r="A108" s="2255">
        <v>34</v>
      </c>
      <c r="B108" s="4643"/>
      <c r="C108" s="2235" t="s">
        <v>2611</v>
      </c>
      <c r="D108" s="2235" t="s">
        <v>2612</v>
      </c>
      <c r="E108" s="3062">
        <v>0.1</v>
      </c>
      <c r="F108" s="3063">
        <v>15</v>
      </c>
    </row>
    <row r="109" spans="1:6" ht="24">
      <c r="A109" s="2255">
        <v>35</v>
      </c>
      <c r="B109" s="4638" t="s">
        <v>2613</v>
      </c>
      <c r="C109" s="2255" t="s">
        <v>2614</v>
      </c>
      <c r="D109" s="2235" t="s">
        <v>2615</v>
      </c>
      <c r="E109" s="3062">
        <v>0.15</v>
      </c>
      <c r="F109" s="3063">
        <v>20</v>
      </c>
    </row>
    <row r="110" spans="1:6" ht="13.5">
      <c r="A110" s="2255">
        <v>36</v>
      </c>
      <c r="B110" s="4637"/>
      <c r="C110" s="2255" t="s">
        <v>2616</v>
      </c>
      <c r="D110" s="2235" t="s">
        <v>2617</v>
      </c>
      <c r="E110" s="3062">
        <v>0.15</v>
      </c>
      <c r="F110" s="3063">
        <v>20</v>
      </c>
    </row>
    <row r="111" spans="1:6" ht="13.5">
      <c r="A111" s="2255">
        <v>37</v>
      </c>
      <c r="B111" s="4637"/>
      <c r="C111" s="2255" t="s">
        <v>2618</v>
      </c>
      <c r="D111" s="2235" t="s">
        <v>2619</v>
      </c>
      <c r="E111" s="3062">
        <v>0.15</v>
      </c>
      <c r="F111" s="3063">
        <v>20</v>
      </c>
    </row>
    <row r="112" spans="1:6" ht="13.5">
      <c r="A112" s="2255">
        <v>38</v>
      </c>
      <c r="B112" s="4637"/>
      <c r="C112" s="2255" t="s">
        <v>2620</v>
      </c>
      <c r="D112" s="2235" t="s">
        <v>2621</v>
      </c>
      <c r="E112" s="3062">
        <v>0.1</v>
      </c>
      <c r="F112" s="3063">
        <v>15</v>
      </c>
    </row>
    <row r="113" spans="1:6" ht="24">
      <c r="A113" s="2255">
        <v>39</v>
      </c>
      <c r="B113" s="4637"/>
      <c r="C113" s="2255" t="s">
        <v>2622</v>
      </c>
      <c r="D113" s="2235" t="s">
        <v>2623</v>
      </c>
      <c r="E113" s="3062">
        <v>0.1</v>
      </c>
      <c r="F113" s="3063">
        <v>15</v>
      </c>
    </row>
    <row r="114" spans="1:6" ht="24">
      <c r="A114" s="2255">
        <v>40</v>
      </c>
      <c r="B114" s="4643"/>
      <c r="C114" s="2255" t="s">
        <v>2624</v>
      </c>
      <c r="D114" s="2235" t="s">
        <v>2625</v>
      </c>
      <c r="E114" s="3062">
        <v>0.1</v>
      </c>
      <c r="F114" s="3063">
        <v>15</v>
      </c>
    </row>
    <row r="115" spans="1:6" ht="13.5">
      <c r="A115" s="2255">
        <v>41</v>
      </c>
      <c r="B115" s="4631" t="s">
        <v>2626</v>
      </c>
      <c r="C115" s="2255" t="s">
        <v>2627</v>
      </c>
      <c r="D115" s="2235" t="s">
        <v>2628</v>
      </c>
      <c r="E115" s="3062">
        <v>0.1</v>
      </c>
      <c r="F115" s="3063">
        <v>15</v>
      </c>
    </row>
    <row r="116" spans="1:6" ht="13.5">
      <c r="A116" s="2255">
        <v>42</v>
      </c>
      <c r="B116" s="4631"/>
      <c r="C116" s="2255" t="s">
        <v>2629</v>
      </c>
      <c r="D116" s="2235" t="s">
        <v>2630</v>
      </c>
      <c r="E116" s="3062">
        <v>0.1</v>
      </c>
      <c r="F116" s="3063">
        <v>15</v>
      </c>
    </row>
    <row r="117" spans="1:6" ht="24">
      <c r="A117" s="2255">
        <v>43</v>
      </c>
      <c r="B117" s="4631"/>
      <c r="C117" s="2255" t="s">
        <v>2631</v>
      </c>
      <c r="D117" s="2235" t="s">
        <v>2632</v>
      </c>
      <c r="E117" s="3062">
        <v>0.1</v>
      </c>
      <c r="F117" s="3063">
        <v>15</v>
      </c>
    </row>
    <row r="118" spans="1:6" ht="13.5">
      <c r="A118" s="2255">
        <v>44</v>
      </c>
      <c r="B118" s="4638" t="s">
        <v>2633</v>
      </c>
      <c r="C118" s="2255" t="s">
        <v>2634</v>
      </c>
      <c r="D118" s="2235" t="s">
        <v>2635</v>
      </c>
      <c r="E118" s="3062">
        <v>0.1</v>
      </c>
      <c r="F118" s="3063">
        <v>15</v>
      </c>
    </row>
    <row r="119" spans="1:6" ht="24">
      <c r="A119" s="2255">
        <v>45</v>
      </c>
      <c r="B119" s="4643"/>
      <c r="C119" s="2235" t="s">
        <v>2636</v>
      </c>
      <c r="D119" s="2235" t="s">
        <v>2637</v>
      </c>
      <c r="E119" s="3062">
        <v>0.1</v>
      </c>
      <c r="F119" s="3063">
        <v>15</v>
      </c>
    </row>
    <row r="120" spans="1:6" ht="24">
      <c r="A120" s="2255">
        <v>46</v>
      </c>
      <c r="B120" s="4638" t="s">
        <v>2638</v>
      </c>
      <c r="C120" s="2255" t="s">
        <v>2639</v>
      </c>
      <c r="D120" s="2235" t="s">
        <v>2640</v>
      </c>
      <c r="E120" s="3062">
        <v>0.1</v>
      </c>
      <c r="F120" s="3063">
        <v>15</v>
      </c>
    </row>
    <row r="121" spans="1:6" ht="24">
      <c r="A121" s="2255">
        <v>47</v>
      </c>
      <c r="B121" s="4643"/>
      <c r="C121" s="2255" t="s">
        <v>2641</v>
      </c>
      <c r="D121" s="2235" t="s">
        <v>2642</v>
      </c>
      <c r="E121" s="3062">
        <v>0.1</v>
      </c>
      <c r="F121" s="3063">
        <v>15</v>
      </c>
    </row>
    <row r="122" spans="1:6" ht="13.5">
      <c r="A122" s="2255">
        <v>48</v>
      </c>
      <c r="B122" s="4638" t="s">
        <v>2643</v>
      </c>
      <c r="C122" s="2255" t="s">
        <v>2644</v>
      </c>
      <c r="D122" s="2235" t="s">
        <v>2645</v>
      </c>
      <c r="E122" s="3062">
        <v>0.1</v>
      </c>
      <c r="F122" s="3063">
        <v>15</v>
      </c>
    </row>
    <row r="123" spans="1:6" ht="13.5">
      <c r="A123" s="2255">
        <v>49</v>
      </c>
      <c r="B123" s="4643"/>
      <c r="C123" s="2255" t="s">
        <v>2646</v>
      </c>
      <c r="D123" s="2235" t="s">
        <v>2647</v>
      </c>
      <c r="E123" s="3062">
        <v>0.1</v>
      </c>
      <c r="F123" s="3063">
        <v>15</v>
      </c>
    </row>
    <row r="124" spans="1:6" ht="24">
      <c r="A124" s="2255">
        <v>50</v>
      </c>
      <c r="B124" s="4631" t="s">
        <v>2648</v>
      </c>
      <c r="C124" s="2255" t="s">
        <v>2649</v>
      </c>
      <c r="D124" s="2235" t="s">
        <v>2650</v>
      </c>
      <c r="E124" s="3062">
        <v>0.1</v>
      </c>
      <c r="F124" s="3063">
        <v>15</v>
      </c>
    </row>
    <row r="125" spans="1:6" ht="24">
      <c r="A125" s="2255">
        <v>51</v>
      </c>
      <c r="B125" s="4631"/>
      <c r="C125" s="2255" t="s">
        <v>2651</v>
      </c>
      <c r="D125" s="2235" t="s">
        <v>2652</v>
      </c>
      <c r="E125" s="3062">
        <v>0.1</v>
      </c>
      <c r="F125" s="3063">
        <v>15</v>
      </c>
    </row>
    <row r="126" spans="1:6" ht="24">
      <c r="A126" s="2255">
        <v>52</v>
      </c>
      <c r="B126" s="4631" t="s">
        <v>2653</v>
      </c>
      <c r="C126" s="2255" t="s">
        <v>2654</v>
      </c>
      <c r="D126" s="2235" t="s">
        <v>2655</v>
      </c>
      <c r="E126" s="3062">
        <v>0.1</v>
      </c>
      <c r="F126" s="3063">
        <v>15</v>
      </c>
    </row>
    <row r="127" spans="1:6" ht="24">
      <c r="A127" s="2255">
        <v>53</v>
      </c>
      <c r="B127" s="4631"/>
      <c r="C127" s="2255" t="s">
        <v>2656</v>
      </c>
      <c r="D127" s="2235" t="s">
        <v>2657</v>
      </c>
      <c r="E127" s="3062">
        <v>0.1</v>
      </c>
      <c r="F127" s="3063">
        <v>15</v>
      </c>
    </row>
    <row r="128" spans="1:6" ht="13.5">
      <c r="A128" s="2255">
        <v>54</v>
      </c>
      <c r="B128" s="2255" t="s">
        <v>2658</v>
      </c>
      <c r="C128" s="2255" t="s">
        <v>2659</v>
      </c>
      <c r="D128" s="2235" t="s">
        <v>2660</v>
      </c>
      <c r="E128" s="3062">
        <v>0.1</v>
      </c>
      <c r="F128" s="3063">
        <v>15</v>
      </c>
    </row>
    <row r="129" spans="1:6" ht="13.5">
      <c r="A129" s="2255">
        <v>55</v>
      </c>
      <c r="B129" s="4631" t="s">
        <v>2661</v>
      </c>
      <c r="C129" s="2255" t="s">
        <v>2662</v>
      </c>
      <c r="D129" s="2235" t="s">
        <v>2663</v>
      </c>
      <c r="E129" s="3062">
        <v>0.1</v>
      </c>
      <c r="F129" s="3063">
        <v>15</v>
      </c>
    </row>
    <row r="130" spans="1:6" ht="13.5">
      <c r="A130" s="2255">
        <v>56</v>
      </c>
      <c r="B130" s="4631"/>
      <c r="C130" s="2255" t="s">
        <v>2664</v>
      </c>
      <c r="D130" s="2235" t="s">
        <v>2665</v>
      </c>
      <c r="E130" s="3062">
        <v>0.1</v>
      </c>
      <c r="F130" s="3063">
        <v>15</v>
      </c>
    </row>
    <row r="131" spans="1:6" ht="24">
      <c r="A131" s="2255">
        <v>57</v>
      </c>
      <c r="B131" s="4631"/>
      <c r="C131" s="2255" t="s">
        <v>2666</v>
      </c>
      <c r="D131" s="2235" t="s">
        <v>2667</v>
      </c>
      <c r="E131" s="3062">
        <v>0.1</v>
      </c>
      <c r="F131" s="3063">
        <v>15</v>
      </c>
    </row>
    <row r="132" spans="1:6" ht="24">
      <c r="A132" s="2255">
        <v>58</v>
      </c>
      <c r="B132" s="4631" t="s">
        <v>2668</v>
      </c>
      <c r="C132" s="2255" t="s">
        <v>2669</v>
      </c>
      <c r="D132" s="2235" t="s">
        <v>2670</v>
      </c>
      <c r="E132" s="3062">
        <v>0.1</v>
      </c>
      <c r="F132" s="3063">
        <v>15</v>
      </c>
    </row>
    <row r="133" spans="1:6" ht="13.5">
      <c r="A133" s="2255">
        <v>59</v>
      </c>
      <c r="B133" s="4631"/>
      <c r="C133" s="2255" t="s">
        <v>2671</v>
      </c>
      <c r="D133" s="2235" t="s">
        <v>2672</v>
      </c>
      <c r="E133" s="3062">
        <v>0.1</v>
      </c>
      <c r="F133" s="3063">
        <v>15</v>
      </c>
    </row>
    <row r="134" spans="1:6" ht="13.5">
      <c r="A134" s="2255">
        <v>60</v>
      </c>
      <c r="B134" s="4638" t="s">
        <v>2673</v>
      </c>
      <c r="C134" s="2255" t="s">
        <v>2674</v>
      </c>
      <c r="D134" s="2235" t="s">
        <v>2675</v>
      </c>
      <c r="E134" s="3062">
        <v>0.1</v>
      </c>
      <c r="F134" s="3063">
        <v>15</v>
      </c>
    </row>
    <row r="135" spans="1:6" ht="13.5">
      <c r="A135" s="2255">
        <v>61</v>
      </c>
      <c r="B135" s="4643"/>
      <c r="C135" s="2255" t="s">
        <v>2676</v>
      </c>
      <c r="D135" s="2235" t="s">
        <v>2677</v>
      </c>
      <c r="E135" s="3062">
        <v>0.1</v>
      </c>
      <c r="F135" s="3063">
        <v>15</v>
      </c>
    </row>
    <row r="136" spans="1:6" ht="24">
      <c r="A136" s="2255">
        <v>62</v>
      </c>
      <c r="B136" s="2255" t="s">
        <v>2678</v>
      </c>
      <c r="C136" s="2255" t="s">
        <v>2679</v>
      </c>
      <c r="D136" s="2235" t="s">
        <v>2680</v>
      </c>
      <c r="E136" s="3062">
        <v>0.1</v>
      </c>
      <c r="F136" s="3063">
        <v>15</v>
      </c>
    </row>
    <row r="137" spans="1:6" ht="13.5">
      <c r="A137" s="2255">
        <v>63</v>
      </c>
      <c r="B137" s="4631" t="s">
        <v>2681</v>
      </c>
      <c r="C137" s="2255" t="s">
        <v>2682</v>
      </c>
      <c r="D137" s="2235" t="s">
        <v>2683</v>
      </c>
      <c r="E137" s="3062">
        <v>0.1</v>
      </c>
      <c r="F137" s="3063">
        <v>15</v>
      </c>
    </row>
    <row r="138" spans="1:6" ht="13.5">
      <c r="A138" s="2255">
        <v>64</v>
      </c>
      <c r="B138" s="4631"/>
      <c r="C138" s="2255" t="s">
        <v>2684</v>
      </c>
      <c r="D138" s="2235" t="s">
        <v>2685</v>
      </c>
      <c r="E138" s="3062">
        <v>0.1</v>
      </c>
      <c r="F138" s="3063">
        <v>15</v>
      </c>
    </row>
    <row r="139" spans="1:6" ht="13.5">
      <c r="A139" s="2255">
        <v>65</v>
      </c>
      <c r="B139" s="2255" t="s">
        <v>2686</v>
      </c>
      <c r="C139" s="2255" t="s">
        <v>2687</v>
      </c>
      <c r="D139" s="2235" t="s">
        <v>2688</v>
      </c>
      <c r="E139" s="3062">
        <v>0.1</v>
      </c>
      <c r="F139" s="3063">
        <v>15</v>
      </c>
    </row>
    <row r="140" spans="1:6" ht="13.5">
      <c r="A140" s="2255"/>
      <c r="B140" s="2255"/>
      <c r="C140" s="2255"/>
      <c r="D140" s="2255"/>
      <c r="E140" s="2255" t="s">
        <v>2689</v>
      </c>
      <c r="F140" s="2255" t="s">
        <v>2689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2690</v>
      </c>
      <c r="B1" s="2263"/>
      <c r="C1" s="2263"/>
      <c r="D1" s="2263"/>
      <c r="E1" s="2263"/>
      <c r="F1" s="2263"/>
      <c r="G1" s="2263"/>
      <c r="H1" s="2263"/>
      <c r="I1" s="2263"/>
      <c r="J1" s="2263"/>
      <c r="K1" s="2263"/>
      <c r="L1" s="2263"/>
      <c r="M1" s="2263"/>
      <c r="N1" s="507"/>
    </row>
    <row r="2" spans="1:20">
      <c r="A2" s="2264" t="s">
        <v>2691</v>
      </c>
      <c r="B2" s="2265" t="s">
        <v>2487</v>
      </c>
      <c r="C2" s="2265" t="s">
        <v>2488</v>
      </c>
      <c r="D2" s="2265" t="s">
        <v>2489</v>
      </c>
      <c r="E2" s="2265" t="s">
        <v>2490</v>
      </c>
      <c r="F2" s="2265" t="s">
        <v>2491</v>
      </c>
      <c r="G2" s="2265" t="s">
        <v>2492</v>
      </c>
      <c r="H2" s="2266" t="s">
        <v>2493</v>
      </c>
      <c r="I2" s="2266" t="s">
        <v>2494</v>
      </c>
      <c r="J2" s="2267" t="s">
        <v>2495</v>
      </c>
      <c r="K2" s="2267" t="s">
        <v>2496</v>
      </c>
      <c r="L2" s="2267" t="s">
        <v>2497</v>
      </c>
      <c r="M2" s="2268" t="s">
        <v>2498</v>
      </c>
      <c r="Q2" s="2278" t="s">
        <v>2696</v>
      </c>
      <c r="R2" s="2278" t="s">
        <v>2697</v>
      </c>
      <c r="S2" s="2278" t="s">
        <v>2698</v>
      </c>
      <c r="T2" s="2278" t="s">
        <v>2699</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2692</v>
      </c>
      <c r="B93" s="2263"/>
      <c r="C93" s="2263"/>
      <c r="D93" s="2263"/>
      <c r="E93" s="2263"/>
      <c r="F93" s="2263"/>
      <c r="G93" s="2263"/>
      <c r="H93" s="2263"/>
      <c r="I93" s="2263"/>
      <c r="J93" s="2263"/>
      <c r="K93" s="2263"/>
      <c r="L93" s="2263"/>
      <c r="M93" s="2263"/>
    </row>
    <row r="94" spans="1:20">
      <c r="A94" s="2264" t="s">
        <v>2691</v>
      </c>
      <c r="B94" s="2265" t="s">
        <v>2487</v>
      </c>
      <c r="C94" s="2265" t="s">
        <v>2488</v>
      </c>
      <c r="D94" s="2265" t="s">
        <v>2489</v>
      </c>
      <c r="E94" s="2265" t="s">
        <v>2490</v>
      </c>
      <c r="F94" s="2265" t="s">
        <v>2491</v>
      </c>
      <c r="G94" s="2265" t="s">
        <v>2492</v>
      </c>
      <c r="H94" s="2266" t="s">
        <v>2493</v>
      </c>
      <c r="I94" s="2266" t="s">
        <v>2494</v>
      </c>
      <c r="J94" s="2267" t="s">
        <v>2495</v>
      </c>
      <c r="K94" s="2267" t="s">
        <v>2496</v>
      </c>
      <c r="L94" s="2267" t="s">
        <v>2497</v>
      </c>
      <c r="M94" s="2268" t="s">
        <v>2498</v>
      </c>
      <c r="N94">
        <f>SUMPRODUCT((A95:A184=ROUNDDOWN(基准地价修正!G3,1))*(B94:M94=基准地价修正!G2)*(B95:M184))</f>
        <v>0</v>
      </c>
      <c r="Q94" s="2278" t="s">
        <v>2696</v>
      </c>
      <c r="R94" s="2278" t="s">
        <v>2697</v>
      </c>
      <c r="S94" s="2278" t="s">
        <v>2698</v>
      </c>
      <c r="T94" s="2278" t="s">
        <v>2699</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2693</v>
      </c>
      <c r="B185" s="2263"/>
      <c r="C185" s="2263"/>
      <c r="D185" s="2263"/>
      <c r="E185" s="2263"/>
      <c r="F185" s="2263"/>
      <c r="G185" s="2263"/>
      <c r="H185" s="2263"/>
      <c r="I185" s="2263"/>
      <c r="J185" s="2263"/>
      <c r="K185" s="2263"/>
      <c r="L185" s="2263"/>
      <c r="M185" s="2263"/>
    </row>
    <row r="186" spans="1:20">
      <c r="A186" s="2264" t="s">
        <v>2691</v>
      </c>
      <c r="B186" s="2265" t="s">
        <v>2487</v>
      </c>
      <c r="C186" s="2265" t="s">
        <v>2488</v>
      </c>
      <c r="D186" s="2265" t="s">
        <v>2489</v>
      </c>
      <c r="E186" s="2265" t="s">
        <v>2490</v>
      </c>
      <c r="F186" s="2265" t="s">
        <v>2491</v>
      </c>
      <c r="G186" s="2265" t="s">
        <v>2492</v>
      </c>
      <c r="H186" s="2266" t="s">
        <v>2493</v>
      </c>
      <c r="I186" s="2266" t="s">
        <v>2494</v>
      </c>
      <c r="J186" s="2267" t="s">
        <v>2495</v>
      </c>
      <c r="K186" s="2267" t="s">
        <v>2496</v>
      </c>
      <c r="L186" s="2267" t="s">
        <v>2497</v>
      </c>
      <c r="M186" s="2268" t="s">
        <v>2498</v>
      </c>
      <c r="Q186" s="2278" t="s">
        <v>2696</v>
      </c>
      <c r="R186" s="2278" t="s">
        <v>2697</v>
      </c>
      <c r="S186" s="2278" t="s">
        <v>2698</v>
      </c>
      <c r="T186" s="2278" t="s">
        <v>2699</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2694</v>
      </c>
      <c r="B277" s="2263"/>
      <c r="C277" s="2263"/>
      <c r="D277" s="2263"/>
      <c r="E277" s="2263"/>
      <c r="F277" s="2263"/>
      <c r="G277" s="2263"/>
      <c r="H277" s="2263"/>
      <c r="I277" s="2263"/>
      <c r="J277" s="2263"/>
      <c r="K277" s="2263"/>
      <c r="L277" s="2263"/>
      <c r="M277" s="2263"/>
    </row>
    <row r="278" spans="1:21">
      <c r="A278" s="2264" t="s">
        <v>2691</v>
      </c>
      <c r="B278" s="2265" t="s">
        <v>2487</v>
      </c>
      <c r="C278" s="2265" t="s">
        <v>2488</v>
      </c>
      <c r="D278" s="2265" t="s">
        <v>2489</v>
      </c>
      <c r="E278" s="2265" t="s">
        <v>2490</v>
      </c>
      <c r="F278" s="2265" t="s">
        <v>2491</v>
      </c>
      <c r="G278" s="2265" t="s">
        <v>2492</v>
      </c>
      <c r="H278" s="2266" t="s">
        <v>2493</v>
      </c>
      <c r="I278" s="2266" t="s">
        <v>2494</v>
      </c>
      <c r="J278" s="2267" t="s">
        <v>2495</v>
      </c>
      <c r="K278" s="2267" t="s">
        <v>2496</v>
      </c>
      <c r="L278" s="2267" t="s">
        <v>2497</v>
      </c>
      <c r="M278" s="2268" t="s">
        <v>2498</v>
      </c>
      <c r="Q278" s="2278" t="s">
        <v>2696</v>
      </c>
      <c r="R278" s="2278" t="s">
        <v>2697</v>
      </c>
      <c r="S278" s="2278" t="s">
        <v>2700</v>
      </c>
      <c r="T278" s="2278" t="s">
        <v>2701</v>
      </c>
      <c r="U278" s="2278" t="s">
        <v>2699</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2695</v>
      </c>
      <c r="B369" s="2276"/>
      <c r="C369" s="2276"/>
      <c r="D369" s="2276"/>
      <c r="E369" s="2276"/>
      <c r="F369" s="2276"/>
      <c r="G369" s="2276"/>
      <c r="H369" s="2276"/>
      <c r="I369" s="2276"/>
      <c r="J369" s="2276"/>
      <c r="K369" s="2276"/>
      <c r="L369" s="2276"/>
      <c r="M369" s="2276"/>
    </row>
    <row r="370" spans="1:20">
      <c r="A370" s="2264" t="s">
        <v>2691</v>
      </c>
      <c r="B370" s="2265" t="s">
        <v>2487</v>
      </c>
      <c r="C370" s="2265" t="s">
        <v>2488</v>
      </c>
      <c r="D370" s="2265" t="s">
        <v>2489</v>
      </c>
      <c r="E370" s="2265" t="s">
        <v>2490</v>
      </c>
      <c r="F370" s="2265" t="s">
        <v>2491</v>
      </c>
      <c r="G370" s="2265" t="s">
        <v>2492</v>
      </c>
      <c r="H370" s="2266" t="s">
        <v>2493</v>
      </c>
      <c r="I370" s="2266" t="s">
        <v>2494</v>
      </c>
      <c r="J370" s="2267" t="s">
        <v>2495</v>
      </c>
      <c r="K370" s="2267" t="s">
        <v>2496</v>
      </c>
      <c r="L370" s="2267" t="s">
        <v>2497</v>
      </c>
      <c r="M370" s="2268" t="s">
        <v>2498</v>
      </c>
      <c r="N370">
        <f>SUMPRODUCT((A371:A460=ROUNDDOWN(基准地价修正!G3,1))*(B370:M370=基准地价修正!G2)*(B371:M460))</f>
        <v>0</v>
      </c>
      <c r="Q370" s="2278" t="s">
        <v>2696</v>
      </c>
      <c r="R370" s="2278" t="s">
        <v>2697</v>
      </c>
      <c r="S370" s="2278" t="s">
        <v>2698</v>
      </c>
      <c r="T370" s="2278" t="s">
        <v>2699</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26167</v>
      </c>
      <c r="C2" s="2" t="s">
        <v>104</v>
      </c>
      <c r="D2" s="94"/>
      <c r="E2" s="94"/>
      <c r="F2" s="94"/>
      <c r="G2" s="94"/>
    </row>
    <row r="3" spans="1:7" s="95" customFormat="1" ht="18" customHeight="1" thickBot="1">
      <c r="A3" s="98" t="s">
        <v>56</v>
      </c>
      <c r="B3" s="99">
        <f ca="1">ROUND(B2*10000/'数据-汇总表'!E3,0)</f>
        <v>2391865</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2</v>
      </c>
      <c r="D10" s="538">
        <f>'数据-汇总表'!E6</f>
        <v>109.4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109.4</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52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109.4</v>
      </c>
      <c r="E37" s="144">
        <f>'数据-取费表'!B35</f>
        <v>350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5.9999999999999995E-4</v>
      </c>
      <c r="D44" s="133"/>
      <c r="E44" s="133"/>
      <c r="F44" s="134"/>
      <c r="G44" s="4448"/>
    </row>
    <row r="45" spans="1:7" s="109" customFormat="1" ht="13.5" customHeight="1">
      <c r="A45" s="510" t="s">
        <v>339</v>
      </c>
      <c r="B45" s="139" t="s">
        <v>83</v>
      </c>
      <c r="C45" s="140">
        <f>C46</f>
        <v>8</v>
      </c>
      <c r="D45" s="130">
        <f>C47</f>
        <v>3.0000000000000001E-3</v>
      </c>
      <c r="E45" s="131" t="s">
        <v>100</v>
      </c>
      <c r="F45" s="141"/>
      <c r="G45" s="142" t="s">
        <v>428</v>
      </c>
    </row>
    <row r="46" spans="1:7" s="109" customFormat="1" ht="13.5" customHeight="1">
      <c r="A46" s="513" t="s">
        <v>347</v>
      </c>
      <c r="B46" s="143" t="s">
        <v>421</v>
      </c>
      <c r="C46" s="144">
        <f>ROUND((C33+C39)*F27,0)</f>
        <v>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65</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52</v>
      </c>
      <c r="D51" s="127"/>
      <c r="E51" s="127"/>
      <c r="F51" s="159"/>
      <c r="G51" s="129" t="s">
        <v>35</v>
      </c>
    </row>
    <row r="52" spans="1:7" s="103" customFormat="1" ht="16.5" thickBot="1">
      <c r="A52" s="160" t="s">
        <v>36</v>
      </c>
      <c r="B52" s="161"/>
      <c r="C52" s="162">
        <f ca="1">C31+C51</f>
        <v>26167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4" t="s">
        <v>3073</v>
      </c>
      <c r="B1" s="4644"/>
    </row>
    <row r="2" spans="1:7" ht="14.25" thickBot="1">
      <c r="A2" s="2353"/>
      <c r="B2" s="2353"/>
    </row>
    <row r="3" spans="1:7" ht="14.25" thickBot="1">
      <c r="A3" s="2353"/>
      <c r="B3" s="2353"/>
      <c r="C3" s="2354" t="s">
        <v>2703</v>
      </c>
      <c r="D3" s="2354" t="s">
        <v>2759</v>
      </c>
      <c r="E3" s="2354" t="s">
        <v>2705</v>
      </c>
      <c r="F3" s="2354" t="s">
        <v>2760</v>
      </c>
      <c r="G3" s="2354" t="s">
        <v>2523</v>
      </c>
    </row>
    <row r="4" spans="1:7" ht="14.25" thickBot="1">
      <c r="A4" s="2355" t="s">
        <v>2758</v>
      </c>
      <c r="B4" s="2356" t="s">
        <v>2764</v>
      </c>
      <c r="C4" s="2354"/>
      <c r="D4" s="2354"/>
      <c r="E4" s="2354"/>
      <c r="F4" s="2354"/>
      <c r="G4" s="2354"/>
    </row>
    <row r="5" spans="1:7">
      <c r="A5" s="2357" t="s">
        <v>2732</v>
      </c>
      <c r="B5" s="2358" t="s">
        <v>2746</v>
      </c>
      <c r="C5" s="2359">
        <v>9.8000000000000004E-2</v>
      </c>
      <c r="D5" s="2359">
        <v>8.6999999999999994E-2</v>
      </c>
      <c r="E5" s="2359">
        <v>8.6999999999999994E-2</v>
      </c>
      <c r="F5" s="2359">
        <v>9.8000000000000004E-2</v>
      </c>
      <c r="G5" s="2360">
        <v>9.5000000000000001E-2</v>
      </c>
    </row>
    <row r="6" spans="1:7">
      <c r="A6" s="2361" t="s">
        <v>142</v>
      </c>
      <c r="B6" s="2362" t="s">
        <v>2761</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2747</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2797</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2815</v>
      </c>
      <c r="C29" s="2371"/>
      <c r="D29" s="2367">
        <v>5.1999999999999998E-2</v>
      </c>
      <c r="E29" s="2367">
        <v>7.0000000000000007E-2</v>
      </c>
      <c r="F29" s="2371"/>
      <c r="G29" s="2369">
        <v>7.0999999999999994E-2</v>
      </c>
    </row>
    <row r="30" spans="1:7">
      <c r="A30" s="2372" t="s">
        <v>294</v>
      </c>
      <c r="B30" s="2358" t="s">
        <v>2748</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2734</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2818</v>
      </c>
      <c r="C50" s="2363">
        <v>9.8000000000000004E-2</v>
      </c>
      <c r="D50" s="2363">
        <v>7.2999999999999995E-2</v>
      </c>
      <c r="E50" s="2363">
        <v>7.0999999999999994E-2</v>
      </c>
      <c r="F50" s="2374"/>
      <c r="G50" s="2364">
        <v>7.2999999999999995E-2</v>
      </c>
    </row>
    <row r="51" spans="1:7">
      <c r="A51" s="2373" t="s">
        <v>294</v>
      </c>
      <c r="B51" s="2362" t="s">
        <v>2820</v>
      </c>
      <c r="C51" s="2363">
        <v>9.9000000000000005E-2</v>
      </c>
      <c r="D51" s="2363">
        <v>8.5000000000000006E-2</v>
      </c>
      <c r="E51" s="2363">
        <v>6.3E-2</v>
      </c>
      <c r="F51" s="2374"/>
      <c r="G51" s="2364">
        <v>9.6000000000000002E-2</v>
      </c>
    </row>
    <row r="52" spans="1:7">
      <c r="A52" s="2373" t="s">
        <v>294</v>
      </c>
      <c r="B52" s="2362" t="s">
        <v>2824</v>
      </c>
      <c r="C52" s="2363">
        <v>7.3999999999999996E-2</v>
      </c>
      <c r="D52" s="2363">
        <v>9.6000000000000002E-2</v>
      </c>
      <c r="E52" s="2363">
        <v>0.05</v>
      </c>
      <c r="F52" s="2374"/>
      <c r="G52" s="2364">
        <v>9.8000000000000004E-2</v>
      </c>
    </row>
    <row r="53" spans="1:7">
      <c r="A53" s="2373" t="s">
        <v>294</v>
      </c>
      <c r="B53" s="2362" t="s">
        <v>2829</v>
      </c>
      <c r="C53" s="2363">
        <v>8.5999999999999993E-2</v>
      </c>
      <c r="D53" s="2374"/>
      <c r="E53" s="2363">
        <v>9.1999999999999998E-2</v>
      </c>
      <c r="F53" s="2374"/>
      <c r="G53" s="2375"/>
    </row>
    <row r="54" spans="1:7" ht="14.25" thickBot="1">
      <c r="A54" s="2376" t="s">
        <v>294</v>
      </c>
      <c r="B54" s="2366" t="s">
        <v>2832</v>
      </c>
      <c r="C54" s="2367">
        <v>9.6000000000000002E-2</v>
      </c>
      <c r="D54" s="2368"/>
      <c r="E54" s="2377"/>
      <c r="F54" s="2368"/>
      <c r="G54" s="2378"/>
    </row>
    <row r="55" spans="1:7">
      <c r="A55" s="2372" t="s">
        <v>108</v>
      </c>
      <c r="B55" s="2358" t="s">
        <v>2749</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2830</v>
      </c>
      <c r="C78" s="2363">
        <v>0.1</v>
      </c>
      <c r="D78" s="2363">
        <v>8.5000000000000006E-2</v>
      </c>
      <c r="E78" s="2363">
        <v>9.6000000000000002E-2</v>
      </c>
      <c r="F78" s="2374"/>
      <c r="G78" s="2364">
        <v>9.6000000000000002E-2</v>
      </c>
    </row>
    <row r="79" spans="1:7">
      <c r="A79" s="2373" t="s">
        <v>108</v>
      </c>
      <c r="B79" s="2362" t="s">
        <v>2833</v>
      </c>
      <c r="C79" s="2363">
        <v>0.05</v>
      </c>
      <c r="D79" s="2363">
        <v>9.6000000000000002E-2</v>
      </c>
      <c r="E79" s="2363">
        <v>9.5000000000000001E-2</v>
      </c>
      <c r="F79" s="2374"/>
      <c r="G79" s="2364">
        <v>9.8000000000000004E-2</v>
      </c>
    </row>
    <row r="80" spans="1:7">
      <c r="A80" s="2373" t="s">
        <v>108</v>
      </c>
      <c r="B80" s="2362" t="s">
        <v>2837</v>
      </c>
      <c r="C80" s="2363">
        <v>8.5999999999999993E-2</v>
      </c>
      <c r="D80" s="2379"/>
      <c r="E80" s="2363">
        <v>0.1</v>
      </c>
      <c r="F80" s="2374"/>
      <c r="G80" s="2375"/>
    </row>
    <row r="81" spans="1:7">
      <c r="A81" s="2373" t="s">
        <v>108</v>
      </c>
      <c r="B81" s="2362" t="s">
        <v>2842</v>
      </c>
      <c r="C81" s="2363">
        <v>9.6000000000000002E-2</v>
      </c>
      <c r="D81" s="2374"/>
      <c r="E81" s="2363">
        <v>9.8000000000000004E-2</v>
      </c>
      <c r="F81" s="2374"/>
      <c r="G81" s="2375"/>
    </row>
    <row r="82" spans="1:7">
      <c r="A82" s="2373" t="s">
        <v>108</v>
      </c>
      <c r="B82" s="2362" t="s">
        <v>2849</v>
      </c>
      <c r="C82" s="2379"/>
      <c r="D82" s="2374"/>
      <c r="E82" s="2363">
        <v>7.6999999999999999E-2</v>
      </c>
      <c r="F82" s="2374"/>
      <c r="G82" s="2375"/>
    </row>
    <row r="83" spans="1:7">
      <c r="A83" s="2373" t="s">
        <v>108</v>
      </c>
      <c r="B83" s="2362" t="s">
        <v>2855</v>
      </c>
      <c r="C83" s="2374"/>
      <c r="D83" s="2374"/>
      <c r="E83" s="2374"/>
      <c r="F83" s="2363">
        <v>0.1</v>
      </c>
      <c r="G83" s="2380"/>
    </row>
    <row r="84" spans="1:7">
      <c r="A84" s="2373" t="s">
        <v>108</v>
      </c>
      <c r="B84" s="2362" t="s">
        <v>2862</v>
      </c>
      <c r="C84" s="2374"/>
      <c r="D84" s="2374"/>
      <c r="E84" s="2374"/>
      <c r="F84" s="2363">
        <v>0.1</v>
      </c>
      <c r="G84" s="2380"/>
    </row>
    <row r="85" spans="1:7">
      <c r="A85" s="2373" t="s">
        <v>108</v>
      </c>
      <c r="B85" s="2362" t="s">
        <v>2869</v>
      </c>
      <c r="C85" s="2374"/>
      <c r="D85" s="2374"/>
      <c r="E85" s="2374"/>
      <c r="F85" s="2363">
        <v>0.1</v>
      </c>
      <c r="G85" s="2380"/>
    </row>
    <row r="86" spans="1:7" ht="14.25" thickBot="1">
      <c r="A86" s="2376" t="s">
        <v>108</v>
      </c>
      <c r="B86" s="2366" t="s">
        <v>2874</v>
      </c>
      <c r="C86" s="2367">
        <v>9.8000000000000004E-2</v>
      </c>
      <c r="D86" s="2367">
        <v>9.8000000000000004E-2</v>
      </c>
      <c r="E86" s="2367">
        <v>9.6000000000000002E-2</v>
      </c>
      <c r="F86" s="2377"/>
      <c r="G86" s="2369">
        <v>0.1</v>
      </c>
    </row>
    <row r="87" spans="1:7">
      <c r="A87" s="2372" t="s">
        <v>301</v>
      </c>
      <c r="B87" s="2358" t="s">
        <v>2750</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2843</v>
      </c>
      <c r="C113" s="2363">
        <v>0.1</v>
      </c>
      <c r="D113" s="2363">
        <v>0.1</v>
      </c>
      <c r="E113" s="2374"/>
      <c r="F113" s="2374"/>
      <c r="G113" s="2364">
        <v>0.1</v>
      </c>
    </row>
    <row r="114" spans="1:7">
      <c r="A114" s="2373" t="s">
        <v>301</v>
      </c>
      <c r="B114" s="2362" t="s">
        <v>2850</v>
      </c>
      <c r="C114" s="2363">
        <v>9.7000000000000003E-2</v>
      </c>
      <c r="D114" s="2363">
        <v>9.7000000000000003E-2</v>
      </c>
      <c r="E114" s="2374"/>
      <c r="F114" s="2374"/>
      <c r="G114" s="2364">
        <v>9.9000000000000005E-2</v>
      </c>
    </row>
    <row r="115" spans="1:7">
      <c r="A115" s="2373" t="s">
        <v>301</v>
      </c>
      <c r="B115" s="2362" t="s">
        <v>2856</v>
      </c>
      <c r="C115" s="2363">
        <v>0.1</v>
      </c>
      <c r="D115" s="2363">
        <v>0.1</v>
      </c>
      <c r="E115" s="2374"/>
      <c r="F115" s="2374"/>
      <c r="G115" s="2364">
        <v>0.1</v>
      </c>
    </row>
    <row r="116" spans="1:7">
      <c r="A116" s="2373" t="s">
        <v>301</v>
      </c>
      <c r="B116" s="2362" t="s">
        <v>2863</v>
      </c>
      <c r="C116" s="2363">
        <v>0.1</v>
      </c>
      <c r="D116" s="2363">
        <v>0.1</v>
      </c>
      <c r="E116" s="2374"/>
      <c r="F116" s="2374"/>
      <c r="G116" s="2364">
        <v>0.1</v>
      </c>
    </row>
    <row r="117" spans="1:7">
      <c r="A117" s="2373" t="s">
        <v>301</v>
      </c>
      <c r="B117" s="2362" t="s">
        <v>2870</v>
      </c>
      <c r="C117" s="2363">
        <v>9.7000000000000003E-2</v>
      </c>
      <c r="D117" s="2363">
        <v>9.7000000000000003E-2</v>
      </c>
      <c r="E117" s="2374"/>
      <c r="F117" s="2374"/>
      <c r="G117" s="2364">
        <v>9.7000000000000003E-2</v>
      </c>
    </row>
    <row r="118" spans="1:7">
      <c r="A118" s="2373" t="s">
        <v>301</v>
      </c>
      <c r="B118" s="2362" t="s">
        <v>2875</v>
      </c>
      <c r="C118" s="2363">
        <v>0.1</v>
      </c>
      <c r="D118" s="2363">
        <v>0.1</v>
      </c>
      <c r="E118" s="2374"/>
      <c r="F118" s="2374"/>
      <c r="G118" s="2364">
        <v>0.1</v>
      </c>
    </row>
    <row r="119" spans="1:7">
      <c r="A119" s="2373" t="s">
        <v>301</v>
      </c>
      <c r="B119" s="2362" t="s">
        <v>2879</v>
      </c>
      <c r="C119" s="2363">
        <v>5.0999999999999997E-2</v>
      </c>
      <c r="D119" s="2363">
        <v>5.1999999999999998E-2</v>
      </c>
      <c r="E119" s="2374"/>
      <c r="F119" s="2379"/>
      <c r="G119" s="2364">
        <v>0.06</v>
      </c>
    </row>
    <row r="120" spans="1:7">
      <c r="A120" s="2373" t="s">
        <v>301</v>
      </c>
      <c r="B120" s="2362" t="s">
        <v>2883</v>
      </c>
      <c r="C120" s="2374"/>
      <c r="D120" s="2374"/>
      <c r="E120" s="2374"/>
      <c r="F120" s="2363">
        <v>0.1</v>
      </c>
      <c r="G120" s="2380"/>
    </row>
    <row r="121" spans="1:7">
      <c r="A121" s="2373" t="s">
        <v>301</v>
      </c>
      <c r="B121" s="2362" t="s">
        <v>2888</v>
      </c>
      <c r="C121" s="2374"/>
      <c r="D121" s="2374"/>
      <c r="E121" s="2374"/>
      <c r="F121" s="2363">
        <v>0.1</v>
      </c>
      <c r="G121" s="2380"/>
    </row>
    <row r="122" spans="1:7">
      <c r="A122" s="2373" t="s">
        <v>301</v>
      </c>
      <c r="B122" s="2362" t="s">
        <v>2893</v>
      </c>
      <c r="C122" s="2363">
        <v>0.1</v>
      </c>
      <c r="D122" s="2363">
        <v>0.1</v>
      </c>
      <c r="E122" s="2363">
        <v>9.8000000000000004E-2</v>
      </c>
      <c r="F122" s="2363">
        <v>0.1</v>
      </c>
      <c r="G122" s="2364">
        <v>0.1</v>
      </c>
    </row>
    <row r="123" spans="1:7">
      <c r="A123" s="2373" t="s">
        <v>301</v>
      </c>
      <c r="B123" s="2362" t="s">
        <v>2898</v>
      </c>
      <c r="C123" s="2363">
        <v>0.1</v>
      </c>
      <c r="D123" s="2363">
        <v>0.1</v>
      </c>
      <c r="E123" s="2363">
        <v>9.8000000000000004E-2</v>
      </c>
      <c r="F123" s="2363">
        <v>0.1</v>
      </c>
      <c r="G123" s="2364">
        <v>0.1</v>
      </c>
    </row>
    <row r="124" spans="1:7">
      <c r="A124" s="2373" t="s">
        <v>301</v>
      </c>
      <c r="B124" s="2362" t="s">
        <v>2903</v>
      </c>
      <c r="C124" s="2363">
        <v>0.1</v>
      </c>
      <c r="D124" s="2363">
        <v>0.1</v>
      </c>
      <c r="E124" s="2363">
        <v>9.8000000000000004E-2</v>
      </c>
      <c r="F124" s="2379"/>
      <c r="G124" s="2364">
        <v>0.1</v>
      </c>
    </row>
    <row r="125" spans="1:7">
      <c r="A125" s="2373" t="s">
        <v>301</v>
      </c>
      <c r="B125" s="2362" t="s">
        <v>2908</v>
      </c>
      <c r="C125" s="2363">
        <v>9.8000000000000004E-2</v>
      </c>
      <c r="D125" s="2363">
        <v>9.8000000000000004E-2</v>
      </c>
      <c r="E125" s="2363">
        <v>9.6000000000000002E-2</v>
      </c>
      <c r="F125" s="2379"/>
      <c r="G125" s="2364">
        <v>0.1</v>
      </c>
    </row>
    <row r="126" spans="1:7" ht="14.25" thickBot="1">
      <c r="A126" s="2376" t="s">
        <v>301</v>
      </c>
      <c r="B126" s="2366" t="s">
        <v>3074</v>
      </c>
      <c r="C126" s="2367">
        <v>0.1</v>
      </c>
      <c r="D126" s="2367">
        <v>0.1</v>
      </c>
      <c r="E126" s="2367">
        <v>9.8000000000000004E-2</v>
      </c>
      <c r="F126" s="2367">
        <v>0.1</v>
      </c>
      <c r="G126" s="2369">
        <v>0.1</v>
      </c>
    </row>
    <row r="127" spans="1:7">
      <c r="A127" s="2372" t="s">
        <v>27</v>
      </c>
      <c r="B127" s="2358" t="s">
        <v>2751</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2821</v>
      </c>
      <c r="C148" s="2363">
        <v>0.13</v>
      </c>
      <c r="D148" s="2363">
        <v>0.13</v>
      </c>
      <c r="E148" s="2363">
        <v>0.13</v>
      </c>
      <c r="F148" s="2374"/>
      <c r="G148" s="2364">
        <v>0.13</v>
      </c>
    </row>
    <row r="149" spans="1:7">
      <c r="A149" s="2373" t="s">
        <v>27</v>
      </c>
      <c r="B149" s="2362" t="s">
        <v>2825</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2844</v>
      </c>
      <c r="C153" s="2363">
        <v>0.13</v>
      </c>
      <c r="D153" s="2363">
        <v>0.13</v>
      </c>
      <c r="E153" s="2363">
        <v>0.13</v>
      </c>
      <c r="F153" s="2363">
        <v>0.13</v>
      </c>
      <c r="G153" s="2364">
        <v>0.13</v>
      </c>
    </row>
    <row r="154" spans="1:7">
      <c r="A154" s="2373" t="s">
        <v>27</v>
      </c>
      <c r="B154" s="2362" t="s">
        <v>2851</v>
      </c>
      <c r="C154" s="2363">
        <v>0.121</v>
      </c>
      <c r="D154" s="2363">
        <v>0.121</v>
      </c>
      <c r="E154" s="2363">
        <v>0.105</v>
      </c>
      <c r="F154" s="2363">
        <v>0.121</v>
      </c>
      <c r="G154" s="2364">
        <v>0.123</v>
      </c>
    </row>
    <row r="155" spans="1:7">
      <c r="A155" s="2373" t="s">
        <v>27</v>
      </c>
      <c r="B155" s="2362" t="s">
        <v>2857</v>
      </c>
      <c r="C155" s="2363">
        <v>0.1</v>
      </c>
      <c r="D155" s="2363">
        <v>0.1</v>
      </c>
      <c r="E155" s="2363">
        <v>0.1</v>
      </c>
      <c r="F155" s="2363">
        <v>0.1</v>
      </c>
      <c r="G155" s="2364">
        <v>0.1</v>
      </c>
    </row>
    <row r="156" spans="1:7">
      <c r="A156" s="2373" t="s">
        <v>27</v>
      </c>
      <c r="B156" s="2362" t="s">
        <v>2864</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2884</v>
      </c>
      <c r="C160" s="2363">
        <v>0.13</v>
      </c>
      <c r="D160" s="2363">
        <v>0.13</v>
      </c>
      <c r="E160" s="2363">
        <v>0.124</v>
      </c>
      <c r="F160" s="2363">
        <v>0.126</v>
      </c>
      <c r="G160" s="2364">
        <v>0.13</v>
      </c>
    </row>
    <row r="161" spans="1:7">
      <c r="A161" s="2373" t="s">
        <v>27</v>
      </c>
      <c r="B161" s="2362" t="s">
        <v>2889</v>
      </c>
      <c r="C161" s="2363">
        <v>0.13</v>
      </c>
      <c r="D161" s="2363">
        <v>0.13</v>
      </c>
      <c r="E161" s="2363">
        <v>0.124</v>
      </c>
      <c r="F161" s="2363">
        <v>0.127</v>
      </c>
      <c r="G161" s="2364">
        <v>0.13</v>
      </c>
    </row>
    <row r="162" spans="1:7">
      <c r="A162" s="2373" t="s">
        <v>27</v>
      </c>
      <c r="B162" s="2362" t="s">
        <v>2894</v>
      </c>
      <c r="C162" s="2363">
        <v>0.1</v>
      </c>
      <c r="D162" s="2363">
        <v>0.1</v>
      </c>
      <c r="E162" s="2363">
        <v>0.1</v>
      </c>
      <c r="F162" s="2363">
        <v>0.121</v>
      </c>
      <c r="G162" s="2364">
        <v>0.105</v>
      </c>
    </row>
    <row r="163" spans="1:7">
      <c r="A163" s="2373" t="s">
        <v>27</v>
      </c>
      <c r="B163" s="2362" t="s">
        <v>2899</v>
      </c>
      <c r="C163" s="2363">
        <v>0.1</v>
      </c>
      <c r="D163" s="2363">
        <v>0.1</v>
      </c>
      <c r="E163" s="2363">
        <v>0.1</v>
      </c>
      <c r="F163" s="2363">
        <v>0.1</v>
      </c>
      <c r="G163" s="2364">
        <v>0.1</v>
      </c>
    </row>
    <row r="164" spans="1:7">
      <c r="A164" s="2373" t="s">
        <v>27</v>
      </c>
      <c r="B164" s="2362" t="s">
        <v>2904</v>
      </c>
      <c r="C164" s="2379"/>
      <c r="D164" s="2379"/>
      <c r="E164" s="2379"/>
      <c r="F164" s="2363">
        <v>0.1</v>
      </c>
      <c r="G164" s="2375"/>
    </row>
    <row r="165" spans="1:7">
      <c r="A165" s="2373" t="s">
        <v>27</v>
      </c>
      <c r="B165" s="2362" t="s">
        <v>3075</v>
      </c>
      <c r="C165" s="2363">
        <v>0.126</v>
      </c>
      <c r="D165" s="2363">
        <v>0.126</v>
      </c>
      <c r="E165" s="2363">
        <v>0.11899999999999999</v>
      </c>
      <c r="F165" s="2363">
        <v>0.13</v>
      </c>
      <c r="G165" s="2364">
        <v>0.128</v>
      </c>
    </row>
    <row r="166" spans="1:7">
      <c r="A166" s="2373" t="s">
        <v>27</v>
      </c>
      <c r="B166" s="2362" t="s">
        <v>2914</v>
      </c>
      <c r="C166" s="2363">
        <v>0.129</v>
      </c>
      <c r="D166" s="2363">
        <v>0.129</v>
      </c>
      <c r="E166" s="2363">
        <v>0.123</v>
      </c>
      <c r="F166" s="2363">
        <v>0.128</v>
      </c>
      <c r="G166" s="2364">
        <v>0.13</v>
      </c>
    </row>
    <row r="167" spans="1:7">
      <c r="A167" s="2373" t="s">
        <v>27</v>
      </c>
      <c r="B167" s="2362" t="s">
        <v>2918</v>
      </c>
      <c r="C167" s="2363">
        <v>0.125</v>
      </c>
      <c r="D167" s="2363">
        <v>0.125</v>
      </c>
      <c r="E167" s="2363">
        <v>0.11700000000000001</v>
      </c>
      <c r="F167" s="2363">
        <v>0.13</v>
      </c>
      <c r="G167" s="2364">
        <v>0.126</v>
      </c>
    </row>
    <row r="168" spans="1:7">
      <c r="A168" s="2373" t="s">
        <v>27</v>
      </c>
      <c r="B168" s="2362" t="s">
        <v>2923</v>
      </c>
      <c r="C168" s="2363">
        <v>0.128</v>
      </c>
      <c r="D168" s="2363">
        <v>0.128</v>
      </c>
      <c r="E168" s="2363">
        <v>0.123</v>
      </c>
      <c r="F168" s="2374"/>
      <c r="G168" s="2364">
        <v>0.13</v>
      </c>
    </row>
    <row r="169" spans="1:7">
      <c r="A169" s="2373" t="s">
        <v>27</v>
      </c>
      <c r="B169" s="2362" t="s">
        <v>3076</v>
      </c>
      <c r="C169" s="2379"/>
      <c r="D169" s="2379"/>
      <c r="E169" s="2379"/>
      <c r="F169" s="2363">
        <v>0.05</v>
      </c>
      <c r="G169" s="2375"/>
    </row>
    <row r="170" spans="1:7">
      <c r="A170" s="2373" t="s">
        <v>27</v>
      </c>
      <c r="B170" s="2362" t="s">
        <v>3077</v>
      </c>
      <c r="C170" s="2379"/>
      <c r="D170" s="2379"/>
      <c r="E170" s="2379"/>
      <c r="F170" s="2363">
        <v>0.05</v>
      </c>
      <c r="G170" s="2375"/>
    </row>
    <row r="171" spans="1:7">
      <c r="A171" s="2373" t="s">
        <v>27</v>
      </c>
      <c r="B171" s="2362" t="s">
        <v>3078</v>
      </c>
      <c r="C171" s="2379"/>
      <c r="D171" s="2379"/>
      <c r="E171" s="2379"/>
      <c r="F171" s="2363">
        <v>0.05</v>
      </c>
      <c r="G171" s="2380"/>
    </row>
    <row r="172" spans="1:7">
      <c r="A172" s="2373" t="s">
        <v>27</v>
      </c>
      <c r="B172" s="2362" t="s">
        <v>3079</v>
      </c>
      <c r="C172" s="2379"/>
      <c r="D172" s="2379"/>
      <c r="E172" s="2379"/>
      <c r="F172" s="2363">
        <v>0.05</v>
      </c>
      <c r="G172" s="2380"/>
    </row>
    <row r="173" spans="1:7">
      <c r="A173" s="2373" t="s">
        <v>27</v>
      </c>
      <c r="B173" s="2362" t="s">
        <v>3080</v>
      </c>
      <c r="C173" s="2379"/>
      <c r="D173" s="2379"/>
      <c r="E173" s="2379"/>
      <c r="F173" s="2363">
        <v>0.05</v>
      </c>
      <c r="G173" s="2375"/>
    </row>
    <row r="174" spans="1:7">
      <c r="A174" s="2373" t="s">
        <v>27</v>
      </c>
      <c r="B174" s="2362" t="s">
        <v>3081</v>
      </c>
      <c r="C174" s="2379"/>
      <c r="D174" s="2379"/>
      <c r="E174" s="2379"/>
      <c r="F174" s="2363">
        <v>0.05</v>
      </c>
      <c r="G174" s="2375"/>
    </row>
    <row r="175" spans="1:7">
      <c r="A175" s="2373" t="s">
        <v>27</v>
      </c>
      <c r="B175" s="2362" t="s">
        <v>3082</v>
      </c>
      <c r="C175" s="2379"/>
      <c r="D175" s="2379"/>
      <c r="E175" s="2379"/>
      <c r="F175" s="2363">
        <v>0.05</v>
      </c>
      <c r="G175" s="2375"/>
    </row>
    <row r="176" spans="1:7">
      <c r="A176" s="2373" t="s">
        <v>27</v>
      </c>
      <c r="B176" s="2362" t="s">
        <v>3083</v>
      </c>
      <c r="C176" s="2379"/>
      <c r="D176" s="2379"/>
      <c r="E176" s="2379"/>
      <c r="F176" s="2363">
        <v>0.05</v>
      </c>
      <c r="G176" s="2375"/>
    </row>
    <row r="177" spans="1:7">
      <c r="A177" s="2373" t="s">
        <v>27</v>
      </c>
      <c r="B177" s="2362" t="s">
        <v>3084</v>
      </c>
      <c r="C177" s="2374"/>
      <c r="D177" s="2374"/>
      <c r="E177" s="2374"/>
      <c r="F177" s="2363">
        <v>0.05</v>
      </c>
      <c r="G177" s="2380"/>
    </row>
    <row r="178" spans="1:7">
      <c r="A178" s="2373" t="s">
        <v>27</v>
      </c>
      <c r="B178" s="2362" t="s">
        <v>3085</v>
      </c>
      <c r="C178" s="2374"/>
      <c r="D178" s="2374"/>
      <c r="E178" s="2374"/>
      <c r="F178" s="2363">
        <v>0.05</v>
      </c>
      <c r="G178" s="2380"/>
    </row>
    <row r="179" spans="1:7">
      <c r="A179" s="2373" t="s">
        <v>27</v>
      </c>
      <c r="B179" s="2362" t="s">
        <v>3086</v>
      </c>
      <c r="C179" s="2374"/>
      <c r="D179" s="2374"/>
      <c r="E179" s="2374"/>
      <c r="F179" s="2363">
        <v>0.05</v>
      </c>
      <c r="G179" s="2380"/>
    </row>
    <row r="180" spans="1:7">
      <c r="A180" s="2373" t="s">
        <v>27</v>
      </c>
      <c r="B180" s="2362" t="s">
        <v>3087</v>
      </c>
      <c r="C180" s="2374"/>
      <c r="D180" s="2374"/>
      <c r="E180" s="2374"/>
      <c r="F180" s="2363">
        <v>0.05</v>
      </c>
      <c r="G180" s="2380"/>
    </row>
    <row r="181" spans="1:7">
      <c r="A181" s="2373" t="s">
        <v>27</v>
      </c>
      <c r="B181" s="2362" t="s">
        <v>3088</v>
      </c>
      <c r="C181" s="2374"/>
      <c r="D181" s="2374"/>
      <c r="E181" s="2374"/>
      <c r="F181" s="2363">
        <v>0.05</v>
      </c>
      <c r="G181" s="2380"/>
    </row>
    <row r="182" spans="1:7">
      <c r="A182" s="2373" t="s">
        <v>27</v>
      </c>
      <c r="B182" s="2362" t="s">
        <v>3089</v>
      </c>
      <c r="C182" s="2374"/>
      <c r="D182" s="2374"/>
      <c r="E182" s="2374"/>
      <c r="F182" s="2363">
        <v>0.05</v>
      </c>
      <c r="G182" s="2380"/>
    </row>
    <row r="183" spans="1:7">
      <c r="A183" s="2373" t="s">
        <v>27</v>
      </c>
      <c r="B183" s="2362" t="s">
        <v>3090</v>
      </c>
      <c r="C183" s="2374"/>
      <c r="D183" s="2374"/>
      <c r="E183" s="2374"/>
      <c r="F183" s="2363">
        <v>0.05</v>
      </c>
      <c r="G183" s="2380"/>
    </row>
    <row r="184" spans="1:7">
      <c r="A184" s="2373" t="s">
        <v>27</v>
      </c>
      <c r="B184" s="2362" t="s">
        <v>3091</v>
      </c>
      <c r="C184" s="2374"/>
      <c r="D184" s="2374"/>
      <c r="E184" s="2374"/>
      <c r="F184" s="2363">
        <v>0.05</v>
      </c>
      <c r="G184" s="2380"/>
    </row>
    <row r="185" spans="1:7">
      <c r="A185" s="2373" t="s">
        <v>27</v>
      </c>
      <c r="B185" s="2362" t="s">
        <v>3092</v>
      </c>
      <c r="C185" s="2374"/>
      <c r="D185" s="2374"/>
      <c r="E185" s="2374"/>
      <c r="F185" s="2363">
        <v>0.05</v>
      </c>
      <c r="G185" s="2380"/>
    </row>
    <row r="186" spans="1:7">
      <c r="A186" s="2373" t="s">
        <v>27</v>
      </c>
      <c r="B186" s="2362" t="s">
        <v>3093</v>
      </c>
      <c r="C186" s="2374"/>
      <c r="D186" s="2374"/>
      <c r="E186" s="2374"/>
      <c r="F186" s="2363">
        <v>0.05</v>
      </c>
      <c r="G186" s="2380"/>
    </row>
    <row r="187" spans="1:7">
      <c r="A187" s="2373" t="s">
        <v>27</v>
      </c>
      <c r="B187" s="2362" t="s">
        <v>3094</v>
      </c>
      <c r="C187" s="2374"/>
      <c r="D187" s="2374"/>
      <c r="E187" s="2374"/>
      <c r="F187" s="2363">
        <v>0.05</v>
      </c>
      <c r="G187" s="2380"/>
    </row>
    <row r="188" spans="1:7">
      <c r="A188" s="2373" t="s">
        <v>27</v>
      </c>
      <c r="B188" s="2362" t="s">
        <v>3095</v>
      </c>
      <c r="C188" s="2374"/>
      <c r="D188" s="2374"/>
      <c r="E188" s="2374"/>
      <c r="F188" s="2363">
        <v>0.05</v>
      </c>
      <c r="G188" s="2380"/>
    </row>
    <row r="189" spans="1:7" ht="14.25" thickBot="1">
      <c r="A189" s="2376" t="s">
        <v>27</v>
      </c>
      <c r="B189" s="2366" t="s">
        <v>3096</v>
      </c>
      <c r="C189" s="2368"/>
      <c r="D189" s="2368"/>
      <c r="E189" s="2368"/>
      <c r="F189" s="2367">
        <v>0.05</v>
      </c>
      <c r="G189" s="2381"/>
    </row>
    <row r="190" spans="1:7">
      <c r="A190" s="2372" t="s">
        <v>302</v>
      </c>
      <c r="B190" s="2358" t="s">
        <v>2752</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2788</v>
      </c>
      <c r="C199" s="2363">
        <v>0.13</v>
      </c>
      <c r="D199" s="2363">
        <v>0.13</v>
      </c>
      <c r="E199" s="2363">
        <v>0.13</v>
      </c>
      <c r="F199" s="2363">
        <v>0.13</v>
      </c>
      <c r="G199" s="2364">
        <v>0.13</v>
      </c>
    </row>
    <row r="200" spans="1:7">
      <c r="A200" s="2373" t="s">
        <v>302</v>
      </c>
      <c r="B200" s="2362" t="s">
        <v>2791</v>
      </c>
      <c r="C200" s="2379"/>
      <c r="D200" s="2379"/>
      <c r="E200" s="2379"/>
      <c r="F200" s="2363">
        <v>0.13</v>
      </c>
      <c r="G200" s="2375"/>
    </row>
    <row r="201" spans="1:7">
      <c r="A201" s="2373" t="s">
        <v>302</v>
      </c>
      <c r="B201" s="2362" t="s">
        <v>2796</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2799</v>
      </c>
      <c r="C203" s="2363">
        <v>0.129</v>
      </c>
      <c r="D203" s="2363">
        <v>0.129</v>
      </c>
      <c r="E203" s="2363">
        <v>0.13</v>
      </c>
      <c r="F203" s="2363">
        <v>0.13</v>
      </c>
      <c r="G203" s="2364">
        <v>0.13</v>
      </c>
    </row>
    <row r="204" spans="1:7">
      <c r="A204" s="2373" t="s">
        <v>302</v>
      </c>
      <c r="B204" s="2362" t="s">
        <v>2802</v>
      </c>
      <c r="C204" s="2363">
        <v>0.129</v>
      </c>
      <c r="D204" s="2363">
        <v>0.129</v>
      </c>
      <c r="E204" s="2363">
        <v>0.123</v>
      </c>
      <c r="F204" s="2363">
        <v>0.13</v>
      </c>
      <c r="G204" s="2364">
        <v>0.13</v>
      </c>
    </row>
    <row r="205" spans="1:7">
      <c r="A205" s="2373" t="s">
        <v>302</v>
      </c>
      <c r="B205" s="2362" t="s">
        <v>2804</v>
      </c>
      <c r="C205" s="2363">
        <v>0.13</v>
      </c>
      <c r="D205" s="2363">
        <v>0.13</v>
      </c>
      <c r="E205" s="2363">
        <v>0.13</v>
      </c>
      <c r="F205" s="2363">
        <v>0.13</v>
      </c>
      <c r="G205" s="2364">
        <v>0.13</v>
      </c>
    </row>
    <row r="206" spans="1:7">
      <c r="A206" s="2373" t="s">
        <v>302</v>
      </c>
      <c r="B206" s="2362" t="s">
        <v>2807</v>
      </c>
      <c r="C206" s="2363">
        <v>0.13</v>
      </c>
      <c r="D206" s="2363">
        <v>0.13</v>
      </c>
      <c r="E206" s="2363">
        <v>0.13</v>
      </c>
      <c r="F206" s="2363">
        <v>0.128</v>
      </c>
      <c r="G206" s="2364">
        <v>0.13</v>
      </c>
    </row>
    <row r="207" spans="1:7">
      <c r="A207" s="2373" t="s">
        <v>302</v>
      </c>
      <c r="B207" s="2362" t="s">
        <v>2809</v>
      </c>
      <c r="C207" s="2363">
        <v>0.13</v>
      </c>
      <c r="D207" s="2363">
        <v>0.13</v>
      </c>
      <c r="E207" s="2363">
        <v>0.13</v>
      </c>
      <c r="F207" s="2363">
        <v>0.13</v>
      </c>
      <c r="G207" s="2364">
        <v>0.13</v>
      </c>
    </row>
    <row r="208" spans="1:7">
      <c r="A208" s="2373" t="s">
        <v>302</v>
      </c>
      <c r="B208" s="2362" t="s">
        <v>2812</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2819</v>
      </c>
      <c r="C210" s="2363">
        <v>0.121</v>
      </c>
      <c r="D210" s="2363">
        <v>0.121</v>
      </c>
      <c r="E210" s="2363">
        <v>0.125</v>
      </c>
      <c r="F210" s="2363">
        <v>0.13</v>
      </c>
      <c r="G210" s="2364">
        <v>0.123</v>
      </c>
    </row>
    <row r="211" spans="1:7">
      <c r="A211" s="2373" t="s">
        <v>302</v>
      </c>
      <c r="B211" s="2362" t="s">
        <v>2822</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2834</v>
      </c>
      <c r="C214" s="2363">
        <v>0.128</v>
      </c>
      <c r="D214" s="2363">
        <v>0.128</v>
      </c>
      <c r="E214" s="2363">
        <v>0.13</v>
      </c>
      <c r="F214" s="2363">
        <v>0.13</v>
      </c>
      <c r="G214" s="2364">
        <v>0.13</v>
      </c>
    </row>
    <row r="215" spans="1:7">
      <c r="A215" s="2373" t="s">
        <v>302</v>
      </c>
      <c r="B215" s="2362" t="s">
        <v>2838</v>
      </c>
      <c r="C215" s="2363">
        <v>0.13</v>
      </c>
      <c r="D215" s="2363">
        <v>0.13</v>
      </c>
      <c r="E215" s="2363">
        <v>0.13</v>
      </c>
      <c r="F215" s="2363">
        <v>0.129</v>
      </c>
      <c r="G215" s="2364">
        <v>0.13</v>
      </c>
    </row>
    <row r="216" spans="1:7">
      <c r="A216" s="2373" t="s">
        <v>302</v>
      </c>
      <c r="B216" s="2362" t="s">
        <v>2845</v>
      </c>
      <c r="C216" s="2363">
        <v>0.13</v>
      </c>
      <c r="D216" s="2363">
        <v>0.13</v>
      </c>
      <c r="E216" s="2363">
        <v>0.13</v>
      </c>
      <c r="F216" s="2363">
        <v>0.13</v>
      </c>
      <c r="G216" s="2364">
        <v>0.13</v>
      </c>
    </row>
    <row r="217" spans="1:7">
      <c r="A217" s="2373" t="s">
        <v>302</v>
      </c>
      <c r="B217" s="2362" t="s">
        <v>2852</v>
      </c>
      <c r="C217" s="2363">
        <v>0.129</v>
      </c>
      <c r="D217" s="2363">
        <v>0.129</v>
      </c>
      <c r="E217" s="2363">
        <v>0.13</v>
      </c>
      <c r="F217" s="2363">
        <v>0.13</v>
      </c>
      <c r="G217" s="2364">
        <v>0.13</v>
      </c>
    </row>
    <row r="218" spans="1:7">
      <c r="A218" s="2373" t="s">
        <v>302</v>
      </c>
      <c r="B218" s="2362" t="s">
        <v>2858</v>
      </c>
      <c r="C218" s="2374"/>
      <c r="D218" s="2374"/>
      <c r="E218" s="2374"/>
      <c r="F218" s="2363">
        <v>0.05</v>
      </c>
      <c r="G218" s="2380"/>
    </row>
    <row r="219" spans="1:7">
      <c r="A219" s="2373" t="s">
        <v>302</v>
      </c>
      <c r="B219" s="2362" t="s">
        <v>2865</v>
      </c>
      <c r="C219" s="2374"/>
      <c r="D219" s="2374"/>
      <c r="E219" s="2374"/>
      <c r="F219" s="2363">
        <v>0.05</v>
      </c>
      <c r="G219" s="2380"/>
    </row>
    <row r="220" spans="1:7">
      <c r="A220" s="2373" t="s">
        <v>302</v>
      </c>
      <c r="B220" s="2362" t="s">
        <v>2871</v>
      </c>
      <c r="C220" s="2374"/>
      <c r="D220" s="2374"/>
      <c r="E220" s="2374"/>
      <c r="F220" s="2363">
        <v>0.05</v>
      </c>
      <c r="G220" s="2380"/>
    </row>
    <row r="221" spans="1:7">
      <c r="A221" s="2373" t="s">
        <v>302</v>
      </c>
      <c r="B221" s="2362" t="s">
        <v>2876</v>
      </c>
      <c r="C221" s="2374"/>
      <c r="D221" s="2374"/>
      <c r="E221" s="2374"/>
      <c r="F221" s="2363">
        <v>0.05</v>
      </c>
      <c r="G221" s="2380"/>
    </row>
    <row r="222" spans="1:7">
      <c r="A222" s="2373" t="s">
        <v>302</v>
      </c>
      <c r="B222" s="2362" t="s">
        <v>2880</v>
      </c>
      <c r="C222" s="2374"/>
      <c r="D222" s="2374"/>
      <c r="E222" s="2374"/>
      <c r="F222" s="2363">
        <v>0.05</v>
      </c>
      <c r="G222" s="2380"/>
    </row>
    <row r="223" spans="1:7">
      <c r="A223" s="2373" t="s">
        <v>302</v>
      </c>
      <c r="B223" s="2362" t="s">
        <v>2885</v>
      </c>
      <c r="C223" s="2374"/>
      <c r="D223" s="2374"/>
      <c r="E223" s="2374"/>
      <c r="F223" s="2363">
        <v>0.05</v>
      </c>
      <c r="G223" s="2380"/>
    </row>
    <row r="224" spans="1:7">
      <c r="A224" s="2373" t="s">
        <v>302</v>
      </c>
      <c r="B224" s="2362" t="s">
        <v>2890</v>
      </c>
      <c r="C224" s="2374"/>
      <c r="D224" s="2374"/>
      <c r="E224" s="2374"/>
      <c r="F224" s="2363">
        <v>0.05</v>
      </c>
      <c r="G224" s="2380"/>
    </row>
    <row r="225" spans="1:7">
      <c r="A225" s="2373" t="s">
        <v>302</v>
      </c>
      <c r="B225" s="2362" t="s">
        <v>2895</v>
      </c>
      <c r="C225" s="2374"/>
      <c r="D225" s="2374"/>
      <c r="E225" s="2374"/>
      <c r="F225" s="2363">
        <v>0.05</v>
      </c>
      <c r="G225" s="2380"/>
    </row>
    <row r="226" spans="1:7">
      <c r="A226" s="2373" t="s">
        <v>302</v>
      </c>
      <c r="B226" s="2362" t="s">
        <v>3097</v>
      </c>
      <c r="C226" s="2374"/>
      <c r="D226" s="2374"/>
      <c r="E226" s="2374"/>
      <c r="F226" s="2363">
        <v>0.05</v>
      </c>
      <c r="G226" s="2380"/>
    </row>
    <row r="227" spans="1:7">
      <c r="A227" s="2373" t="s">
        <v>302</v>
      </c>
      <c r="B227" s="2362" t="s">
        <v>3098</v>
      </c>
      <c r="C227" s="2374"/>
      <c r="D227" s="2374"/>
      <c r="E227" s="2374"/>
      <c r="F227" s="2363">
        <v>0.05</v>
      </c>
      <c r="G227" s="2380"/>
    </row>
    <row r="228" spans="1:7">
      <c r="A228" s="2373" t="s">
        <v>302</v>
      </c>
      <c r="B228" s="2362" t="s">
        <v>3099</v>
      </c>
      <c r="C228" s="2374"/>
      <c r="D228" s="2374"/>
      <c r="E228" s="2374"/>
      <c r="F228" s="2363">
        <v>0.05</v>
      </c>
      <c r="G228" s="2380"/>
    </row>
    <row r="229" spans="1:7">
      <c r="A229" s="2373" t="s">
        <v>302</v>
      </c>
      <c r="B229" s="2362" t="s">
        <v>3100</v>
      </c>
      <c r="C229" s="2374"/>
      <c r="D229" s="2374"/>
      <c r="E229" s="2374"/>
      <c r="F229" s="2363">
        <v>0.05</v>
      </c>
      <c r="G229" s="2380"/>
    </row>
    <row r="230" spans="1:7">
      <c r="A230" s="2373" t="s">
        <v>302</v>
      </c>
      <c r="B230" s="2362" t="s">
        <v>3101</v>
      </c>
      <c r="C230" s="2374"/>
      <c r="D230" s="2374"/>
      <c r="E230" s="2374"/>
      <c r="F230" s="2363">
        <v>0.05</v>
      </c>
      <c r="G230" s="2380"/>
    </row>
    <row r="231" spans="1:7">
      <c r="A231" s="2373" t="s">
        <v>302</v>
      </c>
      <c r="B231" s="2362" t="s">
        <v>3102</v>
      </c>
      <c r="C231" s="2374"/>
      <c r="D231" s="2374"/>
      <c r="E231" s="2374"/>
      <c r="F231" s="2363">
        <v>0.05</v>
      </c>
      <c r="G231" s="2380"/>
    </row>
    <row r="232" spans="1:7">
      <c r="A232" s="2373" t="s">
        <v>302</v>
      </c>
      <c r="B232" s="2362" t="s">
        <v>3103</v>
      </c>
      <c r="C232" s="2374"/>
      <c r="D232" s="2374"/>
      <c r="E232" s="2374"/>
      <c r="F232" s="2363">
        <v>0.05</v>
      </c>
      <c r="G232" s="2380"/>
    </row>
    <row r="233" spans="1:7" ht="14.25" thickBot="1">
      <c r="A233" s="2376" t="s">
        <v>302</v>
      </c>
      <c r="B233" s="2366" t="s">
        <v>3104</v>
      </c>
      <c r="C233" s="2368"/>
      <c r="D233" s="2368"/>
      <c r="E233" s="2368"/>
      <c r="F233" s="2367">
        <v>0.05</v>
      </c>
      <c r="G233" s="2381"/>
    </row>
    <row r="234" spans="1:7">
      <c r="A234" s="2372" t="s">
        <v>303</v>
      </c>
      <c r="B234" s="2358" t="s">
        <v>2753</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2773</v>
      </c>
      <c r="C238" s="2363">
        <v>0.14899999999999999</v>
      </c>
      <c r="D238" s="2363">
        <v>0.14899999999999999</v>
      </c>
      <c r="E238" s="2363">
        <v>0.15</v>
      </c>
      <c r="F238" s="2363">
        <v>0.15</v>
      </c>
      <c r="G238" s="2364">
        <v>0.15</v>
      </c>
    </row>
    <row r="239" spans="1:7">
      <c r="A239" s="2373" t="s">
        <v>303</v>
      </c>
      <c r="B239" s="2362" t="s">
        <v>2777</v>
      </c>
      <c r="C239" s="2363">
        <v>0.15</v>
      </c>
      <c r="D239" s="2363">
        <v>0.15</v>
      </c>
      <c r="E239" s="2363">
        <v>0.15</v>
      </c>
      <c r="F239" s="2363">
        <v>0.15</v>
      </c>
      <c r="G239" s="2364">
        <v>0.15</v>
      </c>
    </row>
    <row r="240" spans="1:7">
      <c r="A240" s="2373" t="s">
        <v>303</v>
      </c>
      <c r="B240" s="2362" t="s">
        <v>2782</v>
      </c>
      <c r="C240" s="2363">
        <v>0.15</v>
      </c>
      <c r="D240" s="2363">
        <v>0.15</v>
      </c>
      <c r="E240" s="2363">
        <v>0.15</v>
      </c>
      <c r="F240" s="2363">
        <v>0.15</v>
      </c>
      <c r="G240" s="2364">
        <v>0.15</v>
      </c>
    </row>
    <row r="241" spans="1:7">
      <c r="A241" s="2373" t="s">
        <v>303</v>
      </c>
      <c r="B241" s="2362" t="s">
        <v>2786</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2792</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2800</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2805</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2813</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2826</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2835</v>
      </c>
      <c r="C258" s="2363">
        <v>0.14299999999999999</v>
      </c>
      <c r="D258" s="2363">
        <v>0.14299999999999999</v>
      </c>
      <c r="E258" s="2363">
        <v>0.15</v>
      </c>
      <c r="F258" s="2363">
        <v>0.14799999999999999</v>
      </c>
      <c r="G258" s="2364">
        <v>0.14599999999999999</v>
      </c>
    </row>
    <row r="259" spans="1:7">
      <c r="A259" s="2373" t="s">
        <v>303</v>
      </c>
      <c r="B259" s="2362" t="s">
        <v>2839</v>
      </c>
      <c r="C259" s="2363">
        <v>0.14399999999999999</v>
      </c>
      <c r="D259" s="2363">
        <v>0.14399999999999999</v>
      </c>
      <c r="E259" s="2363">
        <v>0.14899999999999999</v>
      </c>
      <c r="F259" s="2363">
        <v>0.14699999999999999</v>
      </c>
      <c r="G259" s="2364">
        <v>0.14599999999999999</v>
      </c>
    </row>
    <row r="260" spans="1:7">
      <c r="A260" s="2373" t="s">
        <v>303</v>
      </c>
      <c r="B260" s="2362" t="s">
        <v>2846</v>
      </c>
      <c r="C260" s="2363">
        <v>0.109</v>
      </c>
      <c r="D260" s="2363">
        <v>0.111</v>
      </c>
      <c r="E260" s="2363">
        <v>0.13100000000000001</v>
      </c>
      <c r="F260" s="2363">
        <v>0.126</v>
      </c>
      <c r="G260" s="2364">
        <v>0.11899999999999999</v>
      </c>
    </row>
    <row r="261" spans="1:7">
      <c r="A261" s="2373" t="s">
        <v>303</v>
      </c>
      <c r="B261" s="2362" t="s">
        <v>2853</v>
      </c>
      <c r="C261" s="2363">
        <v>0.1</v>
      </c>
      <c r="D261" s="2363">
        <v>0.1</v>
      </c>
      <c r="E261" s="2363">
        <v>0.11799999999999999</v>
      </c>
      <c r="F261" s="2363">
        <v>0.108</v>
      </c>
      <c r="G261" s="2364">
        <v>0.107</v>
      </c>
    </row>
    <row r="262" spans="1:7">
      <c r="A262" s="2373" t="s">
        <v>303</v>
      </c>
      <c r="B262" s="2362" t="s">
        <v>2859</v>
      </c>
      <c r="C262" s="2363">
        <v>0.1</v>
      </c>
      <c r="D262" s="2363">
        <v>0.1</v>
      </c>
      <c r="E262" s="2363">
        <v>0.1</v>
      </c>
      <c r="F262" s="2363">
        <v>0.14099999999999999</v>
      </c>
      <c r="G262" s="2364">
        <v>0.1</v>
      </c>
    </row>
    <row r="263" spans="1:7">
      <c r="A263" s="2373" t="s">
        <v>303</v>
      </c>
      <c r="B263" s="2362" t="s">
        <v>2866</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2877</v>
      </c>
      <c r="C265" s="2374"/>
      <c r="D265" s="2374"/>
      <c r="E265" s="2374"/>
      <c r="F265" s="2363">
        <v>0.05</v>
      </c>
      <c r="G265" s="2380"/>
    </row>
    <row r="266" spans="1:7">
      <c r="A266" s="2373" t="s">
        <v>303</v>
      </c>
      <c r="B266" s="2362" t="s">
        <v>2881</v>
      </c>
      <c r="C266" s="2374"/>
      <c r="D266" s="2374"/>
      <c r="E266" s="2374"/>
      <c r="F266" s="2363">
        <v>0.05</v>
      </c>
      <c r="G266" s="2380"/>
    </row>
    <row r="267" spans="1:7">
      <c r="A267" s="2373" t="s">
        <v>303</v>
      </c>
      <c r="B267" s="2362" t="s">
        <v>2886</v>
      </c>
      <c r="C267" s="2374"/>
      <c r="D267" s="2374"/>
      <c r="E267" s="2374"/>
      <c r="F267" s="2363">
        <v>0.05</v>
      </c>
      <c r="G267" s="2380"/>
    </row>
    <row r="268" spans="1:7">
      <c r="A268" s="2373" t="s">
        <v>303</v>
      </c>
      <c r="B268" s="2362" t="s">
        <v>2891</v>
      </c>
      <c r="C268" s="2374"/>
      <c r="D268" s="2374"/>
      <c r="E268" s="2374"/>
      <c r="F268" s="2363">
        <v>0.05</v>
      </c>
      <c r="G268" s="2380"/>
    </row>
    <row r="269" spans="1:7">
      <c r="A269" s="2373" t="s">
        <v>303</v>
      </c>
      <c r="B269" s="2362" t="s">
        <v>2896</v>
      </c>
      <c r="C269" s="2374"/>
      <c r="D269" s="2374"/>
      <c r="E269" s="2374"/>
      <c r="F269" s="2363">
        <v>0.05</v>
      </c>
      <c r="G269" s="2380"/>
    </row>
    <row r="270" spans="1:7">
      <c r="A270" s="2373" t="s">
        <v>303</v>
      </c>
      <c r="B270" s="2362" t="s">
        <v>2901</v>
      </c>
      <c r="C270" s="2374"/>
      <c r="D270" s="2374"/>
      <c r="E270" s="2374"/>
      <c r="F270" s="2363">
        <v>0.05</v>
      </c>
      <c r="G270" s="2380"/>
    </row>
    <row r="271" spans="1:7">
      <c r="A271" s="2373" t="s">
        <v>303</v>
      </c>
      <c r="B271" s="2362" t="s">
        <v>3105</v>
      </c>
      <c r="C271" s="2374"/>
      <c r="D271" s="2374"/>
      <c r="E271" s="2374"/>
      <c r="F271" s="2363">
        <v>0.05</v>
      </c>
      <c r="G271" s="2380"/>
    </row>
    <row r="272" spans="1:7">
      <c r="A272" s="2373" t="s">
        <v>303</v>
      </c>
      <c r="B272" s="2362" t="s">
        <v>3106</v>
      </c>
      <c r="C272" s="2374"/>
      <c r="D272" s="2374"/>
      <c r="E272" s="2374"/>
      <c r="F272" s="2363">
        <v>0.05</v>
      </c>
      <c r="G272" s="2380"/>
    </row>
    <row r="273" spans="1:7">
      <c r="A273" s="2373" t="s">
        <v>303</v>
      </c>
      <c r="B273" s="2362" t="s">
        <v>3107</v>
      </c>
      <c r="C273" s="2374"/>
      <c r="D273" s="2374"/>
      <c r="E273" s="2374"/>
      <c r="F273" s="2363">
        <v>0.05</v>
      </c>
      <c r="G273" s="2380"/>
    </row>
    <row r="274" spans="1:7">
      <c r="A274" s="2373" t="s">
        <v>303</v>
      </c>
      <c r="B274" s="2362" t="s">
        <v>3108</v>
      </c>
      <c r="C274" s="2374"/>
      <c r="D274" s="2374"/>
      <c r="E274" s="2374"/>
      <c r="F274" s="2363">
        <v>0.05</v>
      </c>
      <c r="G274" s="2380"/>
    </row>
    <row r="275" spans="1:7">
      <c r="A275" s="2373" t="s">
        <v>303</v>
      </c>
      <c r="B275" s="2362" t="s">
        <v>3109</v>
      </c>
      <c r="C275" s="2374"/>
      <c r="D275" s="2374"/>
      <c r="E275" s="2374"/>
      <c r="F275" s="2363">
        <v>0.05</v>
      </c>
      <c r="G275" s="2380"/>
    </row>
    <row r="276" spans="1:7" ht="14.25" thickBot="1">
      <c r="A276" s="2376" t="s">
        <v>303</v>
      </c>
      <c r="B276" s="2366" t="s">
        <v>3110</v>
      </c>
      <c r="C276" s="2368"/>
      <c r="D276" s="2368"/>
      <c r="E276" s="2368"/>
      <c r="F276" s="2367">
        <v>0.05</v>
      </c>
      <c r="G276" s="2381"/>
    </row>
    <row r="277" spans="1:7">
      <c r="A277" s="2372" t="s">
        <v>304</v>
      </c>
      <c r="B277" s="2358" t="s">
        <v>2754</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2766</v>
      </c>
      <c r="C279" s="2363">
        <v>0.15</v>
      </c>
      <c r="D279" s="2363">
        <v>0.15</v>
      </c>
      <c r="E279" s="2363">
        <v>0.15</v>
      </c>
      <c r="F279" s="2363">
        <v>0.15</v>
      </c>
      <c r="G279" s="2364">
        <v>0.15</v>
      </c>
    </row>
    <row r="280" spans="1:7">
      <c r="A280" s="2373" t="s">
        <v>304</v>
      </c>
      <c r="B280" s="2362" t="s">
        <v>2770</v>
      </c>
      <c r="C280" s="2363">
        <v>0.15</v>
      </c>
      <c r="D280" s="2363">
        <v>0.15</v>
      </c>
      <c r="E280" s="2363">
        <v>0.15</v>
      </c>
      <c r="F280" s="2363">
        <v>0.15</v>
      </c>
      <c r="G280" s="2364">
        <v>0.15</v>
      </c>
    </row>
    <row r="281" spans="1:7">
      <c r="A281" s="2373" t="s">
        <v>304</v>
      </c>
      <c r="B281" s="2362" t="s">
        <v>2774</v>
      </c>
      <c r="C281" s="2363">
        <v>0.15</v>
      </c>
      <c r="D281" s="2363">
        <v>0.15</v>
      </c>
      <c r="E281" s="2363">
        <v>0.15</v>
      </c>
      <c r="F281" s="2363">
        <v>0.15</v>
      </c>
      <c r="G281" s="2364">
        <v>0.15</v>
      </c>
    </row>
    <row r="282" spans="1:7">
      <c r="A282" s="2373" t="s">
        <v>304</v>
      </c>
      <c r="B282" s="2362" t="s">
        <v>2778</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2793</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2798</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2808</v>
      </c>
      <c r="C293" s="2363">
        <v>0.15</v>
      </c>
      <c r="D293" s="2363">
        <v>0.15</v>
      </c>
      <c r="E293" s="2363">
        <v>0.15</v>
      </c>
      <c r="F293" s="2363">
        <v>0.14499999999999999</v>
      </c>
      <c r="G293" s="2364">
        <v>0.15</v>
      </c>
    </row>
    <row r="294" spans="1:7">
      <c r="A294" s="2373" t="s">
        <v>304</v>
      </c>
      <c r="B294" s="2362" t="s">
        <v>2810</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2827</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2840</v>
      </c>
      <c r="C302" s="2363">
        <v>0.15</v>
      </c>
      <c r="D302" s="2363">
        <v>0.15</v>
      </c>
      <c r="E302" s="2363">
        <v>0.15</v>
      </c>
      <c r="F302" s="2363">
        <v>0.14699999999999999</v>
      </c>
      <c r="G302" s="2364">
        <v>0.15</v>
      </c>
    </row>
    <row r="303" spans="1:7">
      <c r="A303" s="2373" t="s">
        <v>304</v>
      </c>
      <c r="B303" s="2362" t="s">
        <v>2847</v>
      </c>
      <c r="C303" s="2363">
        <v>0.15</v>
      </c>
      <c r="D303" s="2363">
        <v>0.15</v>
      </c>
      <c r="E303" s="2363">
        <v>0.15</v>
      </c>
      <c r="F303" s="2363">
        <v>0.14199999999999999</v>
      </c>
      <c r="G303" s="2364">
        <v>0.15</v>
      </c>
    </row>
    <row r="304" spans="1:7">
      <c r="A304" s="2373" t="s">
        <v>304</v>
      </c>
      <c r="B304" s="2362" t="s">
        <v>2854</v>
      </c>
      <c r="C304" s="2363">
        <v>0.15</v>
      </c>
      <c r="D304" s="2363">
        <v>0.15</v>
      </c>
      <c r="E304" s="2363">
        <v>0.15</v>
      </c>
      <c r="F304" s="2363">
        <v>0.14499999999999999</v>
      </c>
      <c r="G304" s="2364">
        <v>0.15</v>
      </c>
    </row>
    <row r="305" spans="1:7">
      <c r="A305" s="2373" t="s">
        <v>304</v>
      </c>
      <c r="B305" s="2362" t="s">
        <v>2860</v>
      </c>
      <c r="C305" s="2363">
        <v>0.15</v>
      </c>
      <c r="D305" s="2363">
        <v>0.15</v>
      </c>
      <c r="E305" s="2363">
        <v>0.15</v>
      </c>
      <c r="F305" s="2363">
        <v>0.111</v>
      </c>
      <c r="G305" s="2364">
        <v>0.15</v>
      </c>
    </row>
    <row r="306" spans="1:7">
      <c r="A306" s="2373" t="s">
        <v>304</v>
      </c>
      <c r="B306" s="2362" t="s">
        <v>2867</v>
      </c>
      <c r="C306" s="2363">
        <v>0.15</v>
      </c>
      <c r="D306" s="2363">
        <v>0.15</v>
      </c>
      <c r="E306" s="2363">
        <v>0.15</v>
      </c>
      <c r="F306" s="2363">
        <v>0.126</v>
      </c>
      <c r="G306" s="2364">
        <v>0.15</v>
      </c>
    </row>
    <row r="307" spans="1:7">
      <c r="A307" s="2373" t="s">
        <v>304</v>
      </c>
      <c r="B307" s="2362" t="s">
        <v>2872</v>
      </c>
      <c r="C307" s="2363">
        <v>0.15</v>
      </c>
      <c r="D307" s="2363">
        <v>0.15</v>
      </c>
      <c r="E307" s="2363">
        <v>0.15</v>
      </c>
      <c r="F307" s="2363">
        <v>0.12</v>
      </c>
      <c r="G307" s="2364">
        <v>0.15</v>
      </c>
    </row>
    <row r="308" spans="1:7">
      <c r="A308" s="2373" t="s">
        <v>304</v>
      </c>
      <c r="B308" s="2362" t="s">
        <v>2878</v>
      </c>
      <c r="C308" s="2363">
        <v>0.15</v>
      </c>
      <c r="D308" s="2363">
        <v>0.15</v>
      </c>
      <c r="E308" s="2363">
        <v>0.15</v>
      </c>
      <c r="F308" s="2363">
        <v>0.13</v>
      </c>
      <c r="G308" s="2364">
        <v>0.15</v>
      </c>
    </row>
    <row r="309" spans="1:7">
      <c r="A309" s="2373" t="s">
        <v>304</v>
      </c>
      <c r="B309" s="2362" t="s">
        <v>2882</v>
      </c>
      <c r="C309" s="2363">
        <v>0.15</v>
      </c>
      <c r="D309" s="2363">
        <v>0.15</v>
      </c>
      <c r="E309" s="2363">
        <v>0.15</v>
      </c>
      <c r="F309" s="2363">
        <v>0.14099999999999999</v>
      </c>
      <c r="G309" s="2364">
        <v>0.15</v>
      </c>
    </row>
    <row r="310" spans="1:7">
      <c r="A310" s="2373" t="s">
        <v>304</v>
      </c>
      <c r="B310" s="2362" t="s">
        <v>2887</v>
      </c>
      <c r="C310" s="2363">
        <v>0.15</v>
      </c>
      <c r="D310" s="2363">
        <v>0.15</v>
      </c>
      <c r="E310" s="2363">
        <v>0.15</v>
      </c>
      <c r="F310" s="2363">
        <v>0.15</v>
      </c>
      <c r="G310" s="2364">
        <v>0.15</v>
      </c>
    </row>
    <row r="311" spans="1:7">
      <c r="A311" s="2373" t="s">
        <v>304</v>
      </c>
      <c r="B311" s="2362" t="s">
        <v>2892</v>
      </c>
      <c r="C311" s="2363">
        <v>0.13200000000000001</v>
      </c>
      <c r="D311" s="2363">
        <v>0.13300000000000001</v>
      </c>
      <c r="E311" s="2363">
        <v>0.14499999999999999</v>
      </c>
      <c r="F311" s="2363">
        <v>0.14199999999999999</v>
      </c>
      <c r="G311" s="2364">
        <v>0.14000000000000001</v>
      </c>
    </row>
    <row r="312" spans="1:7">
      <c r="A312" s="2373" t="s">
        <v>304</v>
      </c>
      <c r="B312" s="2362" t="s">
        <v>2897</v>
      </c>
      <c r="C312" s="2363">
        <v>0.13800000000000001</v>
      </c>
      <c r="D312" s="2363">
        <v>0.14000000000000001</v>
      </c>
      <c r="E312" s="2363">
        <v>0.14599999999999999</v>
      </c>
      <c r="F312" s="2363">
        <v>0.14899999999999999</v>
      </c>
      <c r="G312" s="2364">
        <v>0.14199999999999999</v>
      </c>
    </row>
    <row r="313" spans="1:7">
      <c r="A313" s="2373" t="s">
        <v>304</v>
      </c>
      <c r="B313" s="2362" t="s">
        <v>2902</v>
      </c>
      <c r="C313" s="2363">
        <v>0.125</v>
      </c>
      <c r="D313" s="2363">
        <v>0.127</v>
      </c>
      <c r="E313" s="2363">
        <v>0.14399999999999999</v>
      </c>
      <c r="F313" s="2363">
        <v>0.115</v>
      </c>
      <c r="G313" s="2364">
        <v>0.13600000000000001</v>
      </c>
    </row>
    <row r="314" spans="1:7">
      <c r="A314" s="2373" t="s">
        <v>304</v>
      </c>
      <c r="B314" s="2362" t="s">
        <v>3111</v>
      </c>
      <c r="C314" s="2379"/>
      <c r="D314" s="2379"/>
      <c r="E314" s="2379"/>
      <c r="F314" s="2363">
        <v>0.05</v>
      </c>
      <c r="G314" s="2380"/>
    </row>
    <row r="315" spans="1:7">
      <c r="A315" s="2373" t="s">
        <v>304</v>
      </c>
      <c r="B315" s="2362" t="s">
        <v>3112</v>
      </c>
      <c r="C315" s="2379"/>
      <c r="D315" s="2379"/>
      <c r="E315" s="2379"/>
      <c r="F315" s="2363">
        <v>0.05</v>
      </c>
      <c r="G315" s="2380"/>
    </row>
    <row r="316" spans="1:7">
      <c r="A316" s="2373" t="s">
        <v>304</v>
      </c>
      <c r="B316" s="2362" t="s">
        <v>3113</v>
      </c>
      <c r="C316" s="2374"/>
      <c r="D316" s="2374"/>
      <c r="E316" s="2374"/>
      <c r="F316" s="2363">
        <v>0.05</v>
      </c>
      <c r="G316" s="2380"/>
    </row>
    <row r="317" spans="1:7">
      <c r="A317" s="2373" t="s">
        <v>304</v>
      </c>
      <c r="B317" s="2362" t="s">
        <v>3114</v>
      </c>
      <c r="C317" s="2374"/>
      <c r="D317" s="2374"/>
      <c r="E317" s="2374"/>
      <c r="F317" s="2363">
        <v>0.05</v>
      </c>
      <c r="G317" s="2380"/>
    </row>
    <row r="318" spans="1:7">
      <c r="A318" s="2373" t="s">
        <v>304</v>
      </c>
      <c r="B318" s="2362" t="s">
        <v>3115</v>
      </c>
      <c r="C318" s="2374"/>
      <c r="D318" s="2374"/>
      <c r="E318" s="2374"/>
      <c r="F318" s="2363">
        <v>0.05</v>
      </c>
      <c r="G318" s="2380"/>
    </row>
    <row r="319" spans="1:7">
      <c r="A319" s="2373" t="s">
        <v>304</v>
      </c>
      <c r="B319" s="2362" t="s">
        <v>3116</v>
      </c>
      <c r="C319" s="2374"/>
      <c r="D319" s="2374"/>
      <c r="E319" s="2374"/>
      <c r="F319" s="2363">
        <v>0.05</v>
      </c>
      <c r="G319" s="2380"/>
    </row>
    <row r="320" spans="1:7">
      <c r="A320" s="2373" t="s">
        <v>304</v>
      </c>
      <c r="B320" s="2362" t="s">
        <v>3117</v>
      </c>
      <c r="C320" s="2374"/>
      <c r="D320" s="2374"/>
      <c r="E320" s="2374"/>
      <c r="F320" s="2363">
        <v>0.05</v>
      </c>
      <c r="G320" s="2380"/>
    </row>
    <row r="321" spans="1:7">
      <c r="A321" s="2373" t="s">
        <v>304</v>
      </c>
      <c r="B321" s="2362" t="s">
        <v>3118</v>
      </c>
      <c r="C321" s="2374"/>
      <c r="D321" s="2374"/>
      <c r="E321" s="2374"/>
      <c r="F321" s="2363">
        <v>0.05</v>
      </c>
      <c r="G321" s="2380"/>
    </row>
    <row r="322" spans="1:7">
      <c r="A322" s="2373" t="s">
        <v>304</v>
      </c>
      <c r="B322" s="2362" t="s">
        <v>3119</v>
      </c>
      <c r="C322" s="2374"/>
      <c r="D322" s="2374"/>
      <c r="E322" s="2374"/>
      <c r="F322" s="2363">
        <v>0.05</v>
      </c>
      <c r="G322" s="2380"/>
    </row>
    <row r="323" spans="1:7">
      <c r="A323" s="2373" t="s">
        <v>304</v>
      </c>
      <c r="B323" s="2362" t="s">
        <v>3120</v>
      </c>
      <c r="C323" s="2374"/>
      <c r="D323" s="2374"/>
      <c r="E323" s="2374"/>
      <c r="F323" s="2363">
        <v>0.05</v>
      </c>
      <c r="G323" s="2380"/>
    </row>
    <row r="324" spans="1:7">
      <c r="A324" s="2373" t="s">
        <v>304</v>
      </c>
      <c r="B324" s="2362" t="s">
        <v>3121</v>
      </c>
      <c r="C324" s="2374"/>
      <c r="D324" s="2374"/>
      <c r="E324" s="2374"/>
      <c r="F324" s="2363">
        <v>0.05</v>
      </c>
      <c r="G324" s="2380"/>
    </row>
    <row r="325" spans="1:7">
      <c r="A325" s="2373" t="s">
        <v>304</v>
      </c>
      <c r="B325" s="2362" t="s">
        <v>3122</v>
      </c>
      <c r="C325" s="2374"/>
      <c r="D325" s="2374"/>
      <c r="E325" s="2374"/>
      <c r="F325" s="2363">
        <v>0.05</v>
      </c>
      <c r="G325" s="2380"/>
    </row>
    <row r="326" spans="1:7" ht="14.25" thickBot="1">
      <c r="A326" s="2376" t="s">
        <v>304</v>
      </c>
      <c r="B326" s="2366" t="s">
        <v>3123</v>
      </c>
      <c r="C326" s="2368"/>
      <c r="D326" s="2368"/>
      <c r="E326" s="2368"/>
      <c r="F326" s="2367">
        <v>0.05</v>
      </c>
      <c r="G326" s="2381"/>
    </row>
    <row r="327" spans="1:7">
      <c r="A327" s="2372" t="s">
        <v>305</v>
      </c>
      <c r="B327" s="2358" t="s">
        <v>2755</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2767</v>
      </c>
      <c r="C329" s="2363">
        <v>0.15</v>
      </c>
      <c r="D329" s="2363">
        <v>0.15</v>
      </c>
      <c r="E329" s="2363">
        <v>0.15</v>
      </c>
      <c r="F329" s="2363">
        <v>0.15</v>
      </c>
      <c r="G329" s="2364">
        <v>0.15</v>
      </c>
    </row>
    <row r="330" spans="1:7">
      <c r="A330" s="2373" t="s">
        <v>305</v>
      </c>
      <c r="B330" s="2362" t="s">
        <v>2771</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2779</v>
      </c>
      <c r="C332" s="2363">
        <v>0.15</v>
      </c>
      <c r="D332" s="2363">
        <v>0.15</v>
      </c>
      <c r="E332" s="2363">
        <v>0.15</v>
      </c>
      <c r="F332" s="2363">
        <v>0.15</v>
      </c>
      <c r="G332" s="2364">
        <v>0.15</v>
      </c>
    </row>
    <row r="333" spans="1:7">
      <c r="A333" s="2373" t="s">
        <v>305</v>
      </c>
      <c r="B333" s="2362" t="s">
        <v>2783</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2789</v>
      </c>
      <c r="C336" s="2363">
        <v>0.15</v>
      </c>
      <c r="D336" s="2363">
        <v>0.15</v>
      </c>
      <c r="E336" s="2363">
        <v>0.15</v>
      </c>
      <c r="F336" s="2363">
        <v>0.14199999999999999</v>
      </c>
      <c r="G336" s="2364">
        <v>0.15</v>
      </c>
    </row>
    <row r="337" spans="1:7">
      <c r="A337" s="2373" t="s">
        <v>305</v>
      </c>
      <c r="B337" s="2362" t="s">
        <v>2794</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2801</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2806</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2814</v>
      </c>
      <c r="C345" s="2363">
        <v>0.15</v>
      </c>
      <c r="D345" s="2363">
        <v>0.15</v>
      </c>
      <c r="E345" s="2363">
        <v>0.15</v>
      </c>
      <c r="F345" s="2363">
        <v>0.13800000000000001</v>
      </c>
      <c r="G345" s="2364">
        <v>0.15</v>
      </c>
    </row>
    <row r="346" spans="1:7">
      <c r="A346" s="2373" t="s">
        <v>305</v>
      </c>
      <c r="B346" s="2362" t="s">
        <v>2816</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2823</v>
      </c>
      <c r="C348" s="2363">
        <v>0.15</v>
      </c>
      <c r="D348" s="2363">
        <v>0.15</v>
      </c>
      <c r="E348" s="2363">
        <v>0.15</v>
      </c>
      <c r="F348" s="2363">
        <v>0.14399999999999999</v>
      </c>
      <c r="G348" s="2364">
        <v>0.15</v>
      </c>
    </row>
    <row r="349" spans="1:7">
      <c r="A349" s="2373" t="s">
        <v>305</v>
      </c>
      <c r="B349" s="2362" t="s">
        <v>2828</v>
      </c>
      <c r="C349" s="2363">
        <v>0.15</v>
      </c>
      <c r="D349" s="2363">
        <v>0.15</v>
      </c>
      <c r="E349" s="2363">
        <v>0.15</v>
      </c>
      <c r="F349" s="2363">
        <v>0.15</v>
      </c>
      <c r="G349" s="2364">
        <v>0.15</v>
      </c>
    </row>
    <row r="350" spans="1:7">
      <c r="A350" s="2373" t="s">
        <v>305</v>
      </c>
      <c r="B350" s="2362" t="s">
        <v>2831</v>
      </c>
      <c r="C350" s="2363">
        <v>0.15</v>
      </c>
      <c r="D350" s="2363">
        <v>0.15</v>
      </c>
      <c r="E350" s="2363">
        <v>0.15</v>
      </c>
      <c r="F350" s="2363">
        <v>0.14699999999999999</v>
      </c>
      <c r="G350" s="2364">
        <v>0.15</v>
      </c>
    </row>
    <row r="351" spans="1:7">
      <c r="A351" s="2373" t="s">
        <v>305</v>
      </c>
      <c r="B351" s="2362" t="s">
        <v>2836</v>
      </c>
      <c r="C351" s="2363">
        <v>0.15</v>
      </c>
      <c r="D351" s="2363">
        <v>0.15</v>
      </c>
      <c r="E351" s="2363">
        <v>0.15</v>
      </c>
      <c r="F351" s="2363">
        <v>0.13</v>
      </c>
      <c r="G351" s="2364">
        <v>0.15</v>
      </c>
    </row>
    <row r="352" spans="1:7">
      <c r="A352" s="2373" t="s">
        <v>305</v>
      </c>
      <c r="B352" s="2362" t="s">
        <v>2841</v>
      </c>
      <c r="C352" s="2363">
        <v>0.15</v>
      </c>
      <c r="D352" s="2363">
        <v>0.15</v>
      </c>
      <c r="E352" s="2363">
        <v>0.15</v>
      </c>
      <c r="F352" s="2363">
        <v>0.14599999999999999</v>
      </c>
      <c r="G352" s="2364">
        <v>0.15</v>
      </c>
    </row>
    <row r="353" spans="1:7">
      <c r="A353" s="2373" t="s">
        <v>305</v>
      </c>
      <c r="B353" s="2362" t="s">
        <v>2848</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2861</v>
      </c>
      <c r="C355" s="2363">
        <v>0.15</v>
      </c>
      <c r="D355" s="2363">
        <v>0.15</v>
      </c>
      <c r="E355" s="2363">
        <v>0.15</v>
      </c>
      <c r="F355" s="2363">
        <v>0.15</v>
      </c>
      <c r="G355" s="2364">
        <v>0.15</v>
      </c>
    </row>
    <row r="356" spans="1:7">
      <c r="A356" s="2373" t="s">
        <v>305</v>
      </c>
      <c r="B356" s="2362" t="s">
        <v>2868</v>
      </c>
      <c r="C356" s="2363">
        <v>0.15</v>
      </c>
      <c r="D356" s="2363">
        <v>0.15</v>
      </c>
      <c r="E356" s="2363">
        <v>0.15</v>
      </c>
      <c r="F356" s="2363">
        <v>0.15</v>
      </c>
      <c r="G356" s="2364">
        <v>0.15</v>
      </c>
    </row>
    <row r="357" spans="1:7" ht="14.25" thickBot="1">
      <c r="A357" s="2376" t="s">
        <v>305</v>
      </c>
      <c r="B357" s="2366" t="s">
        <v>2873</v>
      </c>
      <c r="C357" s="2367">
        <v>0.126</v>
      </c>
      <c r="D357" s="2367">
        <v>0.127</v>
      </c>
      <c r="E357" s="2367">
        <v>0.14299999999999999</v>
      </c>
      <c r="F357" s="2367">
        <v>0.125</v>
      </c>
      <c r="G357" s="2369">
        <v>0.129</v>
      </c>
    </row>
    <row r="358" spans="1:7">
      <c r="A358" s="2372" t="s">
        <v>2742</v>
      </c>
      <c r="B358" s="2358" t="s">
        <v>2756</v>
      </c>
      <c r="C358" s="2359">
        <v>0.15</v>
      </c>
      <c r="D358" s="2359">
        <v>0.15</v>
      </c>
      <c r="E358" s="2359">
        <v>0.15</v>
      </c>
      <c r="F358" s="2359">
        <v>0.15</v>
      </c>
      <c r="G358" s="2360">
        <v>0.15</v>
      </c>
    </row>
    <row r="359" spans="1:7">
      <c r="A359" s="2373" t="s">
        <v>2742</v>
      </c>
      <c r="B359" s="2362" t="s">
        <v>2762</v>
      </c>
      <c r="C359" s="2363">
        <v>0.1</v>
      </c>
      <c r="D359" s="2363">
        <v>0.1</v>
      </c>
      <c r="E359" s="2363">
        <v>0.1</v>
      </c>
      <c r="F359" s="2363">
        <v>0.1</v>
      </c>
      <c r="G359" s="2364">
        <v>0.1</v>
      </c>
    </row>
    <row r="360" spans="1:7">
      <c r="A360" s="2373" t="s">
        <v>2742</v>
      </c>
      <c r="B360" s="2362" t="s">
        <v>2768</v>
      </c>
      <c r="C360" s="2363">
        <v>0.15</v>
      </c>
      <c r="D360" s="2363">
        <v>0.15</v>
      </c>
      <c r="E360" s="2363">
        <v>0.15</v>
      </c>
      <c r="F360" s="2363">
        <v>0.14899999999999999</v>
      </c>
      <c r="G360" s="2364">
        <v>0.15</v>
      </c>
    </row>
    <row r="361" spans="1:7">
      <c r="A361" s="2373" t="s">
        <v>2742</v>
      </c>
      <c r="B361" s="2362" t="s">
        <v>151</v>
      </c>
      <c r="C361" s="2363">
        <v>0.15</v>
      </c>
      <c r="D361" s="2363">
        <v>0.15</v>
      </c>
      <c r="E361" s="2363">
        <v>0.15</v>
      </c>
      <c r="F361" s="2363">
        <v>0.115</v>
      </c>
      <c r="G361" s="2364">
        <v>0.15</v>
      </c>
    </row>
    <row r="362" spans="1:7">
      <c r="A362" s="2373" t="s">
        <v>2742</v>
      </c>
      <c r="B362" s="2362" t="s">
        <v>2775</v>
      </c>
      <c r="C362" s="2363">
        <v>0.15</v>
      </c>
      <c r="D362" s="2363">
        <v>0.15</v>
      </c>
      <c r="E362" s="2363">
        <v>0.15</v>
      </c>
      <c r="F362" s="2363">
        <v>0.106</v>
      </c>
      <c r="G362" s="2364">
        <v>0.15</v>
      </c>
    </row>
    <row r="363" spans="1:7">
      <c r="A363" s="2373" t="s">
        <v>2742</v>
      </c>
      <c r="B363" s="2362" t="s">
        <v>2780</v>
      </c>
      <c r="C363" s="2363">
        <v>0.15</v>
      </c>
      <c r="D363" s="2363">
        <v>0.15</v>
      </c>
      <c r="E363" s="2363">
        <v>0.15</v>
      </c>
      <c r="F363" s="2363">
        <v>0.14699999999999999</v>
      </c>
      <c r="G363" s="2364">
        <v>0.15</v>
      </c>
    </row>
    <row r="364" spans="1:7">
      <c r="A364" s="2373" t="s">
        <v>2742</v>
      </c>
      <c r="B364" s="2362" t="s">
        <v>2784</v>
      </c>
      <c r="C364" s="2363">
        <v>0.15</v>
      </c>
      <c r="D364" s="2363">
        <v>0.15</v>
      </c>
      <c r="E364" s="2363">
        <v>0.15</v>
      </c>
      <c r="F364" s="2363">
        <v>0.14799999999999999</v>
      </c>
      <c r="G364" s="2364">
        <v>0.15</v>
      </c>
    </row>
    <row r="365" spans="1:7">
      <c r="A365" s="2373" t="s">
        <v>2742</v>
      </c>
      <c r="B365" s="2362" t="s">
        <v>198</v>
      </c>
      <c r="C365" s="2363">
        <v>0.15</v>
      </c>
      <c r="D365" s="2363">
        <v>0.15</v>
      </c>
      <c r="E365" s="2363">
        <v>0.15</v>
      </c>
      <c r="F365" s="2363">
        <v>0.15</v>
      </c>
      <c r="G365" s="2364">
        <v>0.15</v>
      </c>
    </row>
    <row r="366" spans="1:7">
      <c r="A366" s="2373" t="s">
        <v>2742</v>
      </c>
      <c r="B366" s="2362" t="s">
        <v>2787</v>
      </c>
      <c r="C366" s="2363">
        <v>0.15</v>
      </c>
      <c r="D366" s="2363">
        <v>0.15</v>
      </c>
      <c r="E366" s="2363">
        <v>0.15</v>
      </c>
      <c r="F366" s="2363">
        <v>0.15</v>
      </c>
      <c r="G366" s="2364">
        <v>0.15</v>
      </c>
    </row>
    <row r="367" spans="1:7">
      <c r="A367" s="2373" t="s">
        <v>2742</v>
      </c>
      <c r="B367" s="2362" t="s">
        <v>2790</v>
      </c>
      <c r="C367" s="2363">
        <v>0.15</v>
      </c>
      <c r="D367" s="2363">
        <v>0.15</v>
      </c>
      <c r="E367" s="2363">
        <v>0.15</v>
      </c>
      <c r="F367" s="2363">
        <v>0.14699999999999999</v>
      </c>
      <c r="G367" s="2364">
        <v>0.15</v>
      </c>
    </row>
    <row r="368" spans="1:7">
      <c r="A368" s="2373" t="s">
        <v>2742</v>
      </c>
      <c r="B368" s="2362" t="s">
        <v>2795</v>
      </c>
      <c r="C368" s="2363">
        <v>0.15</v>
      </c>
      <c r="D368" s="2363">
        <v>0.15</v>
      </c>
      <c r="E368" s="2363">
        <v>0.15</v>
      </c>
      <c r="F368" s="2363">
        <v>0.13600000000000001</v>
      </c>
      <c r="G368" s="2364">
        <v>0.15</v>
      </c>
    </row>
    <row r="369" spans="1:7">
      <c r="A369" s="2373" t="s">
        <v>2742</v>
      </c>
      <c r="B369" s="2362" t="s">
        <v>212</v>
      </c>
      <c r="C369" s="2363">
        <v>0.15</v>
      </c>
      <c r="D369" s="2363">
        <v>0.15</v>
      </c>
      <c r="E369" s="2363">
        <v>0.15</v>
      </c>
      <c r="F369" s="2363">
        <v>0.14399999999999999</v>
      </c>
      <c r="G369" s="2364">
        <v>0.15</v>
      </c>
    </row>
    <row r="370" spans="1:7">
      <c r="A370" s="2373" t="s">
        <v>2742</v>
      </c>
      <c r="B370" s="2362" t="s">
        <v>219</v>
      </c>
      <c r="C370" s="2363">
        <v>0.15</v>
      </c>
      <c r="D370" s="2363">
        <v>0.15</v>
      </c>
      <c r="E370" s="2363">
        <v>0.15</v>
      </c>
      <c r="F370" s="2363">
        <v>0.14599999999999999</v>
      </c>
      <c r="G370" s="2364">
        <v>0.15</v>
      </c>
    </row>
    <row r="371" spans="1:7">
      <c r="A371" s="2373" t="s">
        <v>2742</v>
      </c>
      <c r="B371" s="2362" t="s">
        <v>227</v>
      </c>
      <c r="C371" s="2363">
        <v>0.15</v>
      </c>
      <c r="D371" s="2363">
        <v>0.15</v>
      </c>
      <c r="E371" s="2363">
        <v>0.15</v>
      </c>
      <c r="F371" s="2363">
        <v>0.12</v>
      </c>
      <c r="G371" s="2364">
        <v>0.15</v>
      </c>
    </row>
    <row r="372" spans="1:7">
      <c r="A372" s="2373" t="s">
        <v>2742</v>
      </c>
      <c r="B372" s="2362" t="s">
        <v>2803</v>
      </c>
      <c r="C372" s="2363">
        <v>0.15</v>
      </c>
      <c r="D372" s="2363">
        <v>0.15</v>
      </c>
      <c r="E372" s="2363">
        <v>0.15</v>
      </c>
      <c r="F372" s="2363">
        <v>0.14299999999999999</v>
      </c>
      <c r="G372" s="2364">
        <v>0.15</v>
      </c>
    </row>
    <row r="373" spans="1:7">
      <c r="A373" s="2373" t="s">
        <v>2742</v>
      </c>
      <c r="B373" s="2362" t="s">
        <v>256</v>
      </c>
      <c r="C373" s="2363">
        <v>0.15</v>
      </c>
      <c r="D373" s="2363">
        <v>0.15</v>
      </c>
      <c r="E373" s="2363">
        <v>0.15</v>
      </c>
      <c r="F373" s="2363">
        <v>0.14599999999999999</v>
      </c>
      <c r="G373" s="2364">
        <v>0.15</v>
      </c>
    </row>
    <row r="374" spans="1:7">
      <c r="A374" s="2373" t="s">
        <v>2742</v>
      </c>
      <c r="B374" s="2362" t="s">
        <v>264</v>
      </c>
      <c r="C374" s="2363">
        <v>0.15</v>
      </c>
      <c r="D374" s="2363">
        <v>0.15</v>
      </c>
      <c r="E374" s="2363">
        <v>0.15</v>
      </c>
      <c r="F374" s="2363">
        <v>0.14399999999999999</v>
      </c>
      <c r="G374" s="2364">
        <v>0.15</v>
      </c>
    </row>
    <row r="375" spans="1:7">
      <c r="A375" s="2373" t="s">
        <v>2742</v>
      </c>
      <c r="B375" s="2362" t="s">
        <v>2811</v>
      </c>
      <c r="C375" s="2363">
        <v>0.15</v>
      </c>
      <c r="D375" s="2363">
        <v>0.15</v>
      </c>
      <c r="E375" s="2363">
        <v>0.15</v>
      </c>
      <c r="F375" s="2363">
        <v>0.13</v>
      </c>
      <c r="G375" s="2364">
        <v>0.15</v>
      </c>
    </row>
    <row r="376" spans="1:7">
      <c r="A376" s="2373" t="s">
        <v>2742</v>
      </c>
      <c r="B376" s="2362" t="s">
        <v>275</v>
      </c>
      <c r="C376" s="2363">
        <v>0.15</v>
      </c>
      <c r="D376" s="2363">
        <v>0.15</v>
      </c>
      <c r="E376" s="2363">
        <v>0.15</v>
      </c>
      <c r="F376" s="2363">
        <v>0.14199999999999999</v>
      </c>
      <c r="G376" s="2364">
        <v>0.15</v>
      </c>
    </row>
    <row r="377" spans="1:7" ht="14.25" thickBot="1">
      <c r="A377" s="2376" t="s">
        <v>2742</v>
      </c>
      <c r="B377" s="2366" t="s">
        <v>2817</v>
      </c>
      <c r="C377" s="2367">
        <v>0.15</v>
      </c>
      <c r="D377" s="2367">
        <v>0.15</v>
      </c>
      <c r="E377" s="2367">
        <v>0.15</v>
      </c>
      <c r="F377" s="2367">
        <v>0.14000000000000001</v>
      </c>
      <c r="G377" s="2369">
        <v>0.15</v>
      </c>
    </row>
    <row r="378" spans="1:7">
      <c r="A378" s="2372" t="s">
        <v>2743</v>
      </c>
      <c r="B378" s="2358" t="s">
        <v>2757</v>
      </c>
      <c r="C378" s="2359">
        <v>0.15</v>
      </c>
      <c r="D378" s="2359">
        <v>0.15</v>
      </c>
      <c r="E378" s="2359">
        <v>0.15</v>
      </c>
      <c r="F378" s="2359">
        <v>0.107</v>
      </c>
      <c r="G378" s="2360">
        <v>0.15</v>
      </c>
    </row>
    <row r="379" spans="1:7">
      <c r="A379" s="2373" t="s">
        <v>2743</v>
      </c>
      <c r="B379" s="2362" t="s">
        <v>2763</v>
      </c>
      <c r="C379" s="2363">
        <v>0.15</v>
      </c>
      <c r="D379" s="2363">
        <v>0.15</v>
      </c>
      <c r="E379" s="2363">
        <v>0.15</v>
      </c>
      <c r="F379" s="2363">
        <v>0.115</v>
      </c>
      <c r="G379" s="2364">
        <v>0.14899999999999999</v>
      </c>
    </row>
    <row r="380" spans="1:7">
      <c r="A380" s="2373" t="s">
        <v>2743</v>
      </c>
      <c r="B380" s="2362" t="s">
        <v>2769</v>
      </c>
      <c r="C380" s="2363">
        <v>0.15</v>
      </c>
      <c r="D380" s="2363">
        <v>0.15</v>
      </c>
      <c r="E380" s="2363">
        <v>0.15</v>
      </c>
      <c r="F380" s="2363">
        <v>0.1</v>
      </c>
      <c r="G380" s="2364">
        <v>0.14799999999999999</v>
      </c>
    </row>
    <row r="381" spans="1:7">
      <c r="A381" s="2373" t="s">
        <v>2743</v>
      </c>
      <c r="B381" s="2362" t="s">
        <v>2772</v>
      </c>
      <c r="C381" s="2363">
        <v>0.15</v>
      </c>
      <c r="D381" s="2363">
        <v>0.15</v>
      </c>
      <c r="E381" s="2363">
        <v>0.15</v>
      </c>
      <c r="F381" s="2363">
        <v>0.126</v>
      </c>
      <c r="G381" s="2364">
        <v>0.15</v>
      </c>
    </row>
    <row r="382" spans="1:7">
      <c r="A382" s="2373" t="s">
        <v>2743</v>
      </c>
      <c r="B382" s="2362" t="s">
        <v>2776</v>
      </c>
      <c r="C382" s="2363">
        <v>0.15</v>
      </c>
      <c r="D382" s="2363">
        <v>0.15</v>
      </c>
      <c r="E382" s="2363">
        <v>0.15</v>
      </c>
      <c r="F382" s="2363">
        <v>0.15</v>
      </c>
      <c r="G382" s="2364">
        <v>0.15</v>
      </c>
    </row>
    <row r="383" spans="1:7">
      <c r="A383" s="2373" t="s">
        <v>2743</v>
      </c>
      <c r="B383" s="2362" t="s">
        <v>2781</v>
      </c>
      <c r="C383" s="2363">
        <v>0.15</v>
      </c>
      <c r="D383" s="2363">
        <v>0.15</v>
      </c>
      <c r="E383" s="2363">
        <v>0.15</v>
      </c>
      <c r="F383" s="2363">
        <v>0.14699999999999999</v>
      </c>
      <c r="G383" s="2364">
        <v>0.15</v>
      </c>
    </row>
    <row r="384" spans="1:7" ht="14.25" thickBot="1">
      <c r="A384" s="2383" t="s">
        <v>2743</v>
      </c>
      <c r="B384" s="2384" t="s">
        <v>2785</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8"/>
  </cols>
  <sheetData>
    <row r="1" spans="1:6">
      <c r="A1" s="4645" t="s">
        <v>3124</v>
      </c>
      <c r="B1" s="4645"/>
      <c r="C1" s="4645"/>
      <c r="D1" s="4645"/>
      <c r="E1" s="4645"/>
      <c r="F1" s="4646"/>
    </row>
    <row r="2" spans="1:6">
      <c r="A2" s="2387" t="s">
        <v>3125</v>
      </c>
    </row>
    <row r="3" spans="1:6">
      <c r="A3" s="2387" t="s">
        <v>3126</v>
      </c>
      <c r="F3" s="2388" t="s">
        <v>3127</v>
      </c>
    </row>
    <row r="4" spans="1:6">
      <c r="A4" s="2389" t="s">
        <v>659</v>
      </c>
      <c r="B4" s="2389" t="s">
        <v>660</v>
      </c>
      <c r="C4" s="2389" t="s">
        <v>19</v>
      </c>
      <c r="D4" s="2389" t="s">
        <v>661</v>
      </c>
      <c r="E4" s="2389" t="s">
        <v>3</v>
      </c>
      <c r="F4" s="2389" t="s">
        <v>3128</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RowHeight="13.5"/>
  <cols>
    <col min="1" max="1" width="13.875" customWidth="1"/>
    <col min="11" max="17" width="0" hidden="1" customWidth="1"/>
    <col min="25" max="30" width="0" hidden="1" customWidth="1"/>
  </cols>
  <sheetData>
    <row r="1" spans="1:44">
      <c r="A1" s="2326">
        <f>基准地价修正!G23</f>
        <v>46051</v>
      </c>
      <c r="B1" s="2318" t="s">
        <v>3267</v>
      </c>
      <c r="C1" s="2319"/>
      <c r="D1" s="2319"/>
      <c r="E1" s="2319"/>
      <c r="F1" s="2319"/>
      <c r="G1" s="2319"/>
      <c r="H1" s="2319"/>
      <c r="I1" s="2319"/>
      <c r="J1" s="2293"/>
      <c r="K1" s="2319" t="s">
        <v>448</v>
      </c>
      <c r="L1" s="2319"/>
      <c r="M1" s="2319"/>
      <c r="N1" s="2319"/>
      <c r="O1" s="2319"/>
      <c r="P1" s="2319"/>
      <c r="Q1" s="2293"/>
      <c r="R1" s="4647" t="s">
        <v>450</v>
      </c>
      <c r="S1" s="4648"/>
      <c r="T1" s="4648"/>
      <c r="U1" s="4648"/>
      <c r="V1" s="4648"/>
      <c r="W1" s="4648"/>
      <c r="X1" s="2293"/>
      <c r="Y1" s="4647" t="s">
        <v>451</v>
      </c>
      <c r="Z1" s="4648"/>
      <c r="AA1" s="4648"/>
      <c r="AB1" s="4648"/>
      <c r="AC1" s="4648"/>
      <c r="AD1" s="4648"/>
    </row>
    <row r="2" spans="1:44" s="1592" customFormat="1" ht="14.25" thickBot="1">
      <c r="B2" s="2279"/>
      <c r="C2" s="2280"/>
      <c r="D2" s="1593" t="s">
        <v>2702</v>
      </c>
      <c r="E2" s="1594" t="s">
        <v>2703</v>
      </c>
      <c r="F2" s="1594" t="s">
        <v>2704</v>
      </c>
      <c r="G2" s="1594" t="s">
        <v>2705</v>
      </c>
      <c r="H2" s="1594" t="s">
        <v>2706</v>
      </c>
      <c r="I2" s="1594" t="s">
        <v>2523</v>
      </c>
      <c r="J2" s="2281"/>
      <c r="K2" s="1593" t="s">
        <v>2702</v>
      </c>
      <c r="L2" s="1594" t="s">
        <v>2703</v>
      </c>
      <c r="M2" s="1594" t="s">
        <v>2704</v>
      </c>
      <c r="N2" s="1594" t="s">
        <v>2705</v>
      </c>
      <c r="O2" s="1594" t="s">
        <v>2707</v>
      </c>
      <c r="P2" s="1594" t="s">
        <v>2523</v>
      </c>
      <c r="Q2" s="2281"/>
      <c r="R2" s="1593" t="s">
        <v>2702</v>
      </c>
      <c r="S2" s="1594" t="s">
        <v>2703</v>
      </c>
      <c r="T2" s="1594" t="s">
        <v>2704</v>
      </c>
      <c r="U2" s="1594" t="s">
        <v>2708</v>
      </c>
      <c r="V2" s="1594" t="s">
        <v>2709</v>
      </c>
      <c r="W2" s="1594" t="s">
        <v>2523</v>
      </c>
      <c r="X2" s="2281"/>
      <c r="Y2" s="1593" t="s">
        <v>2702</v>
      </c>
      <c r="Z2" s="1594" t="s">
        <v>2703</v>
      </c>
      <c r="AA2" s="1594" t="s">
        <v>2704</v>
      </c>
      <c r="AB2" s="1594" t="s">
        <v>2710</v>
      </c>
      <c r="AC2" s="1594" t="s">
        <v>2709</v>
      </c>
      <c r="AD2" s="1594" t="s">
        <v>2523</v>
      </c>
      <c r="AF2" t="s">
        <v>3274</v>
      </c>
      <c r="AG2" t="s">
        <v>660</v>
      </c>
      <c r="AH2" t="s">
        <v>19</v>
      </c>
      <c r="AI2" t="s">
        <v>3275</v>
      </c>
      <c r="AJ2" t="s">
        <v>3</v>
      </c>
      <c r="AK2" t="s">
        <v>3276</v>
      </c>
      <c r="AM2" t="s">
        <v>3274</v>
      </c>
      <c r="AN2" t="s">
        <v>660</v>
      </c>
      <c r="AO2" t="s">
        <v>19</v>
      </c>
      <c r="AP2" t="s">
        <v>3275</v>
      </c>
      <c r="AQ2" t="s">
        <v>3</v>
      </c>
      <c r="AR2" t="s">
        <v>3276</v>
      </c>
    </row>
    <row r="3" spans="1:44" s="2284" customFormat="1" ht="12.75">
      <c r="A3" s="2282" t="s">
        <v>2711</v>
      </c>
      <c r="B3" s="2283"/>
      <c r="D3" s="2938">
        <f>ROUND(AVERAGEIF(D4:D28,"&lt;&gt;0"),2)</f>
        <v>0.28000000000000003</v>
      </c>
      <c r="E3" s="2938">
        <f t="shared" ref="E3:H3" si="0">ROUND(AVERAGEIF(E4:E28,"&lt;&gt;0"),2)</f>
        <v>0.09</v>
      </c>
      <c r="F3" s="2938">
        <f t="shared" si="0"/>
        <v>-0.17</v>
      </c>
      <c r="G3" s="2938">
        <f t="shared" si="0"/>
        <v>0.38</v>
      </c>
      <c r="H3" s="2938">
        <f t="shared" si="0"/>
        <v>0.47</v>
      </c>
      <c r="I3" s="2938">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3647</v>
      </c>
      <c r="B5" s="2932">
        <v>2026</v>
      </c>
      <c r="C5" s="2933">
        <v>4</v>
      </c>
      <c r="D5" s="2939">
        <v>0</v>
      </c>
      <c r="E5" s="2939">
        <v>0</v>
      </c>
      <c r="F5" s="2939">
        <v>0</v>
      </c>
      <c r="G5" s="2939">
        <v>0</v>
      </c>
      <c r="H5" s="2939">
        <v>0</v>
      </c>
      <c r="I5" s="2940">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0" customFormat="1" ht="12.75">
      <c r="A6" s="1616" t="s">
        <v>3646</v>
      </c>
      <c r="B6" s="2932">
        <v>2026</v>
      </c>
      <c r="C6" s="2933">
        <v>3</v>
      </c>
      <c r="D6" s="2939">
        <v>0</v>
      </c>
      <c r="E6" s="2939">
        <v>0</v>
      </c>
      <c r="F6" s="2939">
        <v>0</v>
      </c>
      <c r="G6" s="2939">
        <v>0</v>
      </c>
      <c r="H6" s="2939">
        <v>0</v>
      </c>
      <c r="I6" s="2940">
        <f t="shared" ref="I6:I9" si="23">F6</f>
        <v>0</v>
      </c>
      <c r="J6" s="2304"/>
      <c r="K6" s="1618"/>
      <c r="L6" s="1608"/>
      <c r="M6" s="1608"/>
      <c r="N6" s="1608"/>
      <c r="O6" s="1608"/>
      <c r="P6" s="1608"/>
      <c r="Q6" s="2304"/>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4"/>
      <c r="Y6" s="1608"/>
      <c r="Z6" s="1608"/>
      <c r="AA6" s="1608"/>
      <c r="AB6" s="1608"/>
      <c r="AC6" s="1608"/>
      <c r="AD6" s="1608"/>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0" customFormat="1" ht="12.75">
      <c r="A7" s="1616" t="s">
        <v>3645</v>
      </c>
      <c r="B7" s="2932">
        <v>2026</v>
      </c>
      <c r="C7" s="2933">
        <v>2</v>
      </c>
      <c r="D7" s="2939">
        <v>0</v>
      </c>
      <c r="E7" s="2939">
        <v>0</v>
      </c>
      <c r="F7" s="2939">
        <v>0</v>
      </c>
      <c r="G7" s="2939">
        <v>0</v>
      </c>
      <c r="H7" s="2939">
        <v>0</v>
      </c>
      <c r="I7" s="2940">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0" customFormat="1" ht="12.75">
      <c r="A8" s="2305" t="s">
        <v>3648</v>
      </c>
      <c r="B8" s="2934">
        <v>2026</v>
      </c>
      <c r="C8" s="2935">
        <v>1</v>
      </c>
      <c r="D8" s="2941">
        <v>0</v>
      </c>
      <c r="E8" s="2941">
        <v>0</v>
      </c>
      <c r="F8" s="2941">
        <v>0</v>
      </c>
      <c r="G8" s="2941">
        <v>0</v>
      </c>
      <c r="H8" s="2942">
        <v>0</v>
      </c>
      <c r="I8" s="2943">
        <f t="shared" si="23"/>
        <v>0</v>
      </c>
      <c r="J8" s="2307"/>
      <c r="K8" s="2308">
        <f t="shared" si="30"/>
        <v>0</v>
      </c>
      <c r="L8" s="2309">
        <f t="shared" si="31"/>
        <v>0</v>
      </c>
      <c r="M8" s="2309">
        <f t="shared" si="32"/>
        <v>0</v>
      </c>
      <c r="N8" s="2309">
        <f t="shared" si="33"/>
        <v>0</v>
      </c>
      <c r="O8" s="2309">
        <f t="shared" si="34"/>
        <v>0</v>
      </c>
      <c r="P8" s="2309">
        <f t="shared" si="35"/>
        <v>0</v>
      </c>
      <c r="Q8" s="2307"/>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7"/>
      <c r="Y8" s="2309">
        <f t="shared" si="37"/>
        <v>0</v>
      </c>
      <c r="Z8" s="2309">
        <f t="shared" si="38"/>
        <v>0</v>
      </c>
      <c r="AA8" s="2309">
        <f t="shared" si="39"/>
        <v>0</v>
      </c>
      <c r="AB8" s="2309">
        <f t="shared" si="40"/>
        <v>0</v>
      </c>
      <c r="AC8" s="2309">
        <f t="shared" si="41"/>
        <v>0</v>
      </c>
      <c r="AD8" s="2309">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0" customFormat="1" ht="12.75">
      <c r="A9" s="1616" t="s">
        <v>3644</v>
      </c>
      <c r="B9" s="2932">
        <v>2025</v>
      </c>
      <c r="C9" s="2933">
        <v>4</v>
      </c>
      <c r="D9" s="2939">
        <v>-0.61</v>
      </c>
      <c r="E9" s="2939">
        <v>-0.9</v>
      </c>
      <c r="F9" s="2939">
        <v>-0.47</v>
      </c>
      <c r="G9" s="2939">
        <v>0.11</v>
      </c>
      <c r="H9" s="2939">
        <v>0</v>
      </c>
      <c r="I9" s="2940">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0" customFormat="1" ht="12.75">
      <c r="A10" s="1616" t="s">
        <v>3649</v>
      </c>
      <c r="B10" s="2932">
        <v>2025</v>
      </c>
      <c r="C10" s="2933">
        <v>3</v>
      </c>
      <c r="D10" s="2939">
        <v>-0.45</v>
      </c>
      <c r="E10" s="2939">
        <v>-0.22</v>
      </c>
      <c r="F10" s="2939">
        <v>-0.82</v>
      </c>
      <c r="G10" s="2939">
        <v>-0.39</v>
      </c>
      <c r="H10" s="2939">
        <v>0.04</v>
      </c>
      <c r="I10" s="2940">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0" customFormat="1" ht="12.75">
      <c r="A11" s="1616" t="s">
        <v>3288</v>
      </c>
      <c r="B11" s="2932">
        <v>2025</v>
      </c>
      <c r="C11" s="2933">
        <v>2</v>
      </c>
      <c r="D11" s="2939">
        <v>0.05</v>
      </c>
      <c r="E11" s="2939">
        <v>-0.62</v>
      </c>
      <c r="F11" s="2939">
        <v>-1.05</v>
      </c>
      <c r="G11" s="2939">
        <v>0.09</v>
      </c>
      <c r="H11" s="2939">
        <v>0.17</v>
      </c>
      <c r="I11" s="2940">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0" customFormat="1" ht="12.75">
      <c r="A12" s="1616" t="s">
        <v>3279</v>
      </c>
      <c r="B12" s="2932">
        <v>2025</v>
      </c>
      <c r="C12" s="2933">
        <v>1</v>
      </c>
      <c r="D12" s="2939">
        <v>0.56999999999999995</v>
      </c>
      <c r="E12" s="2939">
        <v>-0.56999999999999995</v>
      </c>
      <c r="F12" s="2939">
        <v>-0.9</v>
      </c>
      <c r="G12" s="2939">
        <v>1.1200000000000001</v>
      </c>
      <c r="H12" s="2939">
        <v>0.42</v>
      </c>
      <c r="I12" s="2940">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0" customFormat="1" ht="12.75">
      <c r="A13" s="1616" t="s">
        <v>3278</v>
      </c>
      <c r="B13" s="2932">
        <v>2024</v>
      </c>
      <c r="C13" s="2933">
        <v>4</v>
      </c>
      <c r="D13" s="2939">
        <v>-1.02</v>
      </c>
      <c r="E13" s="2939">
        <v>-0.48</v>
      </c>
      <c r="F13" s="2939">
        <v>-0.75</v>
      </c>
      <c r="G13" s="2939">
        <v>-1.05</v>
      </c>
      <c r="H13" s="2939">
        <v>0.08</v>
      </c>
      <c r="I13" s="2940">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0" customFormat="1" ht="12.75">
      <c r="A14" s="1616" t="s">
        <v>3271</v>
      </c>
      <c r="B14" s="2932">
        <v>2024</v>
      </c>
      <c r="C14" s="2933">
        <v>3</v>
      </c>
      <c r="D14" s="2939">
        <v>-1.19</v>
      </c>
      <c r="E14" s="2939">
        <v>-0.47</v>
      </c>
      <c r="F14" s="2939">
        <v>-0.28999999999999998</v>
      </c>
      <c r="G14" s="2939">
        <v>-0.74</v>
      </c>
      <c r="H14" s="2939">
        <v>-0.21</v>
      </c>
      <c r="I14" s="2940">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0" customFormat="1" ht="12.75">
      <c r="A15" s="2302" t="s">
        <v>3265</v>
      </c>
      <c r="B15" s="2932">
        <v>2024</v>
      </c>
      <c r="C15" s="2933">
        <v>2</v>
      </c>
      <c r="D15" s="2939">
        <v>-0.59</v>
      </c>
      <c r="E15" s="2939">
        <v>-0.21</v>
      </c>
      <c r="F15" s="2939">
        <v>-1.38</v>
      </c>
      <c r="G15" s="2939">
        <v>-1.24</v>
      </c>
      <c r="H15" s="2944">
        <v>0.34</v>
      </c>
      <c r="I15" s="2940">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0" customFormat="1" ht="12.75">
      <c r="A16" s="2302" t="s">
        <v>3264</v>
      </c>
      <c r="B16" s="2932">
        <v>2024</v>
      </c>
      <c r="C16" s="2933">
        <v>1</v>
      </c>
      <c r="D16" s="2939">
        <v>0.08</v>
      </c>
      <c r="E16" s="2939">
        <v>0.46</v>
      </c>
      <c r="F16" s="2939">
        <v>-0.16</v>
      </c>
      <c r="G16" s="2939">
        <v>0.26</v>
      </c>
      <c r="H16" s="2944">
        <v>0.59</v>
      </c>
      <c r="I16" s="2940">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4"/>
      <c r="Y16" s="1608"/>
      <c r="Z16" s="1608"/>
      <c r="AA16" s="1608"/>
      <c r="AB16" s="1608"/>
      <c r="AC16" s="1608"/>
      <c r="AD16" s="1608"/>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0" customFormat="1" ht="12.75">
      <c r="A17" s="2302" t="s">
        <v>3260</v>
      </c>
      <c r="B17" s="2932">
        <v>2023</v>
      </c>
      <c r="C17" s="2933">
        <v>4</v>
      </c>
      <c r="D17" s="2939">
        <v>0.19</v>
      </c>
      <c r="E17" s="2939">
        <v>0.24</v>
      </c>
      <c r="F17" s="2939">
        <v>-0.16</v>
      </c>
      <c r="G17" s="2939">
        <v>0.17</v>
      </c>
      <c r="H17" s="2944">
        <v>0.61</v>
      </c>
      <c r="I17" s="2940">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4"/>
      <c r="Y17" s="1608"/>
      <c r="Z17" s="1608"/>
      <c r="AA17" s="1608"/>
      <c r="AB17" s="1608"/>
      <c r="AC17" s="1608"/>
      <c r="AD17" s="1608"/>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0" customFormat="1" ht="12.75">
      <c r="A18" s="2302" t="s">
        <v>3259</v>
      </c>
      <c r="B18" s="2932">
        <v>2023</v>
      </c>
      <c r="C18" s="2933">
        <v>3</v>
      </c>
      <c r="D18" s="2939">
        <v>0.25</v>
      </c>
      <c r="E18" s="2939">
        <v>0.5</v>
      </c>
      <c r="F18" s="2939">
        <v>0.31</v>
      </c>
      <c r="G18" s="2939">
        <v>0.21</v>
      </c>
      <c r="H18" s="2944">
        <v>0.43</v>
      </c>
      <c r="I18" s="2940">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4"/>
      <c r="Y18" s="1608"/>
      <c r="Z18" s="1608"/>
      <c r="AA18" s="1608"/>
      <c r="AB18" s="1608"/>
      <c r="AC18" s="1608"/>
      <c r="AD18" s="1608"/>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0" customFormat="1" ht="12.75">
      <c r="A19" s="2302" t="s">
        <v>3257</v>
      </c>
      <c r="B19" s="2932">
        <v>2023</v>
      </c>
      <c r="C19" s="2933">
        <v>2</v>
      </c>
      <c r="D19" s="2939">
        <v>0.91</v>
      </c>
      <c r="E19" s="2939">
        <v>0.66</v>
      </c>
      <c r="F19" s="2939">
        <v>0.47</v>
      </c>
      <c r="G19" s="2939">
        <v>0.96</v>
      </c>
      <c r="H19" s="2944">
        <v>0.71</v>
      </c>
      <c r="I19" s="2940">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4"/>
      <c r="Y19" s="1608"/>
      <c r="Z19" s="1608"/>
      <c r="AA19" s="1608"/>
      <c r="AB19" s="1608"/>
      <c r="AC19" s="1608"/>
      <c r="AD19" s="1608"/>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0" customFormat="1" ht="12.75">
      <c r="A20" s="2302" t="s">
        <v>3256</v>
      </c>
      <c r="B20" s="2932">
        <v>2023</v>
      </c>
      <c r="C20" s="2933">
        <v>1</v>
      </c>
      <c r="D20" s="2939">
        <v>0.89</v>
      </c>
      <c r="E20" s="2939">
        <v>0.74</v>
      </c>
      <c r="F20" s="2939">
        <v>0.56999999999999995</v>
      </c>
      <c r="G20" s="2939">
        <v>0.92</v>
      </c>
      <c r="H20" s="2944">
        <v>0.5</v>
      </c>
      <c r="I20" s="2940">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4"/>
      <c r="Y20" s="1608"/>
      <c r="Z20" s="1608"/>
      <c r="AA20" s="1608"/>
      <c r="AB20" s="1608"/>
      <c r="AC20" s="1608"/>
      <c r="AD20" s="1608"/>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0" customFormat="1" ht="12.75">
      <c r="A21" s="2302" t="s">
        <v>3255</v>
      </c>
      <c r="B21" s="2932">
        <v>2022</v>
      </c>
      <c r="C21" s="2933">
        <v>4</v>
      </c>
      <c r="D21" s="2939">
        <v>0.62</v>
      </c>
      <c r="E21" s="2939">
        <v>0.2</v>
      </c>
      <c r="F21" s="2939">
        <v>0.11</v>
      </c>
      <c r="G21" s="2939">
        <v>0.69</v>
      </c>
      <c r="H21" s="2944">
        <v>0.53</v>
      </c>
      <c r="I21" s="2940">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0" customFormat="1" ht="12.75">
      <c r="A22" s="2302" t="s">
        <v>3253</v>
      </c>
      <c r="B22" s="2932">
        <v>2022</v>
      </c>
      <c r="C22" s="2933">
        <v>3</v>
      </c>
      <c r="D22" s="2939">
        <v>0.66</v>
      </c>
      <c r="E22" s="2939">
        <v>0.32</v>
      </c>
      <c r="F22" s="2939">
        <v>0.23</v>
      </c>
      <c r="G22" s="2939">
        <v>0.72</v>
      </c>
      <c r="H22" s="2944">
        <v>0.63</v>
      </c>
      <c r="I22" s="2940">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0" customFormat="1" ht="12.75">
      <c r="A23" s="2302" t="s">
        <v>3244</v>
      </c>
      <c r="B23" s="2932">
        <v>2022</v>
      </c>
      <c r="C23" s="2933">
        <v>2</v>
      </c>
      <c r="D23" s="2939">
        <v>0.93</v>
      </c>
      <c r="E23" s="2939">
        <v>0.15</v>
      </c>
      <c r="F23" s="2939">
        <v>0.01</v>
      </c>
      <c r="G23" s="2939">
        <v>1.05</v>
      </c>
      <c r="H23" s="2944">
        <v>1.08</v>
      </c>
      <c r="I23" s="2940">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0" customFormat="1" ht="12.75">
      <c r="A24" s="2302" t="s">
        <v>2712</v>
      </c>
      <c r="B24" s="2932">
        <v>2022</v>
      </c>
      <c r="C24" s="2933">
        <v>1</v>
      </c>
      <c r="D24" s="2939">
        <v>0.89</v>
      </c>
      <c r="E24" s="2939">
        <v>0.44</v>
      </c>
      <c r="F24" s="2939">
        <v>0.37</v>
      </c>
      <c r="G24" s="2939">
        <v>0.96</v>
      </c>
      <c r="H24" s="2944">
        <v>0.64</v>
      </c>
      <c r="I24" s="2940">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0" customFormat="1" ht="12.75">
      <c r="A25" s="2302" t="s">
        <v>2713</v>
      </c>
      <c r="B25" s="2932">
        <v>2021</v>
      </c>
      <c r="C25" s="2933">
        <v>4</v>
      </c>
      <c r="D25" s="2939">
        <v>1.03</v>
      </c>
      <c r="E25" s="2939">
        <v>0.24</v>
      </c>
      <c r="F25" s="2939">
        <v>7.0000000000000007E-2</v>
      </c>
      <c r="G25" s="2939">
        <v>1.17</v>
      </c>
      <c r="H25" s="2944">
        <v>0.55000000000000004</v>
      </c>
      <c r="I25" s="2940">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0" customFormat="1" ht="12.75">
      <c r="A26" s="2302" t="s">
        <v>2714</v>
      </c>
      <c r="B26" s="2932">
        <v>2021</v>
      </c>
      <c r="C26" s="2933">
        <v>3</v>
      </c>
      <c r="D26" s="2939">
        <v>0.47</v>
      </c>
      <c r="E26" s="2939">
        <v>0.41</v>
      </c>
      <c r="F26" s="2939">
        <v>0.24</v>
      </c>
      <c r="G26" s="2939">
        <v>0.48</v>
      </c>
      <c r="H26" s="2944">
        <v>0.48</v>
      </c>
      <c r="I26" s="2940">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0" customFormat="1" ht="12.75">
      <c r="A27" s="2302" t="s">
        <v>2715</v>
      </c>
      <c r="B27" s="2932">
        <v>2021</v>
      </c>
      <c r="C27" s="2933">
        <v>2</v>
      </c>
      <c r="D27" s="2939">
        <v>0.92</v>
      </c>
      <c r="E27" s="2939">
        <v>0.72</v>
      </c>
      <c r="F27" s="2939">
        <v>0.41</v>
      </c>
      <c r="G27" s="2939">
        <v>0.95</v>
      </c>
      <c r="H27" s="2944">
        <v>1.01</v>
      </c>
      <c r="I27" s="2940">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7" customFormat="1" ht="14.25" thickBot="1">
      <c r="A28" s="2311" t="s">
        <v>2716</v>
      </c>
      <c r="B28" s="2936">
        <v>2021</v>
      </c>
      <c r="C28" s="2937">
        <v>1</v>
      </c>
      <c r="D28" s="2945">
        <v>0.97</v>
      </c>
      <c r="E28" s="2945">
        <v>0.16</v>
      </c>
      <c r="F28" s="2945">
        <v>-0.25</v>
      </c>
      <c r="G28" s="2945">
        <v>1.1100000000000001</v>
      </c>
      <c r="H28" s="2946">
        <v>0.36</v>
      </c>
      <c r="I28" s="2947">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2">
        <v>1</v>
      </c>
      <c r="S28" s="2952">
        <v>1</v>
      </c>
      <c r="T28" s="2952">
        <v>1</v>
      </c>
      <c r="U28" s="2952">
        <v>1</v>
      </c>
      <c r="V28" s="2952">
        <v>1</v>
      </c>
      <c r="W28" s="2952">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4.25" thickTop="1"/>
    <row r="30" spans="1:44">
      <c r="A30" s="2485" t="s">
        <v>3270</v>
      </c>
    </row>
    <row r="31" spans="1:44">
      <c r="I31" s="1050" t="s">
        <v>2717</v>
      </c>
    </row>
    <row r="33" spans="1:44" s="1591" customFormat="1" ht="12.75">
      <c r="B33" s="2318" t="s">
        <v>3268</v>
      </c>
      <c r="C33" s="2319"/>
      <c r="D33" s="2319"/>
      <c r="E33" s="2319"/>
      <c r="F33" s="2319"/>
      <c r="G33" s="2319"/>
      <c r="H33" s="2319"/>
      <c r="I33" s="2319"/>
      <c r="J33" s="2293"/>
      <c r="K33" s="2319" t="s">
        <v>2718</v>
      </c>
      <c r="L33" s="2319"/>
      <c r="M33" s="2319"/>
      <c r="N33" s="2319"/>
      <c r="O33" s="2319"/>
      <c r="P33" s="2319"/>
      <c r="Q33" s="2293"/>
      <c r="R33" s="4647" t="s">
        <v>2719</v>
      </c>
      <c r="S33" s="4648"/>
      <c r="T33" s="4648"/>
      <c r="U33" s="4648"/>
      <c r="V33" s="4648"/>
      <c r="W33" s="4648"/>
      <c r="X33" s="2293"/>
      <c r="Y33" s="4647" t="s">
        <v>2720</v>
      </c>
      <c r="Z33" s="4648"/>
      <c r="AA33" s="4648"/>
      <c r="AB33" s="4648"/>
      <c r="AC33" s="4648"/>
      <c r="AD33" s="4648"/>
    </row>
    <row r="34" spans="1:44" s="1592" customFormat="1" ht="14.25" thickBot="1">
      <c r="B34" s="2279"/>
      <c r="C34" s="2280"/>
      <c r="D34" s="1593" t="s">
        <v>2721</v>
      </c>
      <c r="E34" s="1594" t="s">
        <v>2722</v>
      </c>
      <c r="F34" s="1594" t="s">
        <v>2723</v>
      </c>
      <c r="G34" s="1594" t="s">
        <v>2724</v>
      </c>
      <c r="H34" s="1594"/>
      <c r="I34" s="1594" t="s">
        <v>2725</v>
      </c>
      <c r="J34" s="2281"/>
      <c r="K34" s="1593" t="s">
        <v>2721</v>
      </c>
      <c r="L34" s="1594" t="s">
        <v>2722</v>
      </c>
      <c r="M34" s="1594" t="s">
        <v>2723</v>
      </c>
      <c r="N34" s="1594" t="s">
        <v>2724</v>
      </c>
      <c r="O34" s="1594"/>
      <c r="P34" s="1594" t="s">
        <v>2725</v>
      </c>
      <c r="Q34" s="2281"/>
      <c r="R34" s="1593" t="s">
        <v>2721</v>
      </c>
      <c r="S34" s="1594" t="s">
        <v>2722</v>
      </c>
      <c r="T34" s="1594" t="s">
        <v>2723</v>
      </c>
      <c r="U34" s="1594" t="s">
        <v>2724</v>
      </c>
      <c r="V34" s="1594"/>
      <c r="W34" s="1594" t="s">
        <v>2725</v>
      </c>
      <c r="X34" s="2281"/>
      <c r="Y34" s="1593" t="s">
        <v>2721</v>
      </c>
      <c r="Z34" s="1594" t="s">
        <v>2722</v>
      </c>
      <c r="AA34" s="1594" t="s">
        <v>2723</v>
      </c>
      <c r="AB34" s="1594" t="s">
        <v>2724</v>
      </c>
      <c r="AC34" s="1594"/>
      <c r="AD34" s="1594" t="s">
        <v>2725</v>
      </c>
      <c r="AG34" t="s">
        <v>660</v>
      </c>
      <c r="AH34" t="s">
        <v>19</v>
      </c>
      <c r="AI34" t="s">
        <v>3275</v>
      </c>
      <c r="AJ34"/>
      <c r="AK34" t="s">
        <v>3276</v>
      </c>
      <c r="AN34" t="s">
        <v>660</v>
      </c>
      <c r="AO34" t="s">
        <v>19</v>
      </c>
      <c r="AP34" t="s">
        <v>3275</v>
      </c>
      <c r="AQ34"/>
      <c r="AR34" t="s">
        <v>3276</v>
      </c>
    </row>
    <row r="35" spans="1:44" s="2284" customFormat="1" ht="12.75">
      <c r="A35" s="2282" t="s">
        <v>2726</v>
      </c>
      <c r="B35" s="2283"/>
      <c r="E35" s="2938">
        <f t="shared" ref="E35:G35" si="152">ROUND(AVERAGEIF(E36:E60,"&lt;&gt;0"),2)</f>
        <v>-7.0000000000000007E-2</v>
      </c>
      <c r="F35" s="2938">
        <f t="shared" si="152"/>
        <v>-0.25</v>
      </c>
      <c r="G35" s="2938">
        <f t="shared" si="152"/>
        <v>7.0000000000000007E-2</v>
      </c>
      <c r="H35" s="2938"/>
      <c r="I35" s="2938">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9">
        <f>ROUND(SUMPRODUCT(PRODUCT(1+L36:L60)),4)</f>
        <v>1.0072000000000001</v>
      </c>
      <c r="T35" s="2949">
        <f t="shared" ref="T35:U35" si="154">ROUND(SUMPRODUCT(PRODUCT(1+M36:M60)),4)</f>
        <v>0.98699999999999999</v>
      </c>
      <c r="U35" s="2949">
        <f t="shared" si="154"/>
        <v>1.0375000000000001</v>
      </c>
      <c r="V35" s="2949"/>
      <c r="W35" s="2948">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3647</v>
      </c>
      <c r="B37" s="2932">
        <v>2026</v>
      </c>
      <c r="C37" s="2933">
        <v>4</v>
      </c>
      <c r="D37" s="2303"/>
      <c r="E37" s="2939">
        <v>0</v>
      </c>
      <c r="F37" s="2939">
        <v>0</v>
      </c>
      <c r="G37" s="2939">
        <v>0</v>
      </c>
      <c r="H37" s="2939"/>
      <c r="I37" s="2940">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0" customFormat="1" ht="12.75">
      <c r="A38" s="1616" t="s">
        <v>3646</v>
      </c>
      <c r="B38" s="2932">
        <v>2026</v>
      </c>
      <c r="C38" s="2933">
        <v>3</v>
      </c>
      <c r="D38" s="2303"/>
      <c r="E38" s="2939">
        <v>0</v>
      </c>
      <c r="F38" s="2939">
        <v>0</v>
      </c>
      <c r="G38" s="2939">
        <v>0</v>
      </c>
      <c r="H38" s="2939"/>
      <c r="I38" s="2940">
        <f t="shared" ref="I38:I41" si="165">F38</f>
        <v>0</v>
      </c>
      <c r="J38" s="2304"/>
      <c r="K38" s="1618"/>
      <c r="L38" s="1608"/>
      <c r="M38" s="1608"/>
      <c r="N38" s="1608"/>
      <c r="O38" s="1608"/>
      <c r="P38" s="1608"/>
      <c r="Q38" s="2304"/>
      <c r="R38" s="1607"/>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4"/>
      <c r="Y38" s="1608"/>
      <c r="Z38" s="2299"/>
      <c r="AA38" s="1608"/>
      <c r="AB38" s="1608"/>
      <c r="AC38" s="2301"/>
      <c r="AD38" s="1608"/>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0" customFormat="1" ht="12.75">
      <c r="A39" s="1616" t="s">
        <v>3645</v>
      </c>
      <c r="B39" s="2932">
        <v>2026</v>
      </c>
      <c r="C39" s="2933">
        <v>2</v>
      </c>
      <c r="D39" s="2303"/>
      <c r="E39" s="2939">
        <v>0</v>
      </c>
      <c r="F39" s="2939">
        <v>0</v>
      </c>
      <c r="G39" s="2939">
        <v>0</v>
      </c>
      <c r="H39" s="2939"/>
      <c r="I39" s="2940">
        <f t="shared" si="165"/>
        <v>0</v>
      </c>
      <c r="J39" s="2304"/>
      <c r="K39" s="1618"/>
      <c r="L39" s="1608"/>
      <c r="M39" s="1608"/>
      <c r="N39" s="1608"/>
      <c r="O39" s="1608"/>
      <c r="P39" s="1608"/>
      <c r="Q39" s="2304"/>
      <c r="R39" s="1607"/>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4"/>
      <c r="Y39" s="1608"/>
      <c r="Z39" s="2299"/>
      <c r="AA39" s="1608"/>
      <c r="AB39" s="1608"/>
      <c r="AC39" s="2301"/>
      <c r="AD39" s="1608"/>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0" customFormat="1" ht="12.75">
      <c r="A40" s="2305" t="s">
        <v>3650</v>
      </c>
      <c r="B40" s="2934">
        <v>2026</v>
      </c>
      <c r="C40" s="2935">
        <v>1</v>
      </c>
      <c r="D40" s="2306"/>
      <c r="E40" s="2941">
        <v>0</v>
      </c>
      <c r="F40" s="2941">
        <v>0</v>
      </c>
      <c r="G40" s="2941">
        <v>0</v>
      </c>
      <c r="H40" s="2942"/>
      <c r="I40" s="2943">
        <f t="shared" si="165"/>
        <v>0</v>
      </c>
      <c r="J40" s="2307"/>
      <c r="K40" s="2308"/>
      <c r="L40" s="2309"/>
      <c r="M40" s="2309"/>
      <c r="N40" s="2309"/>
      <c r="O40" s="2309"/>
      <c r="P40" s="2309"/>
      <c r="Q40" s="2307"/>
      <c r="R40" s="2307"/>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7"/>
      <c r="Y40" s="2309"/>
      <c r="Z40" s="2320"/>
      <c r="AA40" s="2321"/>
      <c r="AB40" s="2309"/>
      <c r="AC40" s="2322"/>
      <c r="AD40" s="2309"/>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0" customFormat="1" ht="12.75">
      <c r="A41" s="1616" t="s">
        <v>3644</v>
      </c>
      <c r="B41" s="2932">
        <v>2025</v>
      </c>
      <c r="C41" s="2933">
        <v>4</v>
      </c>
      <c r="D41" s="2303"/>
      <c r="E41" s="2939">
        <v>-2.0499999999999998</v>
      </c>
      <c r="F41" s="2939">
        <v>-3.68</v>
      </c>
      <c r="G41" s="2939">
        <v>-2.4300000000000002</v>
      </c>
      <c r="H41" s="2939"/>
      <c r="I41" s="2940">
        <f t="shared" si="165"/>
        <v>-3.68</v>
      </c>
      <c r="J41" s="2304"/>
      <c r="K41" s="1618"/>
      <c r="L41" s="1608"/>
      <c r="M41" s="1608"/>
      <c r="N41" s="1608"/>
      <c r="O41" s="1608"/>
      <c r="P41" s="1608"/>
      <c r="Q41" s="2304"/>
      <c r="R41" s="1607"/>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4"/>
      <c r="Y41" s="1608"/>
      <c r="Z41" s="2299"/>
      <c r="AA41" s="1608"/>
      <c r="AB41" s="1608"/>
      <c r="AC41" s="2301"/>
      <c r="AD41" s="1608"/>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0" customFormat="1" ht="12.75">
      <c r="A42" s="1616" t="s">
        <v>3287</v>
      </c>
      <c r="B42" s="2932">
        <v>2025</v>
      </c>
      <c r="C42" s="2933">
        <v>3</v>
      </c>
      <c r="D42" s="2303"/>
      <c r="E42" s="2939">
        <v>-0.8</v>
      </c>
      <c r="F42" s="2939">
        <v>-1.45</v>
      </c>
      <c r="G42" s="2939">
        <v>-0.62</v>
      </c>
      <c r="H42" s="2939"/>
      <c r="I42" s="2940">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0" customFormat="1" ht="12.75">
      <c r="A43" s="1616" t="s">
        <v>3288</v>
      </c>
      <c r="B43" s="2932">
        <v>2025</v>
      </c>
      <c r="C43" s="2933">
        <v>2</v>
      </c>
      <c r="D43" s="2303"/>
      <c r="E43" s="2939">
        <v>-0.31</v>
      </c>
      <c r="F43" s="2939">
        <v>-1.03</v>
      </c>
      <c r="G43" s="2939">
        <v>0.03</v>
      </c>
      <c r="H43" s="2939"/>
      <c r="I43" s="2940">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0" customFormat="1" ht="12.75">
      <c r="A44" s="1616" t="s">
        <v>3277</v>
      </c>
      <c r="B44" s="2932">
        <v>2025</v>
      </c>
      <c r="C44" s="2933">
        <v>1</v>
      </c>
      <c r="D44" s="2303"/>
      <c r="E44" s="2939">
        <v>-1.47</v>
      </c>
      <c r="F44" s="2939">
        <v>-0.98</v>
      </c>
      <c r="G44" s="2939">
        <v>-0.51</v>
      </c>
      <c r="H44" s="2939"/>
      <c r="I44" s="2940">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0" customFormat="1" ht="12.75">
      <c r="A45" s="1616" t="s">
        <v>3278</v>
      </c>
      <c r="B45" s="2932">
        <v>2024</v>
      </c>
      <c r="C45" s="2933">
        <v>4</v>
      </c>
      <c r="D45" s="2303"/>
      <c r="E45" s="2939">
        <v>-0.61</v>
      </c>
      <c r="F45" s="2939">
        <v>-0.71</v>
      </c>
      <c r="G45" s="2939">
        <v>-0.88</v>
      </c>
      <c r="H45" s="2939"/>
      <c r="I45" s="2940">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0" customFormat="1" ht="12.75">
      <c r="A46" s="1616" t="s">
        <v>3262</v>
      </c>
      <c r="B46" s="2932">
        <v>2024</v>
      </c>
      <c r="C46" s="2933">
        <v>3</v>
      </c>
      <c r="D46" s="2303"/>
      <c r="E46" s="2939">
        <v>-0.66</v>
      </c>
      <c r="F46" s="2939">
        <v>-0.52</v>
      </c>
      <c r="G46" s="2939">
        <v>-2.87</v>
      </c>
      <c r="H46" s="2939"/>
      <c r="I46" s="2940">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0" customFormat="1" ht="12.75">
      <c r="A47" s="2302" t="s">
        <v>3266</v>
      </c>
      <c r="B47" s="2932">
        <v>2024</v>
      </c>
      <c r="C47" s="2933">
        <v>2</v>
      </c>
      <c r="D47" s="2303"/>
      <c r="E47" s="2939">
        <v>-0.31</v>
      </c>
      <c r="F47" s="2939">
        <v>-0.39</v>
      </c>
      <c r="G47" s="2939">
        <v>1.23</v>
      </c>
      <c r="H47" s="2944"/>
      <c r="I47" s="2940">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4"/>
      <c r="Y47" s="1608"/>
      <c r="Z47" s="2299">
        <f t="shared" si="220"/>
        <v>3.3E-3</v>
      </c>
      <c r="AA47" s="2300">
        <f t="shared" si="220"/>
        <v>2.3999999999999998E-3</v>
      </c>
      <c r="AB47" s="1608">
        <f t="shared" si="220"/>
        <v>6.1999999999999998E-3</v>
      </c>
      <c r="AC47" s="2301"/>
      <c r="AD47" s="1608">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0" customFormat="1" ht="12.75">
      <c r="A48" s="2302" t="s">
        <v>3263</v>
      </c>
      <c r="B48" s="2932">
        <v>2024</v>
      </c>
      <c r="C48" s="2933">
        <v>1</v>
      </c>
      <c r="D48" s="2303"/>
      <c r="E48" s="2939">
        <v>0.25</v>
      </c>
      <c r="F48" s="2939">
        <v>0.4</v>
      </c>
      <c r="G48" s="2939">
        <v>-0.63</v>
      </c>
      <c r="H48" s="2944"/>
      <c r="I48" s="2940">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4"/>
      <c r="Y48" s="1608"/>
      <c r="Z48" s="2299"/>
      <c r="AA48" s="2300"/>
      <c r="AB48" s="1608"/>
      <c r="AC48" s="2301"/>
      <c r="AD48" s="1608"/>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0" customFormat="1" ht="12.75">
      <c r="A49" s="2302" t="s">
        <v>3261</v>
      </c>
      <c r="B49" s="2932">
        <v>2023</v>
      </c>
      <c r="C49" s="2933">
        <v>4</v>
      </c>
      <c r="D49" s="2303"/>
      <c r="E49" s="2939">
        <v>7.0000000000000007E-2</v>
      </c>
      <c r="F49" s="2939">
        <v>0.09</v>
      </c>
      <c r="G49" s="2939">
        <v>0.03</v>
      </c>
      <c r="H49" s="2944"/>
      <c r="I49" s="2940">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4"/>
      <c r="Y49" s="1608"/>
      <c r="Z49" s="2299"/>
      <c r="AA49" s="2300"/>
      <c r="AB49" s="1608"/>
      <c r="AC49" s="2301"/>
      <c r="AD49" s="1608"/>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0" customFormat="1" ht="12.75">
      <c r="A50" s="2302" t="s">
        <v>3259</v>
      </c>
      <c r="B50" s="2932">
        <v>2023</v>
      </c>
      <c r="C50" s="2933">
        <v>3</v>
      </c>
      <c r="D50" s="2303"/>
      <c r="E50" s="2939">
        <v>0.35</v>
      </c>
      <c r="F50" s="2939">
        <v>0.17</v>
      </c>
      <c r="G50" s="2939">
        <v>0.52</v>
      </c>
      <c r="H50" s="2944"/>
      <c r="I50" s="2940">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4"/>
      <c r="Y50" s="1608"/>
      <c r="Z50" s="2299"/>
      <c r="AA50" s="2300"/>
      <c r="AB50" s="1608"/>
      <c r="AC50" s="2301"/>
      <c r="AD50" s="1608"/>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0" customFormat="1" ht="12.75">
      <c r="A51" s="2302" t="s">
        <v>3258</v>
      </c>
      <c r="B51" s="2932">
        <v>2023</v>
      </c>
      <c r="C51" s="2933">
        <v>2</v>
      </c>
      <c r="D51" s="2303"/>
      <c r="E51" s="2939">
        <v>0.5</v>
      </c>
      <c r="F51" s="2939">
        <v>0.45</v>
      </c>
      <c r="G51" s="2939">
        <v>0.89</v>
      </c>
      <c r="H51" s="2944"/>
      <c r="I51" s="2940">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4"/>
      <c r="Y51" s="1608"/>
      <c r="Z51" s="2299"/>
      <c r="AA51" s="2300"/>
      <c r="AB51" s="1608"/>
      <c r="AC51" s="2301"/>
      <c r="AD51" s="1608"/>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0" customFormat="1" ht="12.75">
      <c r="A52" s="2302" t="s">
        <v>3256</v>
      </c>
      <c r="B52" s="2932">
        <v>2023</v>
      </c>
      <c r="C52" s="2933">
        <v>1</v>
      </c>
      <c r="D52" s="2303"/>
      <c r="E52" s="2939">
        <v>0.55000000000000004</v>
      </c>
      <c r="F52" s="2939">
        <v>0.59</v>
      </c>
      <c r="G52" s="2939">
        <v>0.64</v>
      </c>
      <c r="H52" s="2944"/>
      <c r="I52" s="2940">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4"/>
      <c r="Y52" s="1608"/>
      <c r="Z52" s="2299"/>
      <c r="AA52" s="2300"/>
      <c r="AB52" s="1608"/>
      <c r="AC52" s="2301"/>
      <c r="AD52" s="1608"/>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0" customFormat="1" ht="12.75">
      <c r="A53" s="2302" t="s">
        <v>3255</v>
      </c>
      <c r="B53" s="2932">
        <v>2022</v>
      </c>
      <c r="C53" s="2933">
        <v>4</v>
      </c>
      <c r="D53" s="2303"/>
      <c r="E53" s="2939">
        <v>0.45</v>
      </c>
      <c r="F53" s="2939">
        <v>0.2</v>
      </c>
      <c r="G53" s="2939">
        <v>0.38</v>
      </c>
      <c r="H53" s="2944"/>
      <c r="I53" s="2940">
        <f t="shared" si="221"/>
        <v>0.2</v>
      </c>
      <c r="J53" s="2304"/>
      <c r="K53" s="1618"/>
      <c r="L53" s="1608">
        <f t="shared" si="222"/>
        <v>4.5000000000000005E-3</v>
      </c>
      <c r="M53" s="1608">
        <f t="shared" si="222"/>
        <v>2E-3</v>
      </c>
      <c r="N53" s="1608">
        <f t="shared" si="222"/>
        <v>3.8E-3</v>
      </c>
      <c r="O53" s="1608"/>
      <c r="P53" s="1608">
        <f t="shared" ref="P53:P60" si="236">M53</f>
        <v>2E-3</v>
      </c>
      <c r="Q53" s="2304"/>
      <c r="R53" s="1607"/>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0" customFormat="1" ht="12.75">
      <c r="A54" s="2302" t="s">
        <v>3254</v>
      </c>
      <c r="B54" s="2932">
        <v>2022</v>
      </c>
      <c r="C54" s="2933">
        <v>3</v>
      </c>
      <c r="D54" s="2303"/>
      <c r="E54" s="2939">
        <v>0.3</v>
      </c>
      <c r="F54" s="2939">
        <v>0.28999999999999998</v>
      </c>
      <c r="G54" s="2939">
        <v>0.83</v>
      </c>
      <c r="H54" s="2944"/>
      <c r="I54" s="2940">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0" customFormat="1" ht="12.75">
      <c r="A55" s="2302" t="s">
        <v>3244</v>
      </c>
      <c r="B55" s="2932">
        <v>2022</v>
      </c>
      <c r="C55" s="2933">
        <v>2</v>
      </c>
      <c r="D55" s="2303"/>
      <c r="E55" s="2939">
        <v>-0.11</v>
      </c>
      <c r="F55" s="2939">
        <v>-0.13</v>
      </c>
      <c r="G55" s="2939">
        <v>0.53</v>
      </c>
      <c r="H55" s="2944"/>
      <c r="I55" s="2940">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0" customFormat="1" ht="12.75">
      <c r="A56" s="2302" t="s">
        <v>2727</v>
      </c>
      <c r="B56" s="2932">
        <v>2022</v>
      </c>
      <c r="C56" s="2933">
        <v>1</v>
      </c>
      <c r="D56" s="2303"/>
      <c r="E56" s="2939">
        <v>0.6</v>
      </c>
      <c r="F56" s="2939">
        <v>0.45</v>
      </c>
      <c r="G56" s="2939">
        <v>0.53</v>
      </c>
      <c r="H56" s="2944"/>
      <c r="I56" s="2940">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0" customFormat="1" ht="12.75">
      <c r="A57" s="2302" t="s">
        <v>2728</v>
      </c>
      <c r="B57" s="2932">
        <v>2021</v>
      </c>
      <c r="C57" s="2933">
        <v>4</v>
      </c>
      <c r="D57" s="2303"/>
      <c r="E57" s="2939">
        <v>0.57999999999999996</v>
      </c>
      <c r="F57" s="2939">
        <v>0.08</v>
      </c>
      <c r="G57" s="2939">
        <v>0.68</v>
      </c>
      <c r="H57" s="2944"/>
      <c r="I57" s="2940">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4"/>
      <c r="Y57" s="1608"/>
      <c r="Z57" s="2299">
        <f t="shared" si="238"/>
        <v>4.8999999999999998E-3</v>
      </c>
      <c r="AA57" s="2300">
        <f t="shared" si="238"/>
        <v>3.3E-3</v>
      </c>
      <c r="AB57" s="1608">
        <f t="shared" si="238"/>
        <v>9.1999999999999998E-3</v>
      </c>
      <c r="AC57" s="2301"/>
      <c r="AD57" s="1608">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0" customFormat="1" ht="12.75">
      <c r="A58" s="2302" t="s">
        <v>2729</v>
      </c>
      <c r="B58" s="2932">
        <v>2021</v>
      </c>
      <c r="C58" s="2933">
        <v>3</v>
      </c>
      <c r="D58" s="2303"/>
      <c r="E58" s="2939">
        <v>0.47</v>
      </c>
      <c r="F58" s="2939">
        <v>0.28000000000000003</v>
      </c>
      <c r="G58" s="2939">
        <v>0.91</v>
      </c>
      <c r="H58" s="2944"/>
      <c r="I58" s="2940">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0" customFormat="1" ht="12.75">
      <c r="A59" s="2302" t="s">
        <v>2730</v>
      </c>
      <c r="B59" s="2932">
        <v>2021</v>
      </c>
      <c r="C59" s="2933">
        <v>2</v>
      </c>
      <c r="D59" s="2303"/>
      <c r="E59" s="2939">
        <v>0.55000000000000004</v>
      </c>
      <c r="F59" s="2939">
        <v>0.46</v>
      </c>
      <c r="G59" s="2939">
        <v>1.1000000000000001</v>
      </c>
      <c r="H59" s="2944"/>
      <c r="I59" s="2940">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7" customFormat="1" ht="14.25" thickBot="1">
      <c r="A60" s="2311" t="s">
        <v>2716</v>
      </c>
      <c r="B60" s="2936">
        <v>2021</v>
      </c>
      <c r="C60" s="2937">
        <v>1</v>
      </c>
      <c r="D60" s="2312"/>
      <c r="E60" s="2945">
        <v>0.35</v>
      </c>
      <c r="F60" s="2945">
        <v>0.48</v>
      </c>
      <c r="G60" s="2945">
        <v>0.98</v>
      </c>
      <c r="H60" s="2946"/>
      <c r="I60" s="2947">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2">
        <v>1</v>
      </c>
      <c r="T60" s="2952">
        <v>1</v>
      </c>
      <c r="U60" s="2952">
        <v>1</v>
      </c>
      <c r="V60" s="2952"/>
      <c r="W60" s="2952">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4.25" thickTop="1"/>
    <row r="62" spans="1:44">
      <c r="A62" s="2485"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2" t="s">
        <v>446</v>
      </c>
      <c r="C1" s="4652"/>
      <c r="D1" s="4652"/>
      <c r="E1" s="4652"/>
      <c r="F1" s="4652"/>
      <c r="G1" s="4648" t="s">
        <v>447</v>
      </c>
      <c r="H1" s="4648"/>
      <c r="I1" s="4648"/>
      <c r="J1" s="4648"/>
      <c r="K1" s="4648"/>
      <c r="L1" s="4648"/>
      <c r="N1" s="4648" t="s">
        <v>448</v>
      </c>
      <c r="O1" s="4648"/>
      <c r="P1" s="4648"/>
      <c r="Q1" s="4648"/>
      <c r="S1" s="4648" t="s">
        <v>449</v>
      </c>
      <c r="T1" s="4648"/>
      <c r="U1" s="4648"/>
      <c r="V1" s="4648"/>
      <c r="X1" s="4647" t="s">
        <v>450</v>
      </c>
      <c r="Y1" s="4648"/>
      <c r="Z1" s="4648"/>
      <c r="AA1" s="4648"/>
      <c r="AB1" s="4648"/>
      <c r="AD1" s="4647" t="s">
        <v>451</v>
      </c>
      <c r="AE1" s="4648"/>
      <c r="AF1" s="4648"/>
      <c r="AG1" s="4648"/>
      <c r="AH1" s="4648"/>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9">
        <f>ROUND(AVERAGE($I4:$I40),2)</f>
        <v>1.55</v>
      </c>
      <c r="J3" s="2979">
        <f>ROUND(AVERAGE($J4:$J40),2)</f>
        <v>0.97</v>
      </c>
      <c r="K3" s="2979">
        <f>ROUND(AVERAGE($K4:$K40),2)</f>
        <v>1.66</v>
      </c>
      <c r="L3" s="2979">
        <f>ROUND(AVERAGE($L4:$L40),2)</f>
        <v>1.1000000000000001</v>
      </c>
      <c r="N3" s="1599"/>
      <c r="S3" s="1599"/>
      <c r="W3" s="1601"/>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3252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2">
        <v>2022</v>
      </c>
      <c r="H5" s="2933">
        <v>1</v>
      </c>
      <c r="I5" s="2939">
        <v>0</v>
      </c>
      <c r="J5" s="2939">
        <v>0</v>
      </c>
      <c r="K5" s="2939">
        <v>0</v>
      </c>
      <c r="L5" s="2940">
        <v>0</v>
      </c>
      <c r="M5" s="1607"/>
      <c r="N5" s="1618">
        <f t="shared" ref="N5" si="7">I5/100</f>
        <v>0</v>
      </c>
      <c r="O5" s="1608">
        <f t="shared" ref="O5" si="8">J5/100</f>
        <v>0</v>
      </c>
      <c r="P5" s="1608">
        <f t="shared" ref="P5" si="9">K5/100</f>
        <v>0</v>
      </c>
      <c r="Q5" s="1608">
        <f t="shared" ref="Q5" si="10">L5/100</f>
        <v>0</v>
      </c>
      <c r="R5" s="1619"/>
      <c r="S5" s="1618"/>
      <c r="T5" s="1608"/>
      <c r="U5" s="1608"/>
      <c r="V5" s="1608"/>
      <c r="W5" s="1607"/>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2">
        <v>2022</v>
      </c>
      <c r="H6" s="2967">
        <v>1</v>
      </c>
      <c r="I6" s="2980">
        <v>0</v>
      </c>
      <c r="J6" s="2980">
        <v>0</v>
      </c>
      <c r="K6" s="2980">
        <v>0</v>
      </c>
      <c r="L6" s="2980">
        <v>0</v>
      </c>
      <c r="N6" s="1612">
        <f t="shared" ref="N6" si="18">I6/100</f>
        <v>0</v>
      </c>
      <c r="O6" s="1612">
        <f t="shared" ref="O6" si="19">J6/100</f>
        <v>0</v>
      </c>
      <c r="P6" s="1612">
        <f t="shared" ref="P6" si="20">K6/100</f>
        <v>0</v>
      </c>
      <c r="Q6" s="1612">
        <f t="shared" ref="Q6" si="21">L6/100</f>
        <v>0</v>
      </c>
      <c r="S6" s="1613"/>
      <c r="W6" s="1614" t="s">
        <v>2022</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3250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2">
        <v>2022</v>
      </c>
      <c r="H7" s="2933">
        <v>1</v>
      </c>
      <c r="I7" s="2939">
        <v>0</v>
      </c>
      <c r="J7" s="2939">
        <v>0</v>
      </c>
      <c r="K7" s="2939">
        <v>0</v>
      </c>
      <c r="L7" s="294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3251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2">
        <v>2022</v>
      </c>
      <c r="H8" s="2933">
        <v>1</v>
      </c>
      <c r="I8" s="2939"/>
      <c r="J8" s="2939"/>
      <c r="K8" s="2939">
        <v>0</v>
      </c>
      <c r="L8" s="294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2">
        <v>2021</v>
      </c>
      <c r="H9" s="2933">
        <v>4</v>
      </c>
      <c r="I9" s="2939">
        <v>1.03</v>
      </c>
      <c r="J9" s="2939">
        <v>0.24</v>
      </c>
      <c r="K9" s="2939">
        <v>1.17</v>
      </c>
      <c r="L9" s="294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2211</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2">
        <v>2021</v>
      </c>
      <c r="H10" s="2933">
        <v>3</v>
      </c>
      <c r="I10" s="2939">
        <v>0.47</v>
      </c>
      <c r="J10" s="2939">
        <v>0.41</v>
      </c>
      <c r="K10" s="2939">
        <v>0.48</v>
      </c>
      <c r="L10" s="294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2210</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2">
        <v>2021</v>
      </c>
      <c r="H11" s="2933">
        <v>2</v>
      </c>
      <c r="I11" s="2939">
        <v>0.92</v>
      </c>
      <c r="J11" s="2939">
        <v>0.72</v>
      </c>
      <c r="K11" s="2939">
        <v>0.95</v>
      </c>
      <c r="L11" s="294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2209</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2">
        <v>2021</v>
      </c>
      <c r="H12" s="2933">
        <v>1</v>
      </c>
      <c r="I12" s="2939">
        <v>0.97</v>
      </c>
      <c r="J12" s="2939">
        <v>0.16</v>
      </c>
      <c r="K12" s="2939">
        <v>1.1100000000000001</v>
      </c>
      <c r="L12" s="294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2206</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2">
        <v>2020</v>
      </c>
      <c r="H13" s="2933">
        <v>4</v>
      </c>
      <c r="I13" s="2939">
        <v>2.0699999999999998</v>
      </c>
      <c r="J13" s="2939">
        <v>0.37</v>
      </c>
      <c r="K13" s="2939">
        <v>2.35</v>
      </c>
      <c r="L13" s="294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2205</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2">
        <v>2020</v>
      </c>
      <c r="H14" s="2933">
        <v>3</v>
      </c>
      <c r="I14" s="2939">
        <v>0.36</v>
      </c>
      <c r="J14" s="2939">
        <v>-0.39</v>
      </c>
      <c r="K14" s="2939">
        <v>0.49</v>
      </c>
      <c r="L14" s="294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2">
        <v>2020</v>
      </c>
      <c r="H15" s="2933">
        <v>2</v>
      </c>
      <c r="I15" s="2939">
        <v>0.31</v>
      </c>
      <c r="J15" s="2939">
        <v>-0.78</v>
      </c>
      <c r="K15" s="2939">
        <v>0.5</v>
      </c>
      <c r="L15" s="294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2">
        <v>2020</v>
      </c>
      <c r="H16" s="2933">
        <v>1</v>
      </c>
      <c r="I16" s="2939">
        <v>0.12</v>
      </c>
      <c r="J16" s="2939">
        <v>-0.4</v>
      </c>
      <c r="K16" s="2939">
        <v>0.21</v>
      </c>
      <c r="L16" s="294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2">
        <v>2019</v>
      </c>
      <c r="H17" s="2933">
        <v>4</v>
      </c>
      <c r="I17" s="2931">
        <v>0.45</v>
      </c>
      <c r="J17" s="2931">
        <v>-0.12</v>
      </c>
      <c r="K17" s="2931">
        <v>0.54</v>
      </c>
      <c r="L17" s="298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2">
        <v>2019</v>
      </c>
      <c r="H18" s="2933">
        <v>3</v>
      </c>
      <c r="I18" s="2931">
        <v>0.61</v>
      </c>
      <c r="J18" s="2931">
        <v>0.67</v>
      </c>
      <c r="K18" s="2931">
        <v>0.6</v>
      </c>
      <c r="L18" s="298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2">
        <v>2019</v>
      </c>
      <c r="H19" s="2968">
        <v>2</v>
      </c>
      <c r="I19" s="2958">
        <v>1.53</v>
      </c>
      <c r="J19" s="2958">
        <v>1.01</v>
      </c>
      <c r="K19" s="2958">
        <v>1.62</v>
      </c>
      <c r="L19" s="298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2">
        <v>2019</v>
      </c>
      <c r="H20" s="2933">
        <v>1</v>
      </c>
      <c r="I20" s="2931">
        <v>0.6</v>
      </c>
      <c r="J20" s="2931">
        <v>0.37</v>
      </c>
      <c r="K20" s="2931">
        <v>0.63</v>
      </c>
      <c r="L20" s="298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0">
        <v>2018</v>
      </c>
      <c r="H21" s="2968">
        <v>4</v>
      </c>
      <c r="I21" s="2958">
        <v>0.96</v>
      </c>
      <c r="J21" s="2958">
        <v>1.03</v>
      </c>
      <c r="K21" s="2958">
        <v>0.92</v>
      </c>
      <c r="L21" s="298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0"/>
      <c r="H22" s="2933">
        <v>3</v>
      </c>
      <c r="I22" s="2931">
        <v>1.51</v>
      </c>
      <c r="J22" s="2931">
        <v>1.41</v>
      </c>
      <c r="K22" s="2931">
        <v>1.52</v>
      </c>
      <c r="L22" s="298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0"/>
      <c r="H23" s="2969">
        <v>2</v>
      </c>
      <c r="I23" s="2959">
        <v>1.49</v>
      </c>
      <c r="J23" s="2959">
        <v>0.96</v>
      </c>
      <c r="K23" s="2959">
        <v>1.58</v>
      </c>
      <c r="L23" s="298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7"/>
      <c r="H24" s="2933">
        <v>1</v>
      </c>
      <c r="I24" s="2931">
        <v>1.7</v>
      </c>
      <c r="J24" s="2931">
        <v>1.92</v>
      </c>
      <c r="K24" s="2931">
        <v>1.64</v>
      </c>
      <c r="L24" s="298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3">
        <v>2017</v>
      </c>
      <c r="H25" s="2968">
        <v>4</v>
      </c>
      <c r="I25" s="2958">
        <v>1.71</v>
      </c>
      <c r="J25" s="2958">
        <v>1.78</v>
      </c>
      <c r="K25" s="2958">
        <v>1.71</v>
      </c>
      <c r="L25" s="298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0"/>
      <c r="H26" s="2933">
        <v>3</v>
      </c>
      <c r="I26" s="2931">
        <v>2.98</v>
      </c>
      <c r="J26" s="2931">
        <v>2.11</v>
      </c>
      <c r="K26" s="2931">
        <v>3.24</v>
      </c>
      <c r="L26" s="298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50">
        <f>ROUND(SUMPRODUCT(PRODUCT(1+N26:N$39)),4)</f>
        <v>1.4034</v>
      </c>
      <c r="Y26" s="2950">
        <f>ROUND(SUMPRODUCT(PRODUCT(1+O26:O$39)),4)</f>
        <v>1.2463</v>
      </c>
      <c r="Z26" s="2950">
        <f t="shared" si="0"/>
        <v>1.2463</v>
      </c>
      <c r="AA26" s="2950">
        <f>ROUND(SUMPRODUCT(PRODUCT(1+P26:P$39)),4)</f>
        <v>1.4577</v>
      </c>
      <c r="AB26" s="295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0"/>
      <c r="H27" s="2969">
        <v>2</v>
      </c>
      <c r="I27" s="2959">
        <v>3.4</v>
      </c>
      <c r="J27" s="2959">
        <v>2</v>
      </c>
      <c r="K27" s="2959">
        <v>3.82</v>
      </c>
      <c r="L27" s="298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7"/>
      <c r="H28" s="2933">
        <v>1</v>
      </c>
      <c r="I28" s="2931">
        <v>3.45</v>
      </c>
      <c r="J28" s="2931">
        <v>1.92</v>
      </c>
      <c r="K28" s="2931">
        <v>3.92</v>
      </c>
      <c r="L28" s="298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3">
        <v>2016</v>
      </c>
      <c r="H29" s="2968">
        <v>4</v>
      </c>
      <c r="I29" s="2958">
        <v>4.5599999999999996</v>
      </c>
      <c r="J29" s="2958">
        <v>2.15</v>
      </c>
      <c r="K29" s="2958">
        <v>5.32</v>
      </c>
      <c r="L29" s="298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0"/>
      <c r="H30" s="2933">
        <v>3</v>
      </c>
      <c r="I30" s="2931">
        <v>4.12</v>
      </c>
      <c r="J30" s="2931">
        <v>2</v>
      </c>
      <c r="K30" s="2931">
        <v>4.79</v>
      </c>
      <c r="L30" s="298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0"/>
      <c r="H31" s="2969">
        <v>2</v>
      </c>
      <c r="I31" s="2959">
        <v>3.85</v>
      </c>
      <c r="J31" s="2959">
        <v>1.95</v>
      </c>
      <c r="K31" s="2959">
        <v>4.4800000000000004</v>
      </c>
      <c r="L31" s="2983">
        <v>1.41</v>
      </c>
      <c r="N31" s="1618">
        <f t="shared" si="248"/>
        <v>3.85E-2</v>
      </c>
      <c r="O31" s="1608">
        <f t="shared" si="243"/>
        <v>1.95E-2</v>
      </c>
      <c r="P31" s="1608">
        <f t="shared" si="243"/>
        <v>4.4800000000000006E-2</v>
      </c>
      <c r="Q31" s="1608">
        <f t="shared" si="243"/>
        <v>1.41E-2</v>
      </c>
      <c r="R31" s="1619"/>
      <c r="S31" s="1618"/>
      <c r="T31" s="1608"/>
      <c r="U31" s="1608"/>
      <c r="V31" s="1608"/>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1"/>
      <c r="H32" s="2933">
        <v>1</v>
      </c>
      <c r="I32" s="2931">
        <v>4.09</v>
      </c>
      <c r="J32" s="2931">
        <v>2.93</v>
      </c>
      <c r="K32" s="2931">
        <v>4.54</v>
      </c>
      <c r="L32" s="298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49">
        <v>2015</v>
      </c>
      <c r="H33" s="2970">
        <v>4</v>
      </c>
      <c r="I33" s="2960">
        <v>1.63</v>
      </c>
      <c r="J33" s="2960">
        <v>1.1100000000000001</v>
      </c>
      <c r="K33" s="2960">
        <v>1.77</v>
      </c>
      <c r="L33" s="2984">
        <v>1.89</v>
      </c>
      <c r="N33" s="1627">
        <f t="shared" si="248"/>
        <v>1.6299999999999999E-2</v>
      </c>
      <c r="O33" s="1628">
        <f t="shared" si="243"/>
        <v>1.11E-2</v>
      </c>
      <c r="P33" s="1628">
        <f t="shared" si="243"/>
        <v>1.77E-2</v>
      </c>
      <c r="Q33" s="1628">
        <f t="shared" si="243"/>
        <v>1.89E-2</v>
      </c>
      <c r="R33" s="1619"/>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0"/>
      <c r="H34" s="2971">
        <v>3</v>
      </c>
      <c r="I34" s="2961">
        <v>1.65</v>
      </c>
      <c r="J34" s="2961">
        <v>0.92</v>
      </c>
      <c r="K34" s="2961">
        <v>1.88</v>
      </c>
      <c r="L34" s="298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0"/>
      <c r="H35" s="2969">
        <v>2</v>
      </c>
      <c r="I35" s="2959">
        <v>0.77</v>
      </c>
      <c r="J35" s="2959">
        <v>0.69</v>
      </c>
      <c r="K35" s="2959">
        <v>0.8</v>
      </c>
      <c r="L35" s="298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1"/>
      <c r="H36" s="2933">
        <v>1</v>
      </c>
      <c r="I36" s="2931">
        <v>0.51</v>
      </c>
      <c r="J36" s="2931">
        <v>0.54</v>
      </c>
      <c r="K36" s="2931">
        <v>0.48</v>
      </c>
      <c r="L36" s="298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49">
        <v>2014</v>
      </c>
      <c r="H37" s="2970">
        <v>4</v>
      </c>
      <c r="I37" s="2960">
        <v>0.21</v>
      </c>
      <c r="J37" s="2960">
        <v>0.41</v>
      </c>
      <c r="K37" s="2960">
        <v>0.12</v>
      </c>
      <c r="L37" s="298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0"/>
      <c r="H38" s="2972">
        <v>3</v>
      </c>
      <c r="I38" s="2962">
        <v>0.83</v>
      </c>
      <c r="J38" s="2962">
        <v>1.47</v>
      </c>
      <c r="K38" s="2962">
        <v>0.65</v>
      </c>
      <c r="L38" s="298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0"/>
      <c r="H39" s="2970">
        <v>2</v>
      </c>
      <c r="I39" s="2960">
        <v>2.4</v>
      </c>
      <c r="J39" s="2960">
        <v>2.0299999999999998</v>
      </c>
      <c r="K39" s="2960">
        <v>2.59</v>
      </c>
      <c r="L39" s="2984">
        <v>1.52</v>
      </c>
      <c r="N39" s="1618">
        <f t="shared" si="248"/>
        <v>2.4E-2</v>
      </c>
      <c r="O39" s="1608">
        <f t="shared" si="243"/>
        <v>2.0299999999999999E-2</v>
      </c>
      <c r="P39" s="1608">
        <f t="shared" si="243"/>
        <v>2.5899999999999999E-2</v>
      </c>
      <c r="Q39" s="1608">
        <f t="shared" si="243"/>
        <v>1.52E-2</v>
      </c>
      <c r="R39" s="1619"/>
      <c r="S39" s="1618"/>
      <c r="T39" s="1608"/>
      <c r="U39" s="1608"/>
      <c r="V39" s="1608"/>
      <c r="X39" s="2950">
        <f>1+N39</f>
        <v>1.024</v>
      </c>
      <c r="Y39" s="2950">
        <f>1+O39</f>
        <v>1.0203</v>
      </c>
      <c r="Z39" s="2950">
        <f t="shared" si="253"/>
        <v>1.0203</v>
      </c>
      <c r="AA39" s="2950">
        <f>1+P39</f>
        <v>1.0259</v>
      </c>
      <c r="AB39" s="295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1"/>
      <c r="H40" s="2973">
        <v>1</v>
      </c>
      <c r="I40" s="2963">
        <v>2.97</v>
      </c>
      <c r="J40" s="2963">
        <v>2.34</v>
      </c>
      <c r="K40" s="2963">
        <v>3.28</v>
      </c>
      <c r="L40" s="298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3">
        <v>1</v>
      </c>
      <c r="Y40" s="2993">
        <v>1</v>
      </c>
      <c r="Z40" s="2993">
        <v>1</v>
      </c>
      <c r="AA40" s="2993">
        <v>1</v>
      </c>
      <c r="AB40" s="2993">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4">
        <v>2013</v>
      </c>
      <c r="H41" s="2974">
        <v>4</v>
      </c>
      <c r="I41" s="2964">
        <v>1.83</v>
      </c>
      <c r="J41" s="2964">
        <v>1.68</v>
      </c>
      <c r="K41" s="2964">
        <v>1.97</v>
      </c>
      <c r="L41" s="298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5"/>
      <c r="H42" s="2971">
        <v>3</v>
      </c>
      <c r="I42" s="2961">
        <v>1.86</v>
      </c>
      <c r="J42" s="2961">
        <v>1.72</v>
      </c>
      <c r="K42" s="2961">
        <v>1.98</v>
      </c>
      <c r="L42" s="298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5"/>
      <c r="H43" s="2969">
        <v>2</v>
      </c>
      <c r="I43" s="2959">
        <v>2.04</v>
      </c>
      <c r="J43" s="2959">
        <v>2.33</v>
      </c>
      <c r="K43" s="2959">
        <v>2.0699999999999998</v>
      </c>
      <c r="L43" s="298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6"/>
      <c r="H44" s="2933">
        <v>1</v>
      </c>
      <c r="I44" s="2931">
        <v>1.67</v>
      </c>
      <c r="J44" s="2931">
        <v>1.31</v>
      </c>
      <c r="K44" s="2931">
        <v>1.85</v>
      </c>
      <c r="L44" s="298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49">
        <v>2012</v>
      </c>
      <c r="H45" s="2970">
        <v>4</v>
      </c>
      <c r="I45" s="2960">
        <v>0.91</v>
      </c>
      <c r="J45" s="2960">
        <v>0.68</v>
      </c>
      <c r="K45" s="2960">
        <v>0.98</v>
      </c>
      <c r="L45" s="298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0"/>
      <c r="H46" s="2971">
        <v>3</v>
      </c>
      <c r="I46" s="2961">
        <v>0.09</v>
      </c>
      <c r="J46" s="2961">
        <v>0.28999999999999998</v>
      </c>
      <c r="K46" s="2961">
        <v>-0.01</v>
      </c>
      <c r="L46" s="298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0"/>
      <c r="H47" s="2969">
        <v>2</v>
      </c>
      <c r="I47" s="2959">
        <v>0.02</v>
      </c>
      <c r="J47" s="2959">
        <v>0.12</v>
      </c>
      <c r="K47" s="2959">
        <v>-0.08</v>
      </c>
      <c r="L47" s="298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1"/>
      <c r="H48" s="2933">
        <v>1</v>
      </c>
      <c r="I48" s="2931">
        <v>0.02</v>
      </c>
      <c r="J48" s="2931">
        <v>0.13</v>
      </c>
      <c r="K48" s="2931">
        <v>-0.04</v>
      </c>
      <c r="L48" s="298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49">
        <v>2011</v>
      </c>
      <c r="H49" s="2970">
        <v>4</v>
      </c>
      <c r="I49" s="2960">
        <v>-0.2</v>
      </c>
      <c r="J49" s="2960">
        <v>0.04</v>
      </c>
      <c r="K49" s="2960">
        <v>-0.34</v>
      </c>
      <c r="L49" s="298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0">
        <v>2011</v>
      </c>
      <c r="H50" s="2971">
        <v>3</v>
      </c>
      <c r="I50" s="2961">
        <v>0.13</v>
      </c>
      <c r="J50" s="2961">
        <v>0.75</v>
      </c>
      <c r="K50" s="2961">
        <v>-0.08</v>
      </c>
      <c r="L50" s="298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0">
        <v>2011</v>
      </c>
      <c r="H51" s="2969">
        <v>2</v>
      </c>
      <c r="I51" s="2959">
        <v>-0.4</v>
      </c>
      <c r="J51" s="2959">
        <v>0.17</v>
      </c>
      <c r="K51" s="2959">
        <v>-0.57999999999999996</v>
      </c>
      <c r="L51" s="298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1">
        <v>2011</v>
      </c>
      <c r="H52" s="2933">
        <v>1</v>
      </c>
      <c r="I52" s="2931">
        <v>2.65</v>
      </c>
      <c r="J52" s="2931">
        <v>3.76</v>
      </c>
      <c r="K52" s="2931">
        <v>1.89</v>
      </c>
      <c r="L52" s="298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49">
        <v>2010</v>
      </c>
      <c r="H53" s="2970">
        <v>4</v>
      </c>
      <c r="I53" s="2960">
        <v>5.72</v>
      </c>
      <c r="J53" s="2960">
        <v>6.57</v>
      </c>
      <c r="K53" s="2960">
        <v>5.72</v>
      </c>
      <c r="L53" s="298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0">
        <v>2010</v>
      </c>
      <c r="H54" s="2971">
        <v>3</v>
      </c>
      <c r="I54" s="2961">
        <v>4.7300000000000004</v>
      </c>
      <c r="J54" s="2961">
        <v>3.9</v>
      </c>
      <c r="K54" s="2961">
        <v>5.03</v>
      </c>
      <c r="L54" s="298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0">
        <v>2010</v>
      </c>
      <c r="H55" s="2969">
        <v>2</v>
      </c>
      <c r="I55" s="2959">
        <v>4.6900000000000004</v>
      </c>
      <c r="J55" s="2959">
        <v>3.55</v>
      </c>
      <c r="K55" s="2959">
        <v>5.07</v>
      </c>
      <c r="L55" s="298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1">
        <v>2010</v>
      </c>
      <c r="H56" s="2933">
        <v>1</v>
      </c>
      <c r="I56" s="2931">
        <v>5.4</v>
      </c>
      <c r="J56" s="2931">
        <v>3.2</v>
      </c>
      <c r="K56" s="2931">
        <v>6.16</v>
      </c>
      <c r="L56" s="298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49">
        <v>2009</v>
      </c>
      <c r="H57" s="2970">
        <v>4</v>
      </c>
      <c r="I57" s="2960">
        <v>2.2999999999999998</v>
      </c>
      <c r="J57" s="2960">
        <v>1.04</v>
      </c>
      <c r="K57" s="2960">
        <v>2.84</v>
      </c>
      <c r="L57" s="298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0">
        <v>2009</v>
      </c>
      <c r="H58" s="2971">
        <v>3</v>
      </c>
      <c r="I58" s="2961">
        <v>2.1</v>
      </c>
      <c r="J58" s="2961">
        <v>1.86</v>
      </c>
      <c r="K58" s="2961">
        <v>2.29</v>
      </c>
      <c r="L58" s="298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0">
        <v>2009</v>
      </c>
      <c r="H59" s="2969">
        <v>2</v>
      </c>
      <c r="I59" s="2959">
        <v>0.86</v>
      </c>
      <c r="J59" s="2959">
        <v>-1.1299999999999999</v>
      </c>
      <c r="K59" s="2959">
        <v>1.79</v>
      </c>
      <c r="L59" s="298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1">
        <v>2009</v>
      </c>
      <c r="H60" s="2933">
        <v>1</v>
      </c>
      <c r="I60" s="2931">
        <v>-2.64</v>
      </c>
      <c r="J60" s="2931">
        <v>-2.5299999999999998</v>
      </c>
      <c r="K60" s="2931">
        <v>-3.02</v>
      </c>
      <c r="L60" s="298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49">
        <v>2008</v>
      </c>
      <c r="H61" s="2970">
        <v>4</v>
      </c>
      <c r="I61" s="2960">
        <v>1.73</v>
      </c>
      <c r="J61" s="2960">
        <v>0.03</v>
      </c>
      <c r="K61" s="2960">
        <v>2.59</v>
      </c>
      <c r="L61" s="298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0">
        <v>2008</v>
      </c>
      <c r="H62" s="2971">
        <v>3</v>
      </c>
      <c r="I62" s="2961">
        <v>1.96</v>
      </c>
      <c r="J62" s="2961">
        <v>2.36</v>
      </c>
      <c r="K62" s="2961">
        <v>1.82</v>
      </c>
      <c r="L62" s="298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0">
        <v>2008</v>
      </c>
      <c r="H63" s="2969">
        <v>2</v>
      </c>
      <c r="I63" s="2959">
        <v>4.93</v>
      </c>
      <c r="J63" s="2959">
        <v>7.38</v>
      </c>
      <c r="K63" s="2959">
        <v>3.98</v>
      </c>
      <c r="L63" s="298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1">
        <v>2008</v>
      </c>
      <c r="H64" s="2975">
        <v>1</v>
      </c>
      <c r="I64" s="2965">
        <v>4.1399999999999997</v>
      </c>
      <c r="J64" s="2965">
        <v>3.45</v>
      </c>
      <c r="K64" s="2965">
        <v>4.95</v>
      </c>
      <c r="L64" s="298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49">
        <v>2007</v>
      </c>
      <c r="H65" s="2976">
        <v>4</v>
      </c>
      <c r="I65" s="2966">
        <v>5.51</v>
      </c>
      <c r="J65" s="2966">
        <v>4.8899999999999997</v>
      </c>
      <c r="K65" s="2966">
        <v>6.43</v>
      </c>
      <c r="L65" s="299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0">
        <v>2007</v>
      </c>
      <c r="H66" s="2971">
        <v>3</v>
      </c>
      <c r="I66" s="2961">
        <v>8.65</v>
      </c>
      <c r="J66" s="2961">
        <v>8.06</v>
      </c>
      <c r="K66" s="2961">
        <v>9.94</v>
      </c>
      <c r="L66" s="298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0">
        <v>2007</v>
      </c>
      <c r="H67" s="2969">
        <v>2</v>
      </c>
      <c r="I67" s="2959">
        <v>3.67</v>
      </c>
      <c r="J67" s="2959">
        <v>2.3199999999999998</v>
      </c>
      <c r="K67" s="2959">
        <v>5.0199999999999996</v>
      </c>
      <c r="L67" s="298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1">
        <v>2007</v>
      </c>
      <c r="H68" s="2933">
        <v>1</v>
      </c>
      <c r="I68" s="2931">
        <v>3.58</v>
      </c>
      <c r="J68" s="2931">
        <v>3.08</v>
      </c>
      <c r="K68" s="2931">
        <v>4.34</v>
      </c>
      <c r="L68" s="298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49">
        <v>2006</v>
      </c>
      <c r="H69" s="2970">
        <v>4</v>
      </c>
      <c r="I69" s="2960">
        <v>3.79</v>
      </c>
      <c r="J69" s="2960">
        <v>2.21</v>
      </c>
      <c r="K69" s="2960">
        <v>5.65</v>
      </c>
      <c r="L69" s="298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0">
        <v>2006</v>
      </c>
      <c r="H70" s="2971">
        <v>3</v>
      </c>
      <c r="I70" s="2961">
        <v>0.92</v>
      </c>
      <c r="J70" s="2961">
        <v>1.08</v>
      </c>
      <c r="K70" s="2961">
        <v>0.73</v>
      </c>
      <c r="L70" s="298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0">
        <v>2006</v>
      </c>
      <c r="H71" s="2969">
        <v>2</v>
      </c>
      <c r="I71" s="2959">
        <v>0.96</v>
      </c>
      <c r="J71" s="2959">
        <v>0.25</v>
      </c>
      <c r="K71" s="2959">
        <v>1.9</v>
      </c>
      <c r="L71" s="298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1">
        <v>2006</v>
      </c>
      <c r="H72" s="2933">
        <v>1</v>
      </c>
      <c r="I72" s="2931">
        <v>2.29</v>
      </c>
      <c r="J72" s="2931">
        <v>3.72</v>
      </c>
      <c r="K72" s="2931">
        <v>0.75</v>
      </c>
      <c r="L72" s="298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49">
        <v>2005</v>
      </c>
      <c r="H73" s="2970">
        <v>4</v>
      </c>
      <c r="I73" s="2960">
        <v>3.29</v>
      </c>
      <c r="J73" s="2960">
        <v>1.44</v>
      </c>
      <c r="K73" s="2960">
        <v>0.66</v>
      </c>
      <c r="L73" s="298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0">
        <v>2005</v>
      </c>
      <c r="H74" s="2971">
        <v>3</v>
      </c>
      <c r="I74" s="2961">
        <v>0.46</v>
      </c>
      <c r="J74" s="2961">
        <v>0.32</v>
      </c>
      <c r="K74" s="2961">
        <v>0.42</v>
      </c>
      <c r="L74" s="298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0">
        <v>2005</v>
      </c>
      <c r="H75" s="2969">
        <v>2</v>
      </c>
      <c r="I75" s="2959">
        <v>0.47</v>
      </c>
      <c r="J75" s="2959">
        <v>0.1</v>
      </c>
      <c r="K75" s="2959">
        <v>0.52</v>
      </c>
      <c r="L75" s="298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1">
        <v>2005</v>
      </c>
      <c r="H76" s="2933">
        <v>1</v>
      </c>
      <c r="I76" s="2931">
        <v>0.43</v>
      </c>
      <c r="J76" s="2931">
        <v>0.37</v>
      </c>
      <c r="K76" s="2931">
        <v>0.37</v>
      </c>
      <c r="L76" s="298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49">
        <v>2004</v>
      </c>
      <c r="H77" s="2970">
        <v>4</v>
      </c>
      <c r="I77" s="2960">
        <v>0.33</v>
      </c>
      <c r="J77" s="2960">
        <v>0.5</v>
      </c>
      <c r="K77" s="2960">
        <v>0.5</v>
      </c>
      <c r="L77" s="298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0">
        <v>2004</v>
      </c>
      <c r="H78" s="2971">
        <v>3</v>
      </c>
      <c r="I78" s="2961">
        <v>0.56000000000000005</v>
      </c>
      <c r="J78" s="2961">
        <v>0.8</v>
      </c>
      <c r="K78" s="2961">
        <v>0.83</v>
      </c>
      <c r="L78" s="298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0">
        <v>2004</v>
      </c>
      <c r="H79" s="2969">
        <v>2</v>
      </c>
      <c r="I79" s="2959">
        <v>1</v>
      </c>
      <c r="J79" s="2959">
        <v>1.5</v>
      </c>
      <c r="K79" s="2959">
        <v>1.5</v>
      </c>
      <c r="L79" s="298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1">
        <v>2004</v>
      </c>
      <c r="H80" s="2975">
        <v>1</v>
      </c>
      <c r="I80" s="2965">
        <v>0.33</v>
      </c>
      <c r="J80" s="2965">
        <v>0.5</v>
      </c>
      <c r="K80" s="2965">
        <v>0.5</v>
      </c>
      <c r="L80" s="298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49">
        <v>2003</v>
      </c>
      <c r="H81" s="297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0">
        <v>2003</v>
      </c>
      <c r="H82" s="297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0">
        <v>2003</v>
      </c>
      <c r="H83" s="2969">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1">
        <v>2003</v>
      </c>
      <c r="H84" s="2977">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49">
        <v>2002</v>
      </c>
      <c r="H85" s="297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0">
        <v>2002</v>
      </c>
      <c r="H86" s="297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0">
        <v>2002</v>
      </c>
      <c r="H87" s="2969">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1">
        <v>2002</v>
      </c>
      <c r="H88" s="2978">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0" t="s">
        <v>2731</v>
      </c>
      <c r="B1" s="4660"/>
      <c r="C1" s="4660"/>
      <c r="D1" s="4660"/>
      <c r="E1" s="4660"/>
      <c r="F1" s="4660"/>
      <c r="G1" s="4661"/>
      <c r="I1" s="2327" t="s">
        <v>2732</v>
      </c>
      <c r="J1" s="2328" t="s">
        <v>2733</v>
      </c>
      <c r="K1" s="2328" t="s">
        <v>2734</v>
      </c>
      <c r="L1" s="2328" t="s">
        <v>2735</v>
      </c>
      <c r="M1" s="2328" t="s">
        <v>2736</v>
      </c>
      <c r="N1" s="2328" t="s">
        <v>2737</v>
      </c>
      <c r="O1" s="2328" t="s">
        <v>2738</v>
      </c>
      <c r="P1" s="2328" t="s">
        <v>2739</v>
      </c>
      <c r="Q1" s="2328" t="s">
        <v>2740</v>
      </c>
      <c r="R1" s="2328" t="s">
        <v>2741</v>
      </c>
      <c r="S1" s="2328" t="s">
        <v>2742</v>
      </c>
      <c r="T1" s="2329" t="s">
        <v>2743</v>
      </c>
    </row>
    <row r="2" spans="1:20" ht="12" thickBot="1">
      <c r="A2" s="2330" t="s">
        <v>2744</v>
      </c>
      <c r="B2" s="2330"/>
      <c r="C2" s="2330"/>
      <c r="D2" s="2330"/>
      <c r="E2" s="2330"/>
      <c r="F2" s="2330"/>
      <c r="G2" s="2331" t="s">
        <v>2745</v>
      </c>
      <c r="I2" s="2332" t="s">
        <v>2746</v>
      </c>
      <c r="J2" s="2332" t="s">
        <v>2747</v>
      </c>
      <c r="K2" s="2332" t="s">
        <v>2748</v>
      </c>
      <c r="L2" s="2332" t="s">
        <v>2749</v>
      </c>
      <c r="M2" s="2332" t="s">
        <v>2750</v>
      </c>
      <c r="N2" s="2332" t="s">
        <v>2751</v>
      </c>
      <c r="O2" s="2332" t="s">
        <v>2752</v>
      </c>
      <c r="P2" s="2332" t="s">
        <v>2753</v>
      </c>
      <c r="Q2" s="2332" t="s">
        <v>2754</v>
      </c>
      <c r="R2" s="2332" t="s">
        <v>2755</v>
      </c>
      <c r="S2" s="2332" t="s">
        <v>2756</v>
      </c>
      <c r="T2" s="2332" t="s">
        <v>2757</v>
      </c>
    </row>
    <row r="3" spans="1:20" s="2338" customFormat="1">
      <c r="A3" s="4658" t="s">
        <v>2758</v>
      </c>
      <c r="B3" s="2333"/>
      <c r="C3" s="2334" t="s">
        <v>2703</v>
      </c>
      <c r="D3" s="2334" t="s">
        <v>2759</v>
      </c>
      <c r="E3" s="2334" t="s">
        <v>2705</v>
      </c>
      <c r="F3" s="2334" t="s">
        <v>2760</v>
      </c>
      <c r="G3" s="2334" t="s">
        <v>2523</v>
      </c>
      <c r="H3" s="2335"/>
      <c r="I3" s="2336" t="s">
        <v>2761</v>
      </c>
      <c r="J3" s="2337" t="s">
        <v>126</v>
      </c>
      <c r="K3" s="2337" t="s">
        <v>127</v>
      </c>
      <c r="L3" s="2336" t="s">
        <v>128</v>
      </c>
      <c r="M3" s="2336" t="s">
        <v>129</v>
      </c>
      <c r="N3" s="2336" t="s">
        <v>130</v>
      </c>
      <c r="O3" s="2336" t="s">
        <v>131</v>
      </c>
      <c r="P3" s="2336" t="s">
        <v>132</v>
      </c>
      <c r="Q3" s="2336" t="s">
        <v>133</v>
      </c>
      <c r="R3" s="2336" t="s">
        <v>134</v>
      </c>
      <c r="S3" s="2336" t="s">
        <v>2762</v>
      </c>
      <c r="T3" s="2336" t="s">
        <v>2763</v>
      </c>
    </row>
    <row r="4" spans="1:20" s="2338" customFormat="1" ht="12" thickBot="1">
      <c r="A4" s="4659"/>
      <c r="B4" s="2339" t="s">
        <v>2764</v>
      </c>
      <c r="C4" s="2339" t="s">
        <v>2765</v>
      </c>
      <c r="D4" s="2339" t="s">
        <v>2765</v>
      </c>
      <c r="E4" s="2339" t="s">
        <v>2765</v>
      </c>
      <c r="F4" s="2340" t="s">
        <v>2765</v>
      </c>
      <c r="G4" s="2340" t="s">
        <v>2765</v>
      </c>
      <c r="H4" s="2335"/>
      <c r="I4" s="2337" t="s">
        <v>135</v>
      </c>
      <c r="J4" s="2337" t="s">
        <v>109</v>
      </c>
      <c r="K4" s="2337" t="s">
        <v>136</v>
      </c>
      <c r="L4" s="2336" t="s">
        <v>137</v>
      </c>
      <c r="M4" s="2336" t="s">
        <v>138</v>
      </c>
      <c r="N4" s="2336" t="s">
        <v>139</v>
      </c>
      <c r="O4" s="2336" t="s">
        <v>140</v>
      </c>
      <c r="P4" s="2336" t="s">
        <v>141</v>
      </c>
      <c r="Q4" s="2336" t="s">
        <v>2766</v>
      </c>
      <c r="R4" s="2336" t="s">
        <v>2767</v>
      </c>
      <c r="S4" s="2336" t="s">
        <v>2768</v>
      </c>
      <c r="T4" s="2336" t="s">
        <v>2769</v>
      </c>
    </row>
    <row r="5" spans="1:20">
      <c r="A5" s="2341" t="s">
        <v>2732</v>
      </c>
      <c r="B5" s="2332" t="s">
        <v>2746</v>
      </c>
      <c r="C5" s="2994">
        <v>34550</v>
      </c>
      <c r="D5" s="2994">
        <v>34470</v>
      </c>
      <c r="E5" s="2994">
        <v>34330</v>
      </c>
      <c r="F5" s="2994">
        <v>13400</v>
      </c>
      <c r="G5" s="2994">
        <v>25450</v>
      </c>
      <c r="H5" s="2335"/>
      <c r="I5" s="2336" t="s">
        <v>143</v>
      </c>
      <c r="J5" s="2337" t="s">
        <v>144</v>
      </c>
      <c r="K5" s="2337" t="s">
        <v>145</v>
      </c>
      <c r="L5" s="2336" t="s">
        <v>146</v>
      </c>
      <c r="M5" s="2336" t="s">
        <v>147</v>
      </c>
      <c r="N5" s="2336" t="s">
        <v>148</v>
      </c>
      <c r="O5" s="2336" t="s">
        <v>149</v>
      </c>
      <c r="P5" s="2336" t="s">
        <v>150</v>
      </c>
      <c r="Q5" s="2336" t="s">
        <v>2770</v>
      </c>
      <c r="R5" s="2336" t="s">
        <v>2771</v>
      </c>
      <c r="S5" s="2336" t="s">
        <v>151</v>
      </c>
      <c r="T5" s="2336" t="s">
        <v>2772</v>
      </c>
    </row>
    <row r="6" spans="1:20" ht="12" thickBot="1">
      <c r="A6" s="2336" t="s">
        <v>142</v>
      </c>
      <c r="B6" s="2336" t="s">
        <v>2761</v>
      </c>
      <c r="C6" s="2995">
        <v>36990</v>
      </c>
      <c r="D6" s="2995">
        <v>36850</v>
      </c>
      <c r="E6" s="2995">
        <v>36700</v>
      </c>
      <c r="F6" s="2995">
        <v>14590</v>
      </c>
      <c r="G6" s="2995">
        <v>27450</v>
      </c>
      <c r="H6" s="2335"/>
      <c r="I6" s="2342" t="s">
        <v>152</v>
      </c>
      <c r="J6" s="2337" t="s">
        <v>153</v>
      </c>
      <c r="K6" s="2337" t="s">
        <v>154</v>
      </c>
      <c r="L6" s="2336" t="s">
        <v>155</v>
      </c>
      <c r="M6" s="2336" t="s">
        <v>156</v>
      </c>
      <c r="N6" s="2336" t="s">
        <v>157</v>
      </c>
      <c r="O6" s="2336" t="s">
        <v>158</v>
      </c>
      <c r="P6" s="2336" t="s">
        <v>2773</v>
      </c>
      <c r="Q6" s="2336" t="s">
        <v>2774</v>
      </c>
      <c r="R6" s="2336" t="s">
        <v>159</v>
      </c>
      <c r="S6" s="2336" t="s">
        <v>2775</v>
      </c>
      <c r="T6" s="2336" t="s">
        <v>2776</v>
      </c>
    </row>
    <row r="7" spans="1:20">
      <c r="A7" s="2336" t="s">
        <v>142</v>
      </c>
      <c r="B7" s="2337" t="s">
        <v>135</v>
      </c>
      <c r="C7" s="2995">
        <v>34850</v>
      </c>
      <c r="D7" s="2995">
        <v>34690</v>
      </c>
      <c r="E7" s="2995">
        <v>34550</v>
      </c>
      <c r="F7" s="2995">
        <v>14360</v>
      </c>
      <c r="G7" s="2995">
        <v>25620</v>
      </c>
      <c r="H7" s="2335"/>
      <c r="J7" s="2337" t="s">
        <v>160</v>
      </c>
      <c r="K7" s="2337" t="s">
        <v>161</v>
      </c>
      <c r="L7" s="2336" t="s">
        <v>162</v>
      </c>
      <c r="M7" s="2336" t="s">
        <v>163</v>
      </c>
      <c r="N7" s="2336" t="s">
        <v>164</v>
      </c>
      <c r="O7" s="2336" t="s">
        <v>165</v>
      </c>
      <c r="P7" s="2336" t="s">
        <v>2777</v>
      </c>
      <c r="Q7" s="2336" t="s">
        <v>2778</v>
      </c>
      <c r="R7" s="2336" t="s">
        <v>2779</v>
      </c>
      <c r="S7" s="2336" t="s">
        <v>2780</v>
      </c>
      <c r="T7" s="2336" t="s">
        <v>2781</v>
      </c>
    </row>
    <row r="8" spans="1:20" ht="12" thickBot="1">
      <c r="A8" s="2336" t="s">
        <v>142</v>
      </c>
      <c r="B8" s="2336" t="s">
        <v>143</v>
      </c>
      <c r="C8" s="2995">
        <v>32630</v>
      </c>
      <c r="D8" s="2995">
        <v>32510</v>
      </c>
      <c r="E8" s="2995">
        <v>32420</v>
      </c>
      <c r="F8" s="2995">
        <v>13300</v>
      </c>
      <c r="G8" s="2995">
        <v>24010</v>
      </c>
      <c r="H8" s="2335"/>
      <c r="J8" s="2337" t="s">
        <v>166</v>
      </c>
      <c r="K8" s="2337" t="s">
        <v>167</v>
      </c>
      <c r="L8" s="2336" t="s">
        <v>168</v>
      </c>
      <c r="M8" s="2336" t="s">
        <v>169</v>
      </c>
      <c r="N8" s="2336" t="s">
        <v>170</v>
      </c>
      <c r="O8" s="2336" t="s">
        <v>171</v>
      </c>
      <c r="P8" s="2336" t="s">
        <v>2782</v>
      </c>
      <c r="Q8" s="2336" t="s">
        <v>172</v>
      </c>
      <c r="R8" s="2336" t="s">
        <v>2783</v>
      </c>
      <c r="S8" s="2336" t="s">
        <v>2784</v>
      </c>
      <c r="T8" s="2343" t="s">
        <v>2785</v>
      </c>
    </row>
    <row r="9" spans="1:20" ht="12" thickBot="1">
      <c r="A9" s="2344" t="s">
        <v>142</v>
      </c>
      <c r="B9" s="2342" t="s">
        <v>152</v>
      </c>
      <c r="C9" s="2996">
        <v>36370</v>
      </c>
      <c r="D9" s="2996">
        <v>36210</v>
      </c>
      <c r="E9" s="2996">
        <v>36050</v>
      </c>
      <c r="F9" s="2996"/>
      <c r="G9" s="2996">
        <v>26740</v>
      </c>
      <c r="H9" s="2335"/>
      <c r="J9" s="2337" t="s">
        <v>173</v>
      </c>
      <c r="K9" s="2337" t="s">
        <v>174</v>
      </c>
      <c r="L9" s="2336" t="s">
        <v>175</v>
      </c>
      <c r="M9" s="2336" t="s">
        <v>176</v>
      </c>
      <c r="N9" s="2336" t="s">
        <v>177</v>
      </c>
      <c r="O9" s="2336" t="s">
        <v>178</v>
      </c>
      <c r="P9" s="2336" t="s">
        <v>2786</v>
      </c>
      <c r="Q9" s="2336" t="s">
        <v>180</v>
      </c>
      <c r="R9" s="2336" t="s">
        <v>181</v>
      </c>
      <c r="S9" s="2336" t="s">
        <v>198</v>
      </c>
    </row>
    <row r="10" spans="1:20">
      <c r="A10" s="2341" t="s">
        <v>182</v>
      </c>
      <c r="B10" s="2332" t="s">
        <v>2747</v>
      </c>
      <c r="C10" s="2995">
        <v>32350</v>
      </c>
      <c r="D10" s="2995">
        <v>31430</v>
      </c>
      <c r="E10" s="2995">
        <v>31320</v>
      </c>
      <c r="F10" s="2995">
        <v>10850</v>
      </c>
      <c r="G10" s="2995">
        <v>22860</v>
      </c>
      <c r="H10" s="2335"/>
      <c r="J10" s="2337" t="s">
        <v>183</v>
      </c>
      <c r="K10" s="2337" t="s">
        <v>184</v>
      </c>
      <c r="L10" s="2336" t="s">
        <v>185</v>
      </c>
      <c r="M10" s="2336" t="s">
        <v>186</v>
      </c>
      <c r="N10" s="2336" t="s">
        <v>187</v>
      </c>
      <c r="O10" s="2336" t="s">
        <v>188</v>
      </c>
      <c r="P10" s="2336" t="s">
        <v>179</v>
      </c>
      <c r="Q10" s="2336" t="s">
        <v>190</v>
      </c>
      <c r="R10" s="2336" t="s">
        <v>191</v>
      </c>
      <c r="S10" s="2336" t="s">
        <v>2787</v>
      </c>
    </row>
    <row r="11" spans="1:20">
      <c r="A11" s="2336" t="s">
        <v>182</v>
      </c>
      <c r="B11" s="2337" t="s">
        <v>126</v>
      </c>
      <c r="C11" s="2995">
        <v>31590</v>
      </c>
      <c r="D11" s="2995">
        <v>29490</v>
      </c>
      <c r="E11" s="2995">
        <v>28700</v>
      </c>
      <c r="F11" s="2995">
        <v>10410</v>
      </c>
      <c r="G11" s="2995">
        <v>21460</v>
      </c>
      <c r="H11" s="2335"/>
      <c r="J11" s="2337" t="s">
        <v>192</v>
      </c>
      <c r="K11" s="2337" t="s">
        <v>193</v>
      </c>
      <c r="L11" s="2336" t="s">
        <v>194</v>
      </c>
      <c r="M11" s="2336" t="s">
        <v>195</v>
      </c>
      <c r="N11" s="2336" t="s">
        <v>196</v>
      </c>
      <c r="O11" s="2336" t="s">
        <v>2788</v>
      </c>
      <c r="P11" s="2336" t="s">
        <v>189</v>
      </c>
      <c r="Q11" s="2336" t="s">
        <v>197</v>
      </c>
      <c r="R11" s="2336" t="s">
        <v>2789</v>
      </c>
      <c r="S11" s="2336" t="s">
        <v>2790</v>
      </c>
    </row>
    <row r="12" spans="1:20">
      <c r="A12" s="2336" t="s">
        <v>182</v>
      </c>
      <c r="B12" s="2337" t="s">
        <v>109</v>
      </c>
      <c r="C12" s="2995">
        <v>29640</v>
      </c>
      <c r="D12" s="2995">
        <v>27550</v>
      </c>
      <c r="E12" s="2995">
        <v>28010</v>
      </c>
      <c r="F12" s="2995">
        <v>8730</v>
      </c>
      <c r="G12" s="2995">
        <v>20050</v>
      </c>
      <c r="H12" s="2335"/>
      <c r="J12" s="2337" t="s">
        <v>199</v>
      </c>
      <c r="K12" s="2337" t="s">
        <v>200</v>
      </c>
      <c r="L12" s="2336" t="s">
        <v>201</v>
      </c>
      <c r="M12" s="2336" t="s">
        <v>202</v>
      </c>
      <c r="N12" s="2336" t="s">
        <v>203</v>
      </c>
      <c r="O12" s="2336" t="s">
        <v>2791</v>
      </c>
      <c r="P12" s="2336" t="s">
        <v>2792</v>
      </c>
      <c r="Q12" s="2336" t="s">
        <v>2793</v>
      </c>
      <c r="R12" s="2336" t="s">
        <v>2794</v>
      </c>
      <c r="S12" s="2336" t="s">
        <v>2795</v>
      </c>
    </row>
    <row r="13" spans="1:20">
      <c r="A13" s="2336" t="s">
        <v>182</v>
      </c>
      <c r="B13" s="2337" t="s">
        <v>144</v>
      </c>
      <c r="C13" s="2995">
        <v>29680</v>
      </c>
      <c r="D13" s="2995">
        <v>27660</v>
      </c>
      <c r="E13" s="2995">
        <v>28210</v>
      </c>
      <c r="F13" s="2995">
        <v>9590</v>
      </c>
      <c r="G13" s="2995">
        <v>20120</v>
      </c>
      <c r="H13" s="2335"/>
      <c r="J13" s="2337" t="s">
        <v>206</v>
      </c>
      <c r="K13" s="2337" t="s">
        <v>207</v>
      </c>
      <c r="L13" s="2336" t="s">
        <v>208</v>
      </c>
      <c r="M13" s="2336" t="s">
        <v>209</v>
      </c>
      <c r="N13" s="2336" t="s">
        <v>210</v>
      </c>
      <c r="O13" s="2336" t="s">
        <v>2796</v>
      </c>
      <c r="P13" s="2336" t="s">
        <v>204</v>
      </c>
      <c r="Q13" s="2336" t="s">
        <v>217</v>
      </c>
      <c r="R13" s="2336" t="s">
        <v>218</v>
      </c>
      <c r="S13" s="2336" t="s">
        <v>212</v>
      </c>
    </row>
    <row r="14" spans="1:20">
      <c r="A14" s="2336" t="s">
        <v>182</v>
      </c>
      <c r="B14" s="2337" t="s">
        <v>153</v>
      </c>
      <c r="C14" s="2995">
        <v>30520</v>
      </c>
      <c r="D14" s="2995">
        <v>29510</v>
      </c>
      <c r="E14" s="2995">
        <v>29400</v>
      </c>
      <c r="F14" s="2995">
        <v>9630</v>
      </c>
      <c r="G14" s="2995">
        <v>21480</v>
      </c>
      <c r="H14" s="2335"/>
      <c r="J14" s="2337" t="s">
        <v>2797</v>
      </c>
      <c r="K14" s="2337" t="s">
        <v>213</v>
      </c>
      <c r="L14" s="2336" t="s">
        <v>214</v>
      </c>
      <c r="M14" s="2336" t="s">
        <v>215</v>
      </c>
      <c r="N14" s="2336" t="s">
        <v>216</v>
      </c>
      <c r="O14" s="2336" t="s">
        <v>238</v>
      </c>
      <c r="P14" s="2336" t="s">
        <v>211</v>
      </c>
      <c r="Q14" s="2336" t="s">
        <v>2798</v>
      </c>
      <c r="R14" s="2336" t="s">
        <v>226</v>
      </c>
      <c r="S14" s="2336" t="s">
        <v>219</v>
      </c>
    </row>
    <row r="15" spans="1:20">
      <c r="A15" s="2336" t="s">
        <v>182</v>
      </c>
      <c r="B15" s="2337" t="s">
        <v>160</v>
      </c>
      <c r="C15" s="2995">
        <v>29090</v>
      </c>
      <c r="D15" s="2995">
        <v>27590</v>
      </c>
      <c r="E15" s="2995">
        <v>28120</v>
      </c>
      <c r="F15" s="2995">
        <v>9110</v>
      </c>
      <c r="G15" s="2995">
        <v>20070</v>
      </c>
      <c r="H15" s="2335"/>
      <c r="J15" s="2337" t="s">
        <v>220</v>
      </c>
      <c r="K15" s="2337" t="s">
        <v>221</v>
      </c>
      <c r="L15" s="2336" t="s">
        <v>222</v>
      </c>
      <c r="M15" s="2336" t="s">
        <v>223</v>
      </c>
      <c r="N15" s="2336" t="s">
        <v>224</v>
      </c>
      <c r="O15" s="2336" t="s">
        <v>2799</v>
      </c>
      <c r="P15" s="2336" t="s">
        <v>2800</v>
      </c>
      <c r="Q15" s="2336" t="s">
        <v>240</v>
      </c>
      <c r="R15" s="2336" t="s">
        <v>2801</v>
      </c>
      <c r="S15" s="2336" t="s">
        <v>227</v>
      </c>
    </row>
    <row r="16" spans="1:20">
      <c r="A16" s="2336" t="s">
        <v>182</v>
      </c>
      <c r="B16" s="2337" t="s">
        <v>166</v>
      </c>
      <c r="C16" s="2995">
        <v>26790</v>
      </c>
      <c r="D16" s="2995">
        <v>30370</v>
      </c>
      <c r="E16" s="2995">
        <v>30240</v>
      </c>
      <c r="F16" s="2995">
        <v>11590</v>
      </c>
      <c r="G16" s="2995">
        <v>22090</v>
      </c>
      <c r="H16" s="2335"/>
      <c r="J16" s="2337" t="s">
        <v>228</v>
      </c>
      <c r="K16" s="2337" t="s">
        <v>229</v>
      </c>
      <c r="L16" s="2336" t="s">
        <v>230</v>
      </c>
      <c r="M16" s="2336" t="s">
        <v>231</v>
      </c>
      <c r="N16" s="2336" t="s">
        <v>232</v>
      </c>
      <c r="O16" s="2336" t="s">
        <v>2802</v>
      </c>
      <c r="P16" s="2336" t="s">
        <v>225</v>
      </c>
      <c r="Q16" s="2336" t="s">
        <v>248</v>
      </c>
      <c r="R16" s="2336" t="s">
        <v>205</v>
      </c>
      <c r="S16" s="2336" t="s">
        <v>2803</v>
      </c>
    </row>
    <row r="17" spans="1:19" ht="14.25" customHeight="1">
      <c r="A17" s="2336" t="s">
        <v>182</v>
      </c>
      <c r="B17" s="2337" t="s">
        <v>173</v>
      </c>
      <c r="C17" s="2995">
        <v>29180</v>
      </c>
      <c r="D17" s="2995">
        <v>27620</v>
      </c>
      <c r="E17" s="2995">
        <v>28180</v>
      </c>
      <c r="F17" s="2995">
        <v>10790</v>
      </c>
      <c r="G17" s="2995">
        <v>20090</v>
      </c>
      <c r="H17" s="2335"/>
      <c r="J17" s="2337" t="s">
        <v>233</v>
      </c>
      <c r="K17" s="2337" t="s">
        <v>234</v>
      </c>
      <c r="L17" s="2336" t="s">
        <v>235</v>
      </c>
      <c r="M17" s="2336" t="s">
        <v>236</v>
      </c>
      <c r="N17" s="2336" t="s">
        <v>237</v>
      </c>
      <c r="O17" s="2336" t="s">
        <v>2804</v>
      </c>
      <c r="P17" s="2336" t="s">
        <v>2805</v>
      </c>
      <c r="Q17" s="2336" t="s">
        <v>254</v>
      </c>
      <c r="R17" s="2336" t="s">
        <v>2806</v>
      </c>
      <c r="S17" s="2336" t="s">
        <v>256</v>
      </c>
    </row>
    <row r="18" spans="1:19" ht="14.25" customHeight="1">
      <c r="A18" s="2336" t="s">
        <v>182</v>
      </c>
      <c r="B18" s="2337" t="s">
        <v>183</v>
      </c>
      <c r="C18" s="2995">
        <v>26840</v>
      </c>
      <c r="D18" s="2995">
        <v>28930</v>
      </c>
      <c r="E18" s="2995">
        <v>28820</v>
      </c>
      <c r="F18" s="2995"/>
      <c r="G18" s="2995">
        <v>21050</v>
      </c>
      <c r="H18" s="2335"/>
      <c r="J18" s="2337" t="s">
        <v>242</v>
      </c>
      <c r="K18" s="2337" t="s">
        <v>243</v>
      </c>
      <c r="L18" s="2336" t="s">
        <v>244</v>
      </c>
      <c r="M18" s="2336" t="s">
        <v>245</v>
      </c>
      <c r="N18" s="2336" t="s">
        <v>246</v>
      </c>
      <c r="O18" s="2336" t="s">
        <v>2807</v>
      </c>
      <c r="P18" s="2336" t="s">
        <v>239</v>
      </c>
      <c r="Q18" s="2336" t="s">
        <v>2808</v>
      </c>
      <c r="R18" s="2336" t="s">
        <v>255</v>
      </c>
      <c r="S18" s="2336" t="s">
        <v>264</v>
      </c>
    </row>
    <row r="19" spans="1:19" ht="14.25" customHeight="1">
      <c r="A19" s="2336" t="s">
        <v>182</v>
      </c>
      <c r="B19" s="2337" t="s">
        <v>192</v>
      </c>
      <c r="C19" s="2995">
        <v>27750</v>
      </c>
      <c r="D19" s="2995">
        <v>26680</v>
      </c>
      <c r="E19" s="2995">
        <v>26590</v>
      </c>
      <c r="F19" s="2995"/>
      <c r="G19" s="2995">
        <v>19420</v>
      </c>
      <c r="H19" s="2335"/>
      <c r="J19" s="2337" t="s">
        <v>249</v>
      </c>
      <c r="K19" s="2337" t="s">
        <v>250</v>
      </c>
      <c r="L19" s="2336" t="s">
        <v>251</v>
      </c>
      <c r="M19" s="2336" t="s">
        <v>252</v>
      </c>
      <c r="N19" s="2336" t="s">
        <v>253</v>
      </c>
      <c r="O19" s="2336" t="s">
        <v>2809</v>
      </c>
      <c r="P19" s="2336" t="s">
        <v>247</v>
      </c>
      <c r="Q19" s="2336" t="s">
        <v>2810</v>
      </c>
      <c r="R19" s="2336" t="s">
        <v>263</v>
      </c>
      <c r="S19" s="2336" t="s">
        <v>2811</v>
      </c>
    </row>
    <row r="20" spans="1:19" ht="14.25" customHeight="1">
      <c r="A20" s="2336" t="s">
        <v>182</v>
      </c>
      <c r="B20" s="2337" t="s">
        <v>199</v>
      </c>
      <c r="C20" s="2995">
        <v>27050</v>
      </c>
      <c r="D20" s="2995">
        <v>29010</v>
      </c>
      <c r="E20" s="2995">
        <v>28910</v>
      </c>
      <c r="F20" s="2995"/>
      <c r="G20" s="2995">
        <v>21110</v>
      </c>
      <c r="J20" s="2337" t="s">
        <v>257</v>
      </c>
      <c r="K20" s="2337" t="s">
        <v>258</v>
      </c>
      <c r="L20" s="2336" t="s">
        <v>259</v>
      </c>
      <c r="M20" s="2336" t="s">
        <v>260</v>
      </c>
      <c r="N20" s="2336" t="s">
        <v>261</v>
      </c>
      <c r="O20" s="2336" t="s">
        <v>2812</v>
      </c>
      <c r="P20" s="2336" t="s">
        <v>2813</v>
      </c>
      <c r="Q20" s="2336" t="s">
        <v>288</v>
      </c>
      <c r="R20" s="2336" t="s">
        <v>2814</v>
      </c>
      <c r="S20" s="2336" t="s">
        <v>275</v>
      </c>
    </row>
    <row r="21" spans="1:19" ht="14.25" customHeight="1" thickBot="1">
      <c r="A21" s="2336" t="s">
        <v>182</v>
      </c>
      <c r="B21" s="2337" t="s">
        <v>206</v>
      </c>
      <c r="C21" s="2995">
        <v>32370</v>
      </c>
      <c r="D21" s="2995">
        <v>26730</v>
      </c>
      <c r="E21" s="2995">
        <v>26640</v>
      </c>
      <c r="F21" s="2995"/>
      <c r="G21" s="2995">
        <v>19440</v>
      </c>
      <c r="J21" s="2343" t="s">
        <v>2815</v>
      </c>
      <c r="K21" s="2337" t="s">
        <v>265</v>
      </c>
      <c r="L21" s="2336" t="s">
        <v>266</v>
      </c>
      <c r="M21" s="2336" t="s">
        <v>267</v>
      </c>
      <c r="N21" s="2336" t="s">
        <v>268</v>
      </c>
      <c r="O21" s="2336" t="s">
        <v>262</v>
      </c>
      <c r="P21" s="2336" t="s">
        <v>281</v>
      </c>
      <c r="Q21" s="2336" t="s">
        <v>291</v>
      </c>
      <c r="R21" s="2336" t="s">
        <v>2816</v>
      </c>
      <c r="S21" s="2343" t="s">
        <v>2817</v>
      </c>
    </row>
    <row r="22" spans="1:19" ht="14.25" customHeight="1">
      <c r="A22" s="2336" t="s">
        <v>182</v>
      </c>
      <c r="B22" s="2337" t="s">
        <v>2797</v>
      </c>
      <c r="C22" s="2995">
        <v>29830</v>
      </c>
      <c r="D22" s="2995">
        <v>27600</v>
      </c>
      <c r="E22" s="2995">
        <v>28150</v>
      </c>
      <c r="F22" s="2995"/>
      <c r="G22" s="2995">
        <v>20080</v>
      </c>
      <c r="K22" s="2337" t="s">
        <v>2818</v>
      </c>
      <c r="L22" s="2336" t="s">
        <v>270</v>
      </c>
      <c r="M22" s="2336" t="s">
        <v>271</v>
      </c>
      <c r="N22" s="2336" t="s">
        <v>272</v>
      </c>
      <c r="O22" s="2336" t="s">
        <v>2819</v>
      </c>
      <c r="P22" s="2336" t="s">
        <v>284</v>
      </c>
      <c r="Q22" s="2336" t="s">
        <v>293</v>
      </c>
      <c r="R22" s="2336" t="s">
        <v>241</v>
      </c>
    </row>
    <row r="23" spans="1:19" ht="14.25" customHeight="1">
      <c r="A23" s="2336" t="s">
        <v>182</v>
      </c>
      <c r="B23" s="2337" t="s">
        <v>220</v>
      </c>
      <c r="C23" s="2995">
        <v>27800</v>
      </c>
      <c r="D23" s="2995">
        <v>26900</v>
      </c>
      <c r="E23" s="2995">
        <v>27170</v>
      </c>
      <c r="F23" s="2995"/>
      <c r="G23" s="2995">
        <v>19570</v>
      </c>
      <c r="K23" s="2337" t="s">
        <v>2820</v>
      </c>
      <c r="L23" s="2336" t="s">
        <v>276</v>
      </c>
      <c r="M23" s="2336" t="s">
        <v>277</v>
      </c>
      <c r="N23" s="2336" t="s">
        <v>2821</v>
      </c>
      <c r="O23" s="2336" t="s">
        <v>2822</v>
      </c>
      <c r="P23" s="2336" t="s">
        <v>287</v>
      </c>
      <c r="Q23" s="2336" t="s">
        <v>296</v>
      </c>
      <c r="R23" s="2336" t="s">
        <v>2823</v>
      </c>
    </row>
    <row r="24" spans="1:19" ht="14.25" customHeight="1">
      <c r="A24" s="2336" t="s">
        <v>182</v>
      </c>
      <c r="B24" s="2337" t="s">
        <v>228</v>
      </c>
      <c r="C24" s="2995">
        <v>27930</v>
      </c>
      <c r="D24" s="2995">
        <v>32260</v>
      </c>
      <c r="E24" s="2995">
        <v>32120</v>
      </c>
      <c r="F24" s="2995"/>
      <c r="G24" s="2995">
        <v>23470</v>
      </c>
      <c r="K24" s="2337" t="s">
        <v>2824</v>
      </c>
      <c r="L24" s="2336" t="s">
        <v>279</v>
      </c>
      <c r="M24" s="2336" t="s">
        <v>280</v>
      </c>
      <c r="N24" s="2336" t="s">
        <v>2825</v>
      </c>
      <c r="O24" s="2336" t="s">
        <v>283</v>
      </c>
      <c r="P24" s="2336" t="s">
        <v>2826</v>
      </c>
      <c r="Q24" s="2345" t="s">
        <v>2827</v>
      </c>
      <c r="R24" s="2336" t="s">
        <v>2828</v>
      </c>
    </row>
    <row r="25" spans="1:19" ht="14.25" customHeight="1">
      <c r="A25" s="2336" t="s">
        <v>182</v>
      </c>
      <c r="B25" s="2337" t="s">
        <v>233</v>
      </c>
      <c r="C25" s="2995">
        <v>32230</v>
      </c>
      <c r="D25" s="2995">
        <v>29640</v>
      </c>
      <c r="E25" s="2995">
        <v>29510</v>
      </c>
      <c r="F25" s="2995"/>
      <c r="G25" s="2995">
        <v>21560</v>
      </c>
      <c r="K25" s="2337" t="s">
        <v>2829</v>
      </c>
      <c r="L25" s="2336" t="s">
        <v>2830</v>
      </c>
      <c r="M25" s="2336" t="s">
        <v>282</v>
      </c>
      <c r="N25" s="2336" t="s">
        <v>290</v>
      </c>
      <c r="O25" s="2336" t="s">
        <v>286</v>
      </c>
      <c r="P25" s="2336" t="s">
        <v>273</v>
      </c>
      <c r="Q25" s="2345" t="s">
        <v>269</v>
      </c>
      <c r="R25" s="2336" t="s">
        <v>2831</v>
      </c>
    </row>
    <row r="26" spans="1:19" ht="14.25" customHeight="1" thickBot="1">
      <c r="A26" s="2336" t="s">
        <v>182</v>
      </c>
      <c r="B26" s="2337" t="s">
        <v>242</v>
      </c>
      <c r="C26" s="2995">
        <v>31690</v>
      </c>
      <c r="D26" s="2995">
        <v>27650</v>
      </c>
      <c r="E26" s="2995">
        <v>28200</v>
      </c>
      <c r="F26" s="2995"/>
      <c r="G26" s="2995">
        <v>20110</v>
      </c>
      <c r="K26" s="2342" t="s">
        <v>2832</v>
      </c>
      <c r="L26" s="2336" t="s">
        <v>2833</v>
      </c>
      <c r="M26" s="2336" t="s">
        <v>285</v>
      </c>
      <c r="N26" s="2336" t="s">
        <v>292</v>
      </c>
      <c r="O26" s="2336" t="s">
        <v>2834</v>
      </c>
      <c r="P26" s="2336" t="s">
        <v>2835</v>
      </c>
      <c r="Q26" s="2345" t="s">
        <v>274</v>
      </c>
      <c r="R26" s="2336" t="s">
        <v>2836</v>
      </c>
    </row>
    <row r="27" spans="1:19" ht="14.25" customHeight="1">
      <c r="A27" s="2336" t="s">
        <v>182</v>
      </c>
      <c r="B27" s="2337" t="s">
        <v>249</v>
      </c>
      <c r="C27" s="2995">
        <v>29610</v>
      </c>
      <c r="D27" s="2995">
        <v>27770</v>
      </c>
      <c r="E27" s="2995">
        <v>28300</v>
      </c>
      <c r="F27" s="2995"/>
      <c r="G27" s="2995">
        <v>20210</v>
      </c>
      <c r="L27" s="2336" t="s">
        <v>2837</v>
      </c>
      <c r="M27" s="2336" t="s">
        <v>289</v>
      </c>
      <c r="N27" s="2336" t="s">
        <v>295</v>
      </c>
      <c r="O27" s="2336" t="s">
        <v>2838</v>
      </c>
      <c r="P27" s="2336" t="s">
        <v>2839</v>
      </c>
      <c r="Q27" s="2336" t="s">
        <v>2840</v>
      </c>
      <c r="R27" s="2336" t="s">
        <v>2841</v>
      </c>
    </row>
    <row r="28" spans="1:19" ht="14.25" customHeight="1">
      <c r="A28" s="2336" t="s">
        <v>182</v>
      </c>
      <c r="B28" s="2337" t="s">
        <v>257</v>
      </c>
      <c r="C28" s="2995"/>
      <c r="D28" s="2995">
        <v>31520</v>
      </c>
      <c r="E28" s="2995">
        <v>31410</v>
      </c>
      <c r="F28" s="2995"/>
      <c r="G28" s="2995">
        <v>22940</v>
      </c>
      <c r="L28" s="2336" t="s">
        <v>2842</v>
      </c>
      <c r="M28" s="2336" t="s">
        <v>2843</v>
      </c>
      <c r="N28" s="2336" t="s">
        <v>2844</v>
      </c>
      <c r="O28" s="2336" t="s">
        <v>2845</v>
      </c>
      <c r="P28" s="2336" t="s">
        <v>2846</v>
      </c>
      <c r="Q28" s="2336" t="s">
        <v>2847</v>
      </c>
      <c r="R28" s="2336" t="s">
        <v>2848</v>
      </c>
    </row>
    <row r="29" spans="1:19" ht="14.25" customHeight="1" thickBot="1">
      <c r="A29" s="2344" t="s">
        <v>182</v>
      </c>
      <c r="B29" s="2346" t="s">
        <v>2815</v>
      </c>
      <c r="C29" s="2997"/>
      <c r="D29" s="2997">
        <v>29460</v>
      </c>
      <c r="E29" s="2997">
        <v>28640</v>
      </c>
      <c r="F29" s="2997"/>
      <c r="G29" s="2997">
        <v>21430</v>
      </c>
      <c r="L29" s="2336" t="s">
        <v>2849</v>
      </c>
      <c r="M29" s="2336" t="s">
        <v>2850</v>
      </c>
      <c r="N29" s="2336" t="s">
        <v>2851</v>
      </c>
      <c r="O29" s="2336" t="s">
        <v>2852</v>
      </c>
      <c r="P29" s="2336" t="s">
        <v>2853</v>
      </c>
      <c r="Q29" s="2336" t="s">
        <v>2854</v>
      </c>
      <c r="R29" s="2336" t="s">
        <v>278</v>
      </c>
    </row>
    <row r="30" spans="1:19" ht="14.25" customHeight="1">
      <c r="A30" s="2341" t="s">
        <v>294</v>
      </c>
      <c r="B30" s="2332" t="s">
        <v>2748</v>
      </c>
      <c r="C30" s="2994">
        <v>26890</v>
      </c>
      <c r="D30" s="2994">
        <v>26770</v>
      </c>
      <c r="E30" s="2994">
        <v>25700</v>
      </c>
      <c r="F30" s="2994">
        <v>8180</v>
      </c>
      <c r="G30" s="2998">
        <v>18740</v>
      </c>
      <c r="L30" s="2336" t="s">
        <v>2855</v>
      </c>
      <c r="M30" s="2336" t="s">
        <v>2856</v>
      </c>
      <c r="N30" s="2336" t="s">
        <v>2857</v>
      </c>
      <c r="O30" s="2336" t="s">
        <v>2858</v>
      </c>
      <c r="P30" s="2336" t="s">
        <v>2859</v>
      </c>
      <c r="Q30" s="2336" t="s">
        <v>2860</v>
      </c>
      <c r="R30" s="2336" t="s">
        <v>2861</v>
      </c>
    </row>
    <row r="31" spans="1:19" ht="14.25" customHeight="1">
      <c r="A31" s="2336" t="s">
        <v>294</v>
      </c>
      <c r="B31" s="2337" t="s">
        <v>127</v>
      </c>
      <c r="C31" s="2995">
        <v>24550</v>
      </c>
      <c r="D31" s="2995">
        <v>23990</v>
      </c>
      <c r="E31" s="2995">
        <v>22930</v>
      </c>
      <c r="F31" s="2995">
        <v>7470</v>
      </c>
      <c r="G31" s="2999">
        <v>16790</v>
      </c>
      <c r="L31" s="2336" t="s">
        <v>2862</v>
      </c>
      <c r="M31" s="2336" t="s">
        <v>2863</v>
      </c>
      <c r="N31" s="2336" t="s">
        <v>2864</v>
      </c>
      <c r="O31" s="2336" t="s">
        <v>2865</v>
      </c>
      <c r="P31" s="2336" t="s">
        <v>2866</v>
      </c>
      <c r="Q31" s="2336" t="s">
        <v>2867</v>
      </c>
      <c r="R31" s="2336" t="s">
        <v>2868</v>
      </c>
    </row>
    <row r="32" spans="1:19" ht="14.25" customHeight="1" thickBot="1">
      <c r="A32" s="2336" t="s">
        <v>294</v>
      </c>
      <c r="B32" s="2337" t="s">
        <v>136</v>
      </c>
      <c r="C32" s="2995">
        <v>27210</v>
      </c>
      <c r="D32" s="2995">
        <v>23240</v>
      </c>
      <c r="E32" s="2995">
        <v>23260</v>
      </c>
      <c r="F32" s="2995">
        <v>7130</v>
      </c>
      <c r="G32" s="2999">
        <v>16270</v>
      </c>
      <c r="L32" s="2336" t="s">
        <v>2869</v>
      </c>
      <c r="M32" s="2336" t="s">
        <v>2870</v>
      </c>
      <c r="N32" s="2336" t="s">
        <v>298</v>
      </c>
      <c r="O32" s="2336" t="s">
        <v>2871</v>
      </c>
      <c r="P32" s="2336" t="s">
        <v>297</v>
      </c>
      <c r="Q32" s="2336" t="s">
        <v>2872</v>
      </c>
      <c r="R32" s="2343" t="s">
        <v>2873</v>
      </c>
    </row>
    <row r="33" spans="1:17" ht="14.25" customHeight="1" thickBot="1">
      <c r="A33" s="2336" t="s">
        <v>294</v>
      </c>
      <c r="B33" s="2337" t="s">
        <v>145</v>
      </c>
      <c r="C33" s="2995">
        <v>27300</v>
      </c>
      <c r="D33" s="2995">
        <v>22980</v>
      </c>
      <c r="E33" s="2995">
        <v>24260</v>
      </c>
      <c r="F33" s="2995">
        <v>5860</v>
      </c>
      <c r="G33" s="2999">
        <v>16090</v>
      </c>
      <c r="L33" s="2343" t="s">
        <v>2874</v>
      </c>
      <c r="M33" s="2336" t="s">
        <v>2875</v>
      </c>
      <c r="N33" s="2336" t="s">
        <v>299</v>
      </c>
      <c r="O33" s="2336" t="s">
        <v>2876</v>
      </c>
      <c r="P33" s="2336" t="s">
        <v>2877</v>
      </c>
      <c r="Q33" s="2336" t="s">
        <v>2878</v>
      </c>
    </row>
    <row r="34" spans="1:17" ht="14.25" customHeight="1">
      <c r="A34" s="2336" t="s">
        <v>294</v>
      </c>
      <c r="B34" s="2337" t="s">
        <v>154</v>
      </c>
      <c r="C34" s="2995">
        <v>23090</v>
      </c>
      <c r="D34" s="2995">
        <v>23390</v>
      </c>
      <c r="E34" s="2995">
        <v>23510</v>
      </c>
      <c r="F34" s="2995">
        <v>6700</v>
      </c>
      <c r="G34" s="2999">
        <v>16370</v>
      </c>
      <c r="M34" s="2336" t="s">
        <v>2879</v>
      </c>
      <c r="N34" s="2336" t="s">
        <v>300</v>
      </c>
      <c r="O34" s="2336" t="s">
        <v>2880</v>
      </c>
      <c r="P34" s="2336" t="s">
        <v>2881</v>
      </c>
      <c r="Q34" s="2336" t="s">
        <v>2882</v>
      </c>
    </row>
    <row r="35" spans="1:17" ht="14.25" customHeight="1">
      <c r="A35" s="2336" t="s">
        <v>294</v>
      </c>
      <c r="B35" s="2337" t="s">
        <v>161</v>
      </c>
      <c r="C35" s="2995">
        <v>27270</v>
      </c>
      <c r="D35" s="2995">
        <v>24270</v>
      </c>
      <c r="E35" s="2995">
        <v>24950</v>
      </c>
      <c r="F35" s="2995">
        <v>6600</v>
      </c>
      <c r="G35" s="2999">
        <v>16990</v>
      </c>
      <c r="M35" s="2336" t="s">
        <v>2883</v>
      </c>
      <c r="N35" s="2336" t="s">
        <v>2884</v>
      </c>
      <c r="O35" s="2336" t="s">
        <v>2885</v>
      </c>
      <c r="P35" s="2336" t="s">
        <v>2886</v>
      </c>
      <c r="Q35" s="2336" t="s">
        <v>2887</v>
      </c>
    </row>
    <row r="36" spans="1:17" ht="14.25" customHeight="1">
      <c r="A36" s="2336" t="s">
        <v>294</v>
      </c>
      <c r="B36" s="2337" t="s">
        <v>167</v>
      </c>
      <c r="C36" s="2995">
        <v>23490</v>
      </c>
      <c r="D36" s="2995">
        <v>23020</v>
      </c>
      <c r="E36" s="2995">
        <v>25230</v>
      </c>
      <c r="F36" s="2995">
        <v>6780</v>
      </c>
      <c r="G36" s="2999">
        <v>16120</v>
      </c>
      <c r="M36" s="2336" t="s">
        <v>2888</v>
      </c>
      <c r="N36" s="2336" t="s">
        <v>2889</v>
      </c>
      <c r="O36" s="2336" t="s">
        <v>2890</v>
      </c>
      <c r="P36" s="2336" t="s">
        <v>2891</v>
      </c>
      <c r="Q36" s="2336" t="s">
        <v>2892</v>
      </c>
    </row>
    <row r="37" spans="1:17" ht="14.25" customHeight="1">
      <c r="A37" s="2336" t="s">
        <v>294</v>
      </c>
      <c r="B37" s="2337" t="s">
        <v>174</v>
      </c>
      <c r="C37" s="2995">
        <v>24380</v>
      </c>
      <c r="D37" s="2995">
        <v>22240</v>
      </c>
      <c r="E37" s="2995">
        <v>25980</v>
      </c>
      <c r="F37" s="2995">
        <v>8160</v>
      </c>
      <c r="G37" s="2999">
        <v>15570</v>
      </c>
      <c r="M37" s="2336" t="s">
        <v>2893</v>
      </c>
      <c r="N37" s="2336" t="s">
        <v>2894</v>
      </c>
      <c r="O37" s="2336" t="s">
        <v>2895</v>
      </c>
      <c r="P37" s="2336" t="s">
        <v>2896</v>
      </c>
      <c r="Q37" s="2336" t="s">
        <v>2897</v>
      </c>
    </row>
    <row r="38" spans="1:17" ht="14.25" customHeight="1">
      <c r="A38" s="2336" t="s">
        <v>294</v>
      </c>
      <c r="B38" s="2337" t="s">
        <v>184</v>
      </c>
      <c r="C38" s="2995">
        <v>23120</v>
      </c>
      <c r="D38" s="2995">
        <v>24630</v>
      </c>
      <c r="E38" s="2995">
        <v>25030</v>
      </c>
      <c r="F38" s="2995">
        <v>7710</v>
      </c>
      <c r="G38" s="2999">
        <v>17240</v>
      </c>
      <c r="M38" s="2336" t="s">
        <v>2898</v>
      </c>
      <c r="N38" s="2336" t="s">
        <v>2899</v>
      </c>
      <c r="O38" s="2336" t="s">
        <v>2900</v>
      </c>
      <c r="P38" s="2336" t="s">
        <v>2901</v>
      </c>
      <c r="Q38" s="2336" t="s">
        <v>2902</v>
      </c>
    </row>
    <row r="39" spans="1:17" ht="14.25" customHeight="1">
      <c r="A39" s="2336" t="s">
        <v>294</v>
      </c>
      <c r="B39" s="2337" t="s">
        <v>193</v>
      </c>
      <c r="C39" s="2995">
        <v>22330</v>
      </c>
      <c r="D39" s="2995">
        <v>21140</v>
      </c>
      <c r="E39" s="2995">
        <v>23970</v>
      </c>
      <c r="F39" s="2995">
        <v>7940</v>
      </c>
      <c r="G39" s="2999">
        <v>14790</v>
      </c>
      <c r="M39" s="2336" t="s">
        <v>2903</v>
      </c>
      <c r="N39" s="2336" t="s">
        <v>2904</v>
      </c>
      <c r="O39" s="2336" t="s">
        <v>2905</v>
      </c>
      <c r="P39" s="2336" t="s">
        <v>2906</v>
      </c>
      <c r="Q39" s="2336" t="s">
        <v>2907</v>
      </c>
    </row>
    <row r="40" spans="1:17" ht="14.25" customHeight="1">
      <c r="A40" s="2336" t="s">
        <v>294</v>
      </c>
      <c r="B40" s="2337" t="s">
        <v>200</v>
      </c>
      <c r="C40" s="2995">
        <v>24740</v>
      </c>
      <c r="D40" s="2995">
        <v>24690</v>
      </c>
      <c r="E40" s="2995">
        <v>22610</v>
      </c>
      <c r="F40" s="2995"/>
      <c r="G40" s="2999">
        <v>17280</v>
      </c>
      <c r="M40" s="2336" t="s">
        <v>2908</v>
      </c>
      <c r="N40" s="2336" t="s">
        <v>2909</v>
      </c>
      <c r="O40" s="2336" t="s">
        <v>2910</v>
      </c>
      <c r="P40" s="2336" t="s">
        <v>2911</v>
      </c>
      <c r="Q40" s="2336" t="s">
        <v>2912</v>
      </c>
    </row>
    <row r="41" spans="1:17" ht="14.25" customHeight="1" thickBot="1">
      <c r="A41" s="2336" t="s">
        <v>294</v>
      </c>
      <c r="B41" s="2337" t="s">
        <v>207</v>
      </c>
      <c r="C41" s="2995">
        <v>21220</v>
      </c>
      <c r="D41" s="2995">
        <v>21120</v>
      </c>
      <c r="E41" s="2995">
        <v>22590</v>
      </c>
      <c r="F41" s="2995"/>
      <c r="G41" s="2999">
        <v>14780</v>
      </c>
      <c r="M41" s="2343" t="s">
        <v>2913</v>
      </c>
      <c r="N41" s="2336" t="s">
        <v>2914</v>
      </c>
      <c r="O41" s="2336" t="s">
        <v>2915</v>
      </c>
      <c r="P41" s="2336" t="s">
        <v>2916</v>
      </c>
      <c r="Q41" s="2336" t="s">
        <v>2917</v>
      </c>
    </row>
    <row r="42" spans="1:17" ht="14.25" customHeight="1">
      <c r="A42" s="2336" t="s">
        <v>294</v>
      </c>
      <c r="B42" s="2337" t="s">
        <v>213</v>
      </c>
      <c r="C42" s="2995">
        <v>24800</v>
      </c>
      <c r="D42" s="2995">
        <v>22280</v>
      </c>
      <c r="E42" s="2995">
        <v>24350</v>
      </c>
      <c r="F42" s="2995"/>
      <c r="G42" s="2999">
        <v>15590</v>
      </c>
      <c r="N42" s="2336" t="s">
        <v>2918</v>
      </c>
      <c r="O42" s="2336" t="s">
        <v>2919</v>
      </c>
      <c r="P42" s="2336" t="s">
        <v>2920</v>
      </c>
      <c r="Q42" s="2336" t="s">
        <v>2921</v>
      </c>
    </row>
    <row r="43" spans="1:17" ht="14.25" customHeight="1">
      <c r="A43" s="2336" t="s">
        <v>2922</v>
      </c>
      <c r="B43" s="2337" t="s">
        <v>221</v>
      </c>
      <c r="C43" s="2995">
        <v>21210</v>
      </c>
      <c r="D43" s="2995">
        <v>21160</v>
      </c>
      <c r="E43" s="2995">
        <v>22650</v>
      </c>
      <c r="F43" s="2995"/>
      <c r="G43" s="2999">
        <v>14800</v>
      </c>
      <c r="N43" s="2336" t="s">
        <v>2923</v>
      </c>
      <c r="O43" s="2336" t="s">
        <v>2924</v>
      </c>
      <c r="P43" s="2336" t="s">
        <v>2925</v>
      </c>
      <c r="Q43" s="2336" t="s">
        <v>2926</v>
      </c>
    </row>
    <row r="44" spans="1:17" ht="14.25" customHeight="1" thickBot="1">
      <c r="A44" s="2336" t="s">
        <v>294</v>
      </c>
      <c r="B44" s="2337" t="s">
        <v>229</v>
      </c>
      <c r="C44" s="2995">
        <v>22370</v>
      </c>
      <c r="D44" s="2995">
        <v>23140</v>
      </c>
      <c r="E44" s="2995">
        <v>25090</v>
      </c>
      <c r="F44" s="2995"/>
      <c r="G44" s="2999">
        <v>16190</v>
      </c>
      <c r="N44" s="2336" t="s">
        <v>2927</v>
      </c>
      <c r="O44" s="2336" t="s">
        <v>2928</v>
      </c>
      <c r="P44" s="2343" t="s">
        <v>2929</v>
      </c>
      <c r="Q44" s="2336" t="s">
        <v>2930</v>
      </c>
    </row>
    <row r="45" spans="1:17" ht="14.25" customHeight="1" thickBot="1">
      <c r="A45" s="2336" t="s">
        <v>294</v>
      </c>
      <c r="B45" s="2337" t="s">
        <v>234</v>
      </c>
      <c r="C45" s="2995">
        <v>21240</v>
      </c>
      <c r="D45" s="2995">
        <v>27050</v>
      </c>
      <c r="E45" s="2995">
        <v>28000</v>
      </c>
      <c r="F45" s="2995"/>
      <c r="G45" s="2999">
        <v>18940</v>
      </c>
      <c r="N45" s="2336" t="s">
        <v>2931</v>
      </c>
      <c r="O45" s="2343" t="s">
        <v>2932</v>
      </c>
      <c r="Q45" s="2336" t="s">
        <v>2933</v>
      </c>
    </row>
    <row r="46" spans="1:17" ht="14.25" customHeight="1">
      <c r="A46" s="2336" t="s">
        <v>294</v>
      </c>
      <c r="B46" s="2337" t="s">
        <v>243</v>
      </c>
      <c r="C46" s="2995">
        <v>23240</v>
      </c>
      <c r="D46" s="2995">
        <v>23000</v>
      </c>
      <c r="E46" s="2995">
        <v>24980</v>
      </c>
      <c r="F46" s="2995"/>
      <c r="G46" s="2999">
        <v>16100</v>
      </c>
      <c r="N46" s="2336" t="s">
        <v>2934</v>
      </c>
      <c r="Q46" s="2336" t="s">
        <v>2935</v>
      </c>
    </row>
    <row r="47" spans="1:17" ht="14.25" customHeight="1">
      <c r="A47" s="2336" t="s">
        <v>294</v>
      </c>
      <c r="B47" s="2337" t="s">
        <v>250</v>
      </c>
      <c r="C47" s="2995">
        <v>27150</v>
      </c>
      <c r="D47" s="2995">
        <v>23310</v>
      </c>
      <c r="E47" s="2995">
        <v>25150</v>
      </c>
      <c r="F47" s="2995"/>
      <c r="G47" s="2999">
        <v>16310</v>
      </c>
      <c r="N47" s="2336" t="s">
        <v>2936</v>
      </c>
      <c r="Q47" s="2336" t="s">
        <v>2937</v>
      </c>
    </row>
    <row r="48" spans="1:17" ht="14.25" customHeight="1">
      <c r="A48" s="2336" t="s">
        <v>294</v>
      </c>
      <c r="B48" s="2337" t="s">
        <v>258</v>
      </c>
      <c r="C48" s="2995">
        <v>23100</v>
      </c>
      <c r="D48" s="2995">
        <v>21110</v>
      </c>
      <c r="E48" s="2995">
        <v>23080</v>
      </c>
      <c r="F48" s="2995"/>
      <c r="G48" s="2999">
        <v>14780</v>
      </c>
      <c r="N48" s="2336" t="s">
        <v>2938</v>
      </c>
      <c r="Q48" s="2336" t="s">
        <v>2939</v>
      </c>
    </row>
    <row r="49" spans="1:17" ht="14.25" customHeight="1">
      <c r="A49" s="2336" t="s">
        <v>294</v>
      </c>
      <c r="B49" s="2337" t="s">
        <v>265</v>
      </c>
      <c r="C49" s="2995">
        <v>23400</v>
      </c>
      <c r="D49" s="2995">
        <v>22920</v>
      </c>
      <c r="E49" s="2995">
        <v>24900</v>
      </c>
      <c r="F49" s="2995"/>
      <c r="G49" s="2999">
        <v>16040</v>
      </c>
      <c r="N49" s="2336" t="s">
        <v>2940</v>
      </c>
      <c r="Q49" s="2336" t="s">
        <v>2941</v>
      </c>
    </row>
    <row r="50" spans="1:17" ht="14.25" customHeight="1">
      <c r="A50" s="2336" t="s">
        <v>294</v>
      </c>
      <c r="B50" s="2337" t="s">
        <v>2818</v>
      </c>
      <c r="C50" s="2995">
        <v>21200</v>
      </c>
      <c r="D50" s="2995">
        <v>26540</v>
      </c>
      <c r="E50" s="2995">
        <v>23200</v>
      </c>
      <c r="F50" s="2995"/>
      <c r="G50" s="2999">
        <v>18580</v>
      </c>
      <c r="N50" s="2336" t="s">
        <v>2942</v>
      </c>
      <c r="Q50" s="2337" t="s">
        <v>2943</v>
      </c>
    </row>
    <row r="51" spans="1:17" ht="14.25" customHeight="1" thickBot="1">
      <c r="A51" s="2336" t="s">
        <v>294</v>
      </c>
      <c r="B51" s="2337" t="s">
        <v>2820</v>
      </c>
      <c r="C51" s="2995">
        <v>23000</v>
      </c>
      <c r="D51" s="2995">
        <v>23460</v>
      </c>
      <c r="E51" s="2995">
        <v>25290</v>
      </c>
      <c r="F51" s="2995"/>
      <c r="G51" s="2999">
        <v>16420</v>
      </c>
      <c r="N51" s="2336" t="s">
        <v>2944</v>
      </c>
      <c r="Q51" s="2343" t="s">
        <v>2945</v>
      </c>
    </row>
    <row r="52" spans="1:17" ht="14.25" customHeight="1">
      <c r="A52" s="2336" t="s">
        <v>294</v>
      </c>
      <c r="B52" s="2337" t="s">
        <v>2824</v>
      </c>
      <c r="C52" s="2995">
        <v>26660</v>
      </c>
      <c r="D52" s="2995">
        <v>22350</v>
      </c>
      <c r="E52" s="2995">
        <v>22920</v>
      </c>
      <c r="F52" s="2995"/>
      <c r="G52" s="2999">
        <v>15640</v>
      </c>
      <c r="N52" s="2336" t="s">
        <v>2946</v>
      </c>
    </row>
    <row r="53" spans="1:17" ht="14.25" customHeight="1">
      <c r="A53" s="2336" t="s">
        <v>294</v>
      </c>
      <c r="B53" s="2337" t="s">
        <v>2829</v>
      </c>
      <c r="C53" s="2995">
        <v>23580</v>
      </c>
      <c r="D53" s="2995"/>
      <c r="E53" s="2995">
        <v>24280</v>
      </c>
      <c r="F53" s="2995"/>
      <c r="G53" s="2999"/>
      <c r="N53" s="2336" t="s">
        <v>2947</v>
      </c>
    </row>
    <row r="54" spans="1:17" ht="14.25" customHeight="1" thickBot="1">
      <c r="A54" s="2348" t="s">
        <v>294</v>
      </c>
      <c r="B54" s="2342" t="s">
        <v>2832</v>
      </c>
      <c r="C54" s="2996">
        <v>22460</v>
      </c>
      <c r="D54" s="2996"/>
      <c r="E54" s="2996"/>
      <c r="F54" s="2996"/>
      <c r="G54" s="3000"/>
      <c r="N54" s="2336" t="s">
        <v>2948</v>
      </c>
    </row>
    <row r="55" spans="1:17" ht="14.25" customHeight="1">
      <c r="A55" s="2341" t="s">
        <v>108</v>
      </c>
      <c r="B55" s="2332" t="s">
        <v>2949</v>
      </c>
      <c r="C55" s="2995">
        <v>21970</v>
      </c>
      <c r="D55" s="2995">
        <v>20370</v>
      </c>
      <c r="E55" s="2995">
        <v>20180</v>
      </c>
      <c r="F55" s="2995">
        <v>5730</v>
      </c>
      <c r="G55" s="2995">
        <v>13820</v>
      </c>
      <c r="N55" s="2336" t="s">
        <v>2950</v>
      </c>
    </row>
    <row r="56" spans="1:17" ht="14.25" customHeight="1">
      <c r="A56" s="2336" t="s">
        <v>108</v>
      </c>
      <c r="B56" s="2336" t="s">
        <v>128</v>
      </c>
      <c r="C56" s="2995">
        <v>20470</v>
      </c>
      <c r="D56" s="2995">
        <v>20700</v>
      </c>
      <c r="E56" s="2995">
        <v>20380</v>
      </c>
      <c r="F56" s="2995">
        <v>4760</v>
      </c>
      <c r="G56" s="2995">
        <v>14050</v>
      </c>
      <c r="N56" s="2336" t="s">
        <v>2951</v>
      </c>
    </row>
    <row r="57" spans="1:17" ht="14.25" customHeight="1">
      <c r="A57" s="2336" t="s">
        <v>108</v>
      </c>
      <c r="B57" s="2336" t="s">
        <v>137</v>
      </c>
      <c r="C57" s="2995">
        <v>20790</v>
      </c>
      <c r="D57" s="2995">
        <v>21370</v>
      </c>
      <c r="E57" s="2995">
        <v>20890</v>
      </c>
      <c r="F57" s="2995">
        <v>4910</v>
      </c>
      <c r="G57" s="2995">
        <v>14510</v>
      </c>
      <c r="N57" s="2336" t="s">
        <v>2952</v>
      </c>
    </row>
    <row r="58" spans="1:17" ht="14.25" customHeight="1">
      <c r="A58" s="2336" t="s">
        <v>108</v>
      </c>
      <c r="B58" s="2336" t="s">
        <v>146</v>
      </c>
      <c r="C58" s="2995">
        <v>21460</v>
      </c>
      <c r="D58" s="2995">
        <v>20920</v>
      </c>
      <c r="E58" s="2995">
        <v>23410</v>
      </c>
      <c r="F58" s="2995">
        <v>5100</v>
      </c>
      <c r="G58" s="2995">
        <v>14200</v>
      </c>
      <c r="N58" s="2336" t="s">
        <v>2953</v>
      </c>
    </row>
    <row r="59" spans="1:17" ht="14.25" customHeight="1">
      <c r="A59" s="2336" t="s">
        <v>108</v>
      </c>
      <c r="B59" s="2336" t="s">
        <v>155</v>
      </c>
      <c r="C59" s="2995">
        <v>21000</v>
      </c>
      <c r="D59" s="2995">
        <v>21550</v>
      </c>
      <c r="E59" s="2995">
        <v>21150</v>
      </c>
      <c r="F59" s="2995">
        <v>5250</v>
      </c>
      <c r="G59" s="2995">
        <v>14630</v>
      </c>
      <c r="N59" s="2336" t="s">
        <v>2954</v>
      </c>
    </row>
    <row r="60" spans="1:17" ht="14.25" customHeight="1">
      <c r="A60" s="2336" t="s">
        <v>108</v>
      </c>
      <c r="B60" s="2336" t="s">
        <v>162</v>
      </c>
      <c r="C60" s="2995">
        <v>21640</v>
      </c>
      <c r="D60" s="2995">
        <v>21260</v>
      </c>
      <c r="E60" s="2995">
        <v>24040</v>
      </c>
      <c r="F60" s="2995">
        <v>4470</v>
      </c>
      <c r="G60" s="2995">
        <v>14430</v>
      </c>
      <c r="N60" s="2336" t="s">
        <v>2955</v>
      </c>
    </row>
    <row r="61" spans="1:17" ht="14.25" customHeight="1">
      <c r="A61" s="2336" t="s">
        <v>108</v>
      </c>
      <c r="B61" s="2336" t="s">
        <v>168</v>
      </c>
      <c r="C61" s="2995">
        <v>21330</v>
      </c>
      <c r="D61" s="2995">
        <v>18640</v>
      </c>
      <c r="E61" s="2995">
        <v>21190</v>
      </c>
      <c r="F61" s="2995">
        <v>4180</v>
      </c>
      <c r="G61" s="2995">
        <v>12650</v>
      </c>
      <c r="N61" s="2336" t="s">
        <v>2956</v>
      </c>
    </row>
    <row r="62" spans="1:17" ht="14.25" customHeight="1">
      <c r="A62" s="2336" t="s">
        <v>108</v>
      </c>
      <c r="B62" s="2336" t="s">
        <v>175</v>
      </c>
      <c r="C62" s="2995">
        <v>18710</v>
      </c>
      <c r="D62" s="2995">
        <v>19400</v>
      </c>
      <c r="E62" s="2995">
        <v>23750</v>
      </c>
      <c r="F62" s="2995">
        <v>4860</v>
      </c>
      <c r="G62" s="2995">
        <v>13170</v>
      </c>
      <c r="N62" s="2336" t="s">
        <v>2957</v>
      </c>
    </row>
    <row r="63" spans="1:17" ht="14.25" customHeight="1">
      <c r="A63" s="2336" t="s">
        <v>108</v>
      </c>
      <c r="B63" s="2336" t="s">
        <v>185</v>
      </c>
      <c r="C63" s="2995">
        <v>19480</v>
      </c>
      <c r="D63" s="2995">
        <v>16830</v>
      </c>
      <c r="E63" s="2995">
        <v>21590</v>
      </c>
      <c r="F63" s="2995">
        <v>4560</v>
      </c>
      <c r="G63" s="2995">
        <v>11420</v>
      </c>
      <c r="N63" s="2336" t="s">
        <v>2958</v>
      </c>
    </row>
    <row r="64" spans="1:17" ht="14.25" customHeight="1" thickBot="1">
      <c r="A64" s="2336" t="s">
        <v>108</v>
      </c>
      <c r="B64" s="2336" t="s">
        <v>194</v>
      </c>
      <c r="C64" s="2995">
        <v>16920</v>
      </c>
      <c r="D64" s="2995">
        <v>19190</v>
      </c>
      <c r="E64" s="2995">
        <v>22200</v>
      </c>
      <c r="F64" s="2995">
        <v>4390</v>
      </c>
      <c r="G64" s="2995">
        <v>13030</v>
      </c>
      <c r="N64" s="2343" t="s">
        <v>2959</v>
      </c>
    </row>
    <row r="65" spans="1:7" s="2201" customFormat="1" ht="14.25" customHeight="1">
      <c r="A65" s="2336" t="s">
        <v>108</v>
      </c>
      <c r="B65" s="2336" t="s">
        <v>201</v>
      </c>
      <c r="C65" s="2995">
        <v>19290</v>
      </c>
      <c r="D65" s="2995">
        <v>17020</v>
      </c>
      <c r="E65" s="2995">
        <v>19880</v>
      </c>
      <c r="F65" s="2995">
        <v>4070</v>
      </c>
      <c r="G65" s="2995">
        <v>11550</v>
      </c>
    </row>
    <row r="66" spans="1:7" s="2201" customFormat="1" ht="14.25" customHeight="1">
      <c r="A66" s="2336" t="s">
        <v>108</v>
      </c>
      <c r="B66" s="2336" t="s">
        <v>208</v>
      </c>
      <c r="C66" s="2995">
        <v>17090</v>
      </c>
      <c r="D66" s="2995">
        <v>18340</v>
      </c>
      <c r="E66" s="2995">
        <v>21830</v>
      </c>
      <c r="F66" s="2995">
        <v>4690</v>
      </c>
      <c r="G66" s="2995">
        <v>12450</v>
      </c>
    </row>
    <row r="67" spans="1:7" s="2201" customFormat="1" ht="14.25" customHeight="1">
      <c r="A67" s="2336" t="s">
        <v>108</v>
      </c>
      <c r="B67" s="2336" t="s">
        <v>214</v>
      </c>
      <c r="C67" s="2995">
        <v>18420</v>
      </c>
      <c r="D67" s="2995">
        <v>16360</v>
      </c>
      <c r="E67" s="2995">
        <v>20020</v>
      </c>
      <c r="F67" s="2995">
        <v>5150</v>
      </c>
      <c r="G67" s="2995">
        <v>11110</v>
      </c>
    </row>
    <row r="68" spans="1:7" s="2201" customFormat="1" ht="14.25" customHeight="1">
      <c r="A68" s="2336" t="s">
        <v>108</v>
      </c>
      <c r="B68" s="2336" t="s">
        <v>222</v>
      </c>
      <c r="C68" s="2995">
        <v>16450</v>
      </c>
      <c r="D68" s="2995">
        <v>18430</v>
      </c>
      <c r="E68" s="2995">
        <v>21010</v>
      </c>
      <c r="F68" s="2995">
        <v>4720</v>
      </c>
      <c r="G68" s="2995">
        <v>12510</v>
      </c>
    </row>
    <row r="69" spans="1:7" s="2201" customFormat="1" ht="14.25" customHeight="1">
      <c r="A69" s="2336" t="s">
        <v>108</v>
      </c>
      <c r="B69" s="2336" t="s">
        <v>230</v>
      </c>
      <c r="C69" s="2995">
        <v>18510</v>
      </c>
      <c r="D69" s="2995">
        <v>16300</v>
      </c>
      <c r="E69" s="2995">
        <v>18830</v>
      </c>
      <c r="F69" s="2995">
        <v>5400</v>
      </c>
      <c r="G69" s="2995">
        <v>11070</v>
      </c>
    </row>
    <row r="70" spans="1:7" s="2201" customFormat="1" ht="14.25" customHeight="1">
      <c r="A70" s="2336" t="s">
        <v>108</v>
      </c>
      <c r="B70" s="2336" t="s">
        <v>235</v>
      </c>
      <c r="C70" s="2995">
        <v>16370</v>
      </c>
      <c r="D70" s="2995">
        <v>18620</v>
      </c>
      <c r="E70" s="2995">
        <v>21100</v>
      </c>
      <c r="F70" s="2995">
        <v>5700</v>
      </c>
      <c r="G70" s="2995">
        <v>12640</v>
      </c>
    </row>
    <row r="71" spans="1:7" s="2201" customFormat="1" ht="14.25" customHeight="1">
      <c r="A71" s="2336" t="s">
        <v>108</v>
      </c>
      <c r="B71" s="2336" t="s">
        <v>244</v>
      </c>
      <c r="C71" s="2995">
        <v>18700</v>
      </c>
      <c r="D71" s="2995">
        <v>16290</v>
      </c>
      <c r="E71" s="2995">
        <v>18760</v>
      </c>
      <c r="F71" s="2995">
        <v>4780</v>
      </c>
      <c r="G71" s="2995">
        <v>11050</v>
      </c>
    </row>
    <row r="72" spans="1:7" s="2201" customFormat="1" ht="14.25" customHeight="1">
      <c r="A72" s="2336" t="s">
        <v>108</v>
      </c>
      <c r="B72" s="2336" t="s">
        <v>251</v>
      </c>
      <c r="C72" s="2995">
        <v>16340</v>
      </c>
      <c r="D72" s="2995">
        <v>17520</v>
      </c>
      <c r="E72" s="2995">
        <v>21170</v>
      </c>
      <c r="F72" s="2995"/>
      <c r="G72" s="2995">
        <v>11900</v>
      </c>
    </row>
    <row r="73" spans="1:7" s="2201" customFormat="1" ht="14.25" customHeight="1">
      <c r="A73" s="2336" t="s">
        <v>108</v>
      </c>
      <c r="B73" s="2336" t="s">
        <v>259</v>
      </c>
      <c r="C73" s="2995">
        <v>17610</v>
      </c>
      <c r="D73" s="2995">
        <v>18520</v>
      </c>
      <c r="E73" s="2995">
        <v>18720</v>
      </c>
      <c r="F73" s="2995"/>
      <c r="G73" s="2995">
        <v>12570</v>
      </c>
    </row>
    <row r="74" spans="1:7" s="2201" customFormat="1" ht="14.25" customHeight="1">
      <c r="A74" s="2336" t="s">
        <v>108</v>
      </c>
      <c r="B74" s="2336" t="s">
        <v>266</v>
      </c>
      <c r="C74" s="2995">
        <v>18600</v>
      </c>
      <c r="D74" s="2995">
        <v>16480</v>
      </c>
      <c r="E74" s="2995">
        <v>20100</v>
      </c>
      <c r="F74" s="2995"/>
      <c r="G74" s="2995">
        <v>11190</v>
      </c>
    </row>
    <row r="75" spans="1:7" s="2201" customFormat="1" ht="14.25" customHeight="1">
      <c r="A75" s="2336" t="s">
        <v>108</v>
      </c>
      <c r="B75" s="2336" t="s">
        <v>270</v>
      </c>
      <c r="C75" s="2995">
        <v>16570</v>
      </c>
      <c r="D75" s="2995">
        <v>17530</v>
      </c>
      <c r="E75" s="2995">
        <v>21030</v>
      </c>
      <c r="F75" s="2995"/>
      <c r="G75" s="2995">
        <v>11900</v>
      </c>
    </row>
    <row r="76" spans="1:7" s="2201" customFormat="1" ht="14.25" customHeight="1">
      <c r="A76" s="2336" t="s">
        <v>108</v>
      </c>
      <c r="B76" s="2336" t="s">
        <v>276</v>
      </c>
      <c r="C76" s="2995">
        <v>17610</v>
      </c>
      <c r="D76" s="2995">
        <v>20800</v>
      </c>
      <c r="E76" s="2995">
        <v>18920</v>
      </c>
      <c r="F76" s="2995"/>
      <c r="G76" s="2995">
        <v>14120</v>
      </c>
    </row>
    <row r="77" spans="1:7" s="2201" customFormat="1" ht="14.25" customHeight="1">
      <c r="A77" s="2336" t="s">
        <v>108</v>
      </c>
      <c r="B77" s="2336" t="s">
        <v>279</v>
      </c>
      <c r="C77" s="2995">
        <v>20890</v>
      </c>
      <c r="D77" s="2995">
        <v>19740</v>
      </c>
      <c r="E77" s="2995">
        <v>20110</v>
      </c>
      <c r="F77" s="2995"/>
      <c r="G77" s="2995">
        <v>13400</v>
      </c>
    </row>
    <row r="78" spans="1:7" s="2201" customFormat="1" ht="14.25" customHeight="1">
      <c r="A78" s="2336" t="s">
        <v>108</v>
      </c>
      <c r="B78" s="2336" t="s">
        <v>2830</v>
      </c>
      <c r="C78" s="2995">
        <v>19820</v>
      </c>
      <c r="D78" s="2995">
        <v>19780</v>
      </c>
      <c r="E78" s="2995">
        <v>18560</v>
      </c>
      <c r="F78" s="2995"/>
      <c r="G78" s="2995">
        <v>13430</v>
      </c>
    </row>
    <row r="79" spans="1:7" s="2201" customFormat="1" ht="14.25" customHeight="1">
      <c r="A79" s="2336" t="s">
        <v>108</v>
      </c>
      <c r="B79" s="2336" t="s">
        <v>2833</v>
      </c>
      <c r="C79" s="2995">
        <v>21660</v>
      </c>
      <c r="D79" s="2995">
        <v>18000</v>
      </c>
      <c r="E79" s="2995">
        <v>22570</v>
      </c>
      <c r="F79" s="2995"/>
      <c r="G79" s="2995">
        <v>12220</v>
      </c>
    </row>
    <row r="80" spans="1:7" s="2201" customFormat="1" ht="14.25" customHeight="1">
      <c r="A80" s="2336" t="s">
        <v>108</v>
      </c>
      <c r="B80" s="2336" t="s">
        <v>2837</v>
      </c>
      <c r="C80" s="2995">
        <v>19850</v>
      </c>
      <c r="D80" s="2995"/>
      <c r="E80" s="2995">
        <v>21700</v>
      </c>
      <c r="F80" s="2995"/>
      <c r="G80" s="2995"/>
    </row>
    <row r="81" spans="1:7" s="2201" customFormat="1" ht="14.25" customHeight="1">
      <c r="A81" s="2336" t="s">
        <v>108</v>
      </c>
      <c r="B81" s="2336" t="s">
        <v>2842</v>
      </c>
      <c r="C81" s="2995">
        <v>18080</v>
      </c>
      <c r="D81" s="2995"/>
      <c r="E81" s="2995">
        <v>20900</v>
      </c>
      <c r="F81" s="2995"/>
      <c r="G81" s="2995"/>
    </row>
    <row r="82" spans="1:7" s="2201" customFormat="1" ht="14.25" customHeight="1">
      <c r="A82" s="2336" t="s">
        <v>108</v>
      </c>
      <c r="B82" s="2336" t="s">
        <v>2849</v>
      </c>
      <c r="C82" s="2995"/>
      <c r="D82" s="2995"/>
      <c r="E82" s="2995">
        <v>20840</v>
      </c>
      <c r="F82" s="2995"/>
      <c r="G82" s="2995"/>
    </row>
    <row r="83" spans="1:7" s="2201" customFormat="1" ht="14.25" customHeight="1">
      <c r="A83" s="2336" t="s">
        <v>108</v>
      </c>
      <c r="B83" s="2336" t="s">
        <v>2960</v>
      </c>
      <c r="C83" s="2995"/>
      <c r="D83" s="2995"/>
      <c r="E83" s="2995"/>
      <c r="F83" s="2995">
        <v>4770</v>
      </c>
      <c r="G83" s="2995"/>
    </row>
    <row r="84" spans="1:7" s="2201" customFormat="1" ht="14.25" customHeight="1">
      <c r="A84" s="2336" t="s">
        <v>108</v>
      </c>
      <c r="B84" s="2336" t="s">
        <v>2961</v>
      </c>
      <c r="C84" s="2995"/>
      <c r="D84" s="2995"/>
      <c r="E84" s="2995"/>
      <c r="F84" s="2995">
        <v>4600</v>
      </c>
      <c r="G84" s="2995"/>
    </row>
    <row r="85" spans="1:7" s="2201" customFormat="1" ht="14.25" customHeight="1">
      <c r="A85" s="2336" t="s">
        <v>108</v>
      </c>
      <c r="B85" s="2336" t="s">
        <v>2962</v>
      </c>
      <c r="C85" s="2995"/>
      <c r="D85" s="2995"/>
      <c r="E85" s="2995"/>
      <c r="F85" s="2995">
        <v>4680</v>
      </c>
      <c r="G85" s="2995"/>
    </row>
    <row r="86" spans="1:7" s="2201" customFormat="1" ht="14.25" customHeight="1" thickBot="1">
      <c r="A86" s="2344" t="s">
        <v>108</v>
      </c>
      <c r="B86" s="2346" t="s">
        <v>2963</v>
      </c>
      <c r="C86" s="2997">
        <v>16610</v>
      </c>
      <c r="D86" s="2997">
        <v>16540</v>
      </c>
      <c r="E86" s="2997">
        <v>18850</v>
      </c>
      <c r="F86" s="2997"/>
      <c r="G86" s="2997">
        <v>11220</v>
      </c>
    </row>
    <row r="87" spans="1:7" s="2201" customFormat="1" ht="14.25" customHeight="1">
      <c r="A87" s="2341" t="s">
        <v>301</v>
      </c>
      <c r="B87" s="2332" t="s">
        <v>2964</v>
      </c>
      <c r="C87" s="2994">
        <v>15240</v>
      </c>
      <c r="D87" s="2994">
        <v>15170</v>
      </c>
      <c r="E87" s="2994">
        <v>18260</v>
      </c>
      <c r="F87" s="2994">
        <v>3830</v>
      </c>
      <c r="G87" s="2998">
        <v>10020</v>
      </c>
    </row>
    <row r="88" spans="1:7" s="2201" customFormat="1" ht="14.25" customHeight="1">
      <c r="A88" s="2336" t="s">
        <v>301</v>
      </c>
      <c r="B88" s="2336" t="s">
        <v>129</v>
      </c>
      <c r="C88" s="2995">
        <v>17310</v>
      </c>
      <c r="D88" s="2995">
        <v>17220</v>
      </c>
      <c r="E88" s="2995">
        <v>18610</v>
      </c>
      <c r="F88" s="2995">
        <v>3990</v>
      </c>
      <c r="G88" s="2999">
        <v>11380</v>
      </c>
    </row>
    <row r="89" spans="1:7" s="2201" customFormat="1" ht="14.25" customHeight="1">
      <c r="A89" s="2336" t="s">
        <v>301</v>
      </c>
      <c r="B89" s="2336" t="s">
        <v>138</v>
      </c>
      <c r="C89" s="2995">
        <v>15600</v>
      </c>
      <c r="D89" s="2995">
        <v>15550</v>
      </c>
      <c r="E89" s="2995">
        <v>19200</v>
      </c>
      <c r="F89" s="2995">
        <v>4110</v>
      </c>
      <c r="G89" s="2999">
        <v>10270</v>
      </c>
    </row>
    <row r="90" spans="1:7" s="2201" customFormat="1" ht="14.25" customHeight="1">
      <c r="A90" s="2336" t="s">
        <v>301</v>
      </c>
      <c r="B90" s="2336" t="s">
        <v>147</v>
      </c>
      <c r="C90" s="2995">
        <v>17330</v>
      </c>
      <c r="D90" s="2995">
        <v>17240</v>
      </c>
      <c r="E90" s="2995">
        <v>18570</v>
      </c>
      <c r="F90" s="2995">
        <v>4070</v>
      </c>
      <c r="G90" s="2999">
        <v>11390</v>
      </c>
    </row>
    <row r="91" spans="1:7" s="2201" customFormat="1" ht="14.25" customHeight="1">
      <c r="A91" s="2336" t="s">
        <v>301</v>
      </c>
      <c r="B91" s="2336" t="s">
        <v>156</v>
      </c>
      <c r="C91" s="2995">
        <v>16330</v>
      </c>
      <c r="D91" s="2995">
        <v>16260</v>
      </c>
      <c r="E91" s="2995">
        <v>16800</v>
      </c>
      <c r="F91" s="2995">
        <v>3410</v>
      </c>
      <c r="G91" s="2999">
        <v>10740</v>
      </c>
    </row>
    <row r="92" spans="1:7" s="2201" customFormat="1" ht="14.25" customHeight="1">
      <c r="A92" s="2336" t="s">
        <v>301</v>
      </c>
      <c r="B92" s="2336" t="s">
        <v>163</v>
      </c>
      <c r="C92" s="2995">
        <v>15570</v>
      </c>
      <c r="D92" s="2995">
        <v>15500</v>
      </c>
      <c r="E92" s="2995">
        <v>17360</v>
      </c>
      <c r="F92" s="2995">
        <v>3510</v>
      </c>
      <c r="G92" s="2999">
        <v>10240</v>
      </c>
    </row>
    <row r="93" spans="1:7" s="2201" customFormat="1" ht="14.25" customHeight="1">
      <c r="A93" s="2336" t="s">
        <v>301</v>
      </c>
      <c r="B93" s="2336" t="s">
        <v>169</v>
      </c>
      <c r="C93" s="2995">
        <v>14000</v>
      </c>
      <c r="D93" s="2995">
        <v>13930</v>
      </c>
      <c r="E93" s="2995">
        <v>18200</v>
      </c>
      <c r="F93" s="2995">
        <v>3640</v>
      </c>
      <c r="G93" s="2999">
        <v>9210</v>
      </c>
    </row>
    <row r="94" spans="1:7" s="2201" customFormat="1" ht="14.25" customHeight="1">
      <c r="A94" s="2336" t="s">
        <v>301</v>
      </c>
      <c r="B94" s="2336" t="s">
        <v>176</v>
      </c>
      <c r="C94" s="2995">
        <v>14530</v>
      </c>
      <c r="D94" s="2995">
        <v>14470</v>
      </c>
      <c r="E94" s="2995">
        <v>18240</v>
      </c>
      <c r="F94" s="2995">
        <v>3180</v>
      </c>
      <c r="G94" s="2999">
        <v>9560</v>
      </c>
    </row>
    <row r="95" spans="1:7" s="2201" customFormat="1" ht="14.25" customHeight="1">
      <c r="A95" s="2336" t="s">
        <v>301</v>
      </c>
      <c r="B95" s="2336" t="s">
        <v>186</v>
      </c>
      <c r="C95" s="2995">
        <v>17330</v>
      </c>
      <c r="D95" s="2995">
        <v>17260</v>
      </c>
      <c r="E95" s="2995">
        <v>18420</v>
      </c>
      <c r="F95" s="2995">
        <v>3060</v>
      </c>
      <c r="G95" s="2999">
        <v>11410</v>
      </c>
    </row>
    <row r="96" spans="1:7" s="2201" customFormat="1" ht="14.25" customHeight="1">
      <c r="A96" s="2336" t="s">
        <v>301</v>
      </c>
      <c r="B96" s="2336" t="s">
        <v>195</v>
      </c>
      <c r="C96" s="2995">
        <v>15030</v>
      </c>
      <c r="D96" s="2995">
        <v>14970</v>
      </c>
      <c r="E96" s="2995">
        <v>17580</v>
      </c>
      <c r="F96" s="2995">
        <v>2970</v>
      </c>
      <c r="G96" s="2999">
        <v>9890</v>
      </c>
    </row>
    <row r="97" spans="1:7" s="2201" customFormat="1" ht="14.25" customHeight="1">
      <c r="A97" s="2336" t="s">
        <v>301</v>
      </c>
      <c r="B97" s="2336" t="s">
        <v>202</v>
      </c>
      <c r="C97" s="2995">
        <v>17400</v>
      </c>
      <c r="D97" s="2995">
        <v>17330</v>
      </c>
      <c r="E97" s="2995">
        <v>16430</v>
      </c>
      <c r="F97" s="2995">
        <v>2950</v>
      </c>
      <c r="G97" s="2999">
        <v>11450</v>
      </c>
    </row>
    <row r="98" spans="1:7" s="2201" customFormat="1" ht="14.25" customHeight="1">
      <c r="A98" s="2336" t="s">
        <v>301</v>
      </c>
      <c r="B98" s="2336" t="s">
        <v>209</v>
      </c>
      <c r="C98" s="2995">
        <v>15200</v>
      </c>
      <c r="D98" s="2995">
        <v>15120</v>
      </c>
      <c r="E98" s="2995">
        <v>17550</v>
      </c>
      <c r="F98" s="2995">
        <v>3080</v>
      </c>
      <c r="G98" s="2999">
        <v>9990</v>
      </c>
    </row>
    <row r="99" spans="1:7" s="2201" customFormat="1" ht="14.25" customHeight="1">
      <c r="A99" s="2336" t="s">
        <v>301</v>
      </c>
      <c r="B99" s="2336" t="s">
        <v>215</v>
      </c>
      <c r="C99" s="2995">
        <v>17520</v>
      </c>
      <c r="D99" s="2995">
        <v>17430</v>
      </c>
      <c r="E99" s="2995">
        <v>16350</v>
      </c>
      <c r="F99" s="2995">
        <v>3260</v>
      </c>
      <c r="G99" s="2999">
        <v>11510</v>
      </c>
    </row>
    <row r="100" spans="1:7" s="2201" customFormat="1" ht="14.25" customHeight="1">
      <c r="A100" s="2336" t="s">
        <v>301</v>
      </c>
      <c r="B100" s="2336" t="s">
        <v>223</v>
      </c>
      <c r="C100" s="2995">
        <v>15340</v>
      </c>
      <c r="D100" s="2995">
        <v>15260</v>
      </c>
      <c r="E100" s="2995">
        <v>15930</v>
      </c>
      <c r="F100" s="2995">
        <v>2740</v>
      </c>
      <c r="G100" s="2999">
        <v>10080</v>
      </c>
    </row>
    <row r="101" spans="1:7" s="2201" customFormat="1" ht="14.25" customHeight="1">
      <c r="A101" s="2336" t="s">
        <v>301</v>
      </c>
      <c r="B101" s="2336" t="s">
        <v>231</v>
      </c>
      <c r="C101" s="2995">
        <v>14620</v>
      </c>
      <c r="D101" s="2995">
        <v>14560</v>
      </c>
      <c r="E101" s="2995">
        <v>15570</v>
      </c>
      <c r="F101" s="2995">
        <v>3500</v>
      </c>
      <c r="G101" s="2999">
        <v>9630</v>
      </c>
    </row>
    <row r="102" spans="1:7" s="2201" customFormat="1" ht="14.25" customHeight="1">
      <c r="A102" s="2336" t="s">
        <v>301</v>
      </c>
      <c r="B102" s="2336" t="s">
        <v>236</v>
      </c>
      <c r="C102" s="2995">
        <v>13680</v>
      </c>
      <c r="D102" s="2995">
        <v>13610</v>
      </c>
      <c r="E102" s="2995">
        <v>15690</v>
      </c>
      <c r="F102" s="2995">
        <v>2870</v>
      </c>
      <c r="G102" s="2999">
        <v>8990</v>
      </c>
    </row>
    <row r="103" spans="1:7" s="2201" customFormat="1" ht="14.25" customHeight="1">
      <c r="A103" s="2336" t="s">
        <v>301</v>
      </c>
      <c r="B103" s="2336" t="s">
        <v>245</v>
      </c>
      <c r="C103" s="2995">
        <v>14620</v>
      </c>
      <c r="D103" s="2995">
        <v>14540</v>
      </c>
      <c r="E103" s="2995">
        <v>15240</v>
      </c>
      <c r="F103" s="2995">
        <v>2840</v>
      </c>
      <c r="G103" s="2999">
        <v>9610</v>
      </c>
    </row>
    <row r="104" spans="1:7" s="2201" customFormat="1" ht="14.25" customHeight="1">
      <c r="A104" s="2336" t="s">
        <v>301</v>
      </c>
      <c r="B104" s="2336" t="s">
        <v>252</v>
      </c>
      <c r="C104" s="2995">
        <v>13610</v>
      </c>
      <c r="D104" s="2995">
        <v>13540</v>
      </c>
      <c r="E104" s="2995">
        <v>15750</v>
      </c>
      <c r="F104" s="2995">
        <v>2770</v>
      </c>
      <c r="G104" s="2999">
        <v>8940</v>
      </c>
    </row>
    <row r="105" spans="1:7" s="2201" customFormat="1" ht="14.25" customHeight="1">
      <c r="A105" s="2336" t="s">
        <v>301</v>
      </c>
      <c r="B105" s="2336" t="s">
        <v>260</v>
      </c>
      <c r="C105" s="2995">
        <v>13310</v>
      </c>
      <c r="D105" s="2995">
        <v>13240</v>
      </c>
      <c r="E105" s="2995">
        <v>16280</v>
      </c>
      <c r="F105" s="2995">
        <v>3210</v>
      </c>
      <c r="G105" s="2999">
        <v>8750</v>
      </c>
    </row>
    <row r="106" spans="1:7" s="2201" customFormat="1" ht="14.25" customHeight="1">
      <c r="A106" s="2336" t="s">
        <v>301</v>
      </c>
      <c r="B106" s="2336" t="s">
        <v>267</v>
      </c>
      <c r="C106" s="2995">
        <v>13010</v>
      </c>
      <c r="D106" s="2995">
        <v>12930</v>
      </c>
      <c r="E106" s="2995">
        <v>14960</v>
      </c>
      <c r="F106" s="2995">
        <v>3530</v>
      </c>
      <c r="G106" s="2999">
        <v>8550</v>
      </c>
    </row>
    <row r="107" spans="1:7" s="2201" customFormat="1" ht="14.25" customHeight="1">
      <c r="A107" s="2336" t="s">
        <v>301</v>
      </c>
      <c r="B107" s="2336" t="s">
        <v>271</v>
      </c>
      <c r="C107" s="2995">
        <v>13070</v>
      </c>
      <c r="D107" s="2995">
        <v>13000</v>
      </c>
      <c r="E107" s="2995">
        <v>15910</v>
      </c>
      <c r="F107" s="2995">
        <v>3990</v>
      </c>
      <c r="G107" s="2999">
        <v>8580</v>
      </c>
    </row>
    <row r="108" spans="1:7" s="2201" customFormat="1" ht="14.25" customHeight="1">
      <c r="A108" s="2336" t="s">
        <v>301</v>
      </c>
      <c r="B108" s="2336" t="s">
        <v>277</v>
      </c>
      <c r="C108" s="2995">
        <v>12640</v>
      </c>
      <c r="D108" s="2995">
        <v>12580</v>
      </c>
      <c r="E108" s="2995">
        <v>15730</v>
      </c>
      <c r="F108" s="2995"/>
      <c r="G108" s="2999">
        <v>8310</v>
      </c>
    </row>
    <row r="109" spans="1:7" s="2201" customFormat="1" ht="14.25" customHeight="1">
      <c r="A109" s="2336" t="s">
        <v>301</v>
      </c>
      <c r="B109" s="2336" t="s">
        <v>280</v>
      </c>
      <c r="C109" s="2995">
        <v>13130</v>
      </c>
      <c r="D109" s="2995">
        <v>13070</v>
      </c>
      <c r="E109" s="2995">
        <v>15000</v>
      </c>
      <c r="F109" s="2995"/>
      <c r="G109" s="2999">
        <v>8630</v>
      </c>
    </row>
    <row r="110" spans="1:7" s="2201" customFormat="1" ht="14.25" customHeight="1">
      <c r="A110" s="2336" t="s">
        <v>301</v>
      </c>
      <c r="B110" s="2336" t="s">
        <v>282</v>
      </c>
      <c r="C110" s="2995">
        <v>13560</v>
      </c>
      <c r="D110" s="2995">
        <v>13490</v>
      </c>
      <c r="E110" s="2995">
        <v>16300</v>
      </c>
      <c r="F110" s="2995"/>
      <c r="G110" s="2999">
        <v>8920</v>
      </c>
    </row>
    <row r="111" spans="1:7" s="2201" customFormat="1" ht="14.25" customHeight="1">
      <c r="A111" s="2336" t="s">
        <v>301</v>
      </c>
      <c r="B111" s="2336" t="s">
        <v>285</v>
      </c>
      <c r="C111" s="2995">
        <v>12440</v>
      </c>
      <c r="D111" s="2995">
        <v>12380</v>
      </c>
      <c r="E111" s="2995">
        <v>17850</v>
      </c>
      <c r="F111" s="2995"/>
      <c r="G111" s="2999">
        <v>8180</v>
      </c>
    </row>
    <row r="112" spans="1:7" s="2201" customFormat="1" ht="14.25" customHeight="1">
      <c r="A112" s="2336" t="s">
        <v>301</v>
      </c>
      <c r="B112" s="2336" t="s">
        <v>289</v>
      </c>
      <c r="C112" s="2995">
        <v>13260</v>
      </c>
      <c r="D112" s="2995">
        <v>13180</v>
      </c>
      <c r="E112" s="2995">
        <v>19740</v>
      </c>
      <c r="F112" s="2995"/>
      <c r="G112" s="2999">
        <v>8710</v>
      </c>
    </row>
    <row r="113" spans="1:7" s="2201" customFormat="1" ht="14.25" customHeight="1">
      <c r="A113" s="2336" t="s">
        <v>301</v>
      </c>
      <c r="B113" s="2336" t="s">
        <v>2843</v>
      </c>
      <c r="C113" s="2995">
        <v>15520</v>
      </c>
      <c r="D113" s="2995">
        <v>15450</v>
      </c>
      <c r="E113" s="2995"/>
      <c r="F113" s="2995"/>
      <c r="G113" s="2999">
        <v>10210</v>
      </c>
    </row>
    <row r="114" spans="1:7" s="2201" customFormat="1" ht="14.25" customHeight="1">
      <c r="A114" s="2336" t="s">
        <v>301</v>
      </c>
      <c r="B114" s="2336" t="s">
        <v>2850</v>
      </c>
      <c r="C114" s="2995">
        <v>13110</v>
      </c>
      <c r="D114" s="2995">
        <v>13050</v>
      </c>
      <c r="E114" s="2995"/>
      <c r="F114" s="2995"/>
      <c r="G114" s="2999">
        <v>8620</v>
      </c>
    </row>
    <row r="115" spans="1:7" s="2201" customFormat="1" ht="14.25" customHeight="1">
      <c r="A115" s="2336" t="s">
        <v>301</v>
      </c>
      <c r="B115" s="2336" t="s">
        <v>2856</v>
      </c>
      <c r="C115" s="2995">
        <v>12460</v>
      </c>
      <c r="D115" s="2995">
        <v>12390</v>
      </c>
      <c r="E115" s="2995"/>
      <c r="F115" s="2995"/>
      <c r="G115" s="2999">
        <v>8190</v>
      </c>
    </row>
    <row r="116" spans="1:7" s="2201" customFormat="1" ht="14.25" customHeight="1">
      <c r="A116" s="2336" t="s">
        <v>301</v>
      </c>
      <c r="B116" s="2336" t="s">
        <v>2863</v>
      </c>
      <c r="C116" s="2995">
        <v>13580</v>
      </c>
      <c r="D116" s="2995">
        <v>13520</v>
      </c>
      <c r="E116" s="2995"/>
      <c r="F116" s="2995"/>
      <c r="G116" s="2999">
        <v>8930</v>
      </c>
    </row>
    <row r="117" spans="1:7" s="2201" customFormat="1" ht="14.25" customHeight="1">
      <c r="A117" s="2336" t="s">
        <v>301</v>
      </c>
      <c r="B117" s="2336" t="s">
        <v>2870</v>
      </c>
      <c r="C117" s="2995">
        <v>17120</v>
      </c>
      <c r="D117" s="2995">
        <v>17040</v>
      </c>
      <c r="E117" s="2995"/>
      <c r="F117" s="2995"/>
      <c r="G117" s="2999">
        <v>11260</v>
      </c>
    </row>
    <row r="118" spans="1:7" s="2201" customFormat="1" ht="14.25" customHeight="1">
      <c r="A118" s="2336" t="s">
        <v>301</v>
      </c>
      <c r="B118" s="2336" t="s">
        <v>2875</v>
      </c>
      <c r="C118" s="2995">
        <v>14860</v>
      </c>
      <c r="D118" s="2995">
        <v>14790</v>
      </c>
      <c r="E118" s="2995"/>
      <c r="F118" s="2995"/>
      <c r="G118" s="2999">
        <v>9780</v>
      </c>
    </row>
    <row r="119" spans="1:7" s="2201" customFormat="1" ht="14.25" customHeight="1">
      <c r="A119" s="2336" t="s">
        <v>301</v>
      </c>
      <c r="B119" s="2336" t="s">
        <v>2879</v>
      </c>
      <c r="C119" s="2995">
        <v>16470</v>
      </c>
      <c r="D119" s="2995">
        <v>16400</v>
      </c>
      <c r="E119" s="2995"/>
      <c r="F119" s="2995"/>
      <c r="G119" s="2999">
        <v>10840</v>
      </c>
    </row>
    <row r="120" spans="1:7" s="2201" customFormat="1" ht="14.25" customHeight="1">
      <c r="A120" s="2336" t="s">
        <v>301</v>
      </c>
      <c r="B120" s="2336" t="s">
        <v>2965</v>
      </c>
      <c r="C120" s="2995"/>
      <c r="D120" s="2995"/>
      <c r="E120" s="2995"/>
      <c r="F120" s="2995">
        <v>4160</v>
      </c>
      <c r="G120" s="2999"/>
    </row>
    <row r="121" spans="1:7" s="2201" customFormat="1" ht="14.25" customHeight="1">
      <c r="A121" s="2336" t="s">
        <v>301</v>
      </c>
      <c r="B121" s="2336" t="s">
        <v>2966</v>
      </c>
      <c r="C121" s="2995"/>
      <c r="D121" s="2995"/>
      <c r="E121" s="2995"/>
      <c r="F121" s="2995">
        <v>3880</v>
      </c>
      <c r="G121" s="2999"/>
    </row>
    <row r="122" spans="1:7" s="2201" customFormat="1" ht="14.25" customHeight="1">
      <c r="A122" s="2336" t="s">
        <v>301</v>
      </c>
      <c r="B122" s="2336" t="s">
        <v>2967</v>
      </c>
      <c r="C122" s="2995">
        <v>13750</v>
      </c>
      <c r="D122" s="2995">
        <v>13680</v>
      </c>
      <c r="E122" s="2995">
        <v>16460</v>
      </c>
      <c r="F122" s="2995">
        <v>2880</v>
      </c>
      <c r="G122" s="2999">
        <v>9040</v>
      </c>
    </row>
    <row r="123" spans="1:7" s="2201" customFormat="1" ht="14.25" customHeight="1">
      <c r="A123" s="2336" t="s">
        <v>301</v>
      </c>
      <c r="B123" s="2336" t="s">
        <v>2898</v>
      </c>
      <c r="C123" s="2995">
        <v>13590</v>
      </c>
      <c r="D123" s="2995">
        <v>13520</v>
      </c>
      <c r="E123" s="2995">
        <v>16290</v>
      </c>
      <c r="F123" s="2995">
        <v>2790</v>
      </c>
      <c r="G123" s="2999">
        <v>8930</v>
      </c>
    </row>
    <row r="124" spans="1:7" s="2201" customFormat="1" ht="14.25" customHeight="1">
      <c r="A124" s="2336" t="s">
        <v>301</v>
      </c>
      <c r="B124" s="2336" t="s">
        <v>2903</v>
      </c>
      <c r="C124" s="2995">
        <v>13400</v>
      </c>
      <c r="D124" s="2995">
        <v>13320</v>
      </c>
      <c r="E124" s="2995">
        <v>16100</v>
      </c>
      <c r="F124" s="2995">
        <v>2320</v>
      </c>
      <c r="G124" s="2999">
        <v>8800</v>
      </c>
    </row>
    <row r="125" spans="1:7" s="2201" customFormat="1" ht="14.25" customHeight="1">
      <c r="A125" s="2336" t="s">
        <v>301</v>
      </c>
      <c r="B125" s="2336" t="s">
        <v>2908</v>
      </c>
      <c r="C125" s="2995">
        <v>12860</v>
      </c>
      <c r="D125" s="2995">
        <v>12790</v>
      </c>
      <c r="E125" s="2995">
        <v>15370</v>
      </c>
      <c r="F125" s="2995">
        <v>2280</v>
      </c>
      <c r="G125" s="2999">
        <v>8450</v>
      </c>
    </row>
    <row r="126" spans="1:7" s="2201" customFormat="1" ht="14.25" customHeight="1" thickBot="1">
      <c r="A126" s="2348" t="s">
        <v>301</v>
      </c>
      <c r="B126" s="2343" t="s">
        <v>2913</v>
      </c>
      <c r="C126" s="2996">
        <v>12960</v>
      </c>
      <c r="D126" s="2996">
        <v>12890</v>
      </c>
      <c r="E126" s="2996">
        <v>15530</v>
      </c>
      <c r="F126" s="2996">
        <v>2910</v>
      </c>
      <c r="G126" s="3000">
        <v>8520</v>
      </c>
    </row>
    <row r="127" spans="1:7" s="2201" customFormat="1" ht="14.25" customHeight="1">
      <c r="A127" s="2341" t="s">
        <v>27</v>
      </c>
      <c r="B127" s="2332" t="s">
        <v>2968</v>
      </c>
      <c r="C127" s="2995">
        <v>12280</v>
      </c>
      <c r="D127" s="2995">
        <v>12250</v>
      </c>
      <c r="E127" s="2995">
        <v>15130</v>
      </c>
      <c r="F127" s="2995">
        <v>2710</v>
      </c>
      <c r="G127" s="2995">
        <v>7870</v>
      </c>
    </row>
    <row r="128" spans="1:7" s="2201" customFormat="1" ht="14.25" customHeight="1">
      <c r="A128" s="2336" t="s">
        <v>27</v>
      </c>
      <c r="B128" s="2336" t="s">
        <v>130</v>
      </c>
      <c r="C128" s="2995">
        <v>13180</v>
      </c>
      <c r="D128" s="2995">
        <v>13150</v>
      </c>
      <c r="E128" s="2995">
        <v>16190</v>
      </c>
      <c r="F128" s="2995">
        <v>2820</v>
      </c>
      <c r="G128" s="2995">
        <v>8460</v>
      </c>
    </row>
    <row r="129" spans="1:7" s="2201" customFormat="1" ht="14.25" customHeight="1">
      <c r="A129" s="2336" t="s">
        <v>27</v>
      </c>
      <c r="B129" s="2336" t="s">
        <v>139</v>
      </c>
      <c r="C129" s="2995">
        <v>10950</v>
      </c>
      <c r="D129" s="2995">
        <v>10920</v>
      </c>
      <c r="E129" s="2995">
        <v>13820</v>
      </c>
      <c r="F129" s="2995">
        <v>2500</v>
      </c>
      <c r="G129" s="2995">
        <v>7020</v>
      </c>
    </row>
    <row r="130" spans="1:7" s="2201" customFormat="1" ht="14.25" customHeight="1">
      <c r="A130" s="2336" t="s">
        <v>27</v>
      </c>
      <c r="B130" s="2336" t="s">
        <v>148</v>
      </c>
      <c r="C130" s="2995">
        <v>10910</v>
      </c>
      <c r="D130" s="2995">
        <v>10860</v>
      </c>
      <c r="E130" s="2995">
        <v>13730</v>
      </c>
      <c r="F130" s="2995">
        <v>2760</v>
      </c>
      <c r="G130" s="2995">
        <v>6990</v>
      </c>
    </row>
    <row r="131" spans="1:7" s="2201" customFormat="1" ht="14.25" customHeight="1">
      <c r="A131" s="2336" t="s">
        <v>27</v>
      </c>
      <c r="B131" s="2336" t="s">
        <v>157</v>
      </c>
      <c r="C131" s="2995">
        <v>12910</v>
      </c>
      <c r="D131" s="2995">
        <v>12870</v>
      </c>
      <c r="E131" s="2995">
        <v>15720</v>
      </c>
      <c r="F131" s="2995">
        <v>2750</v>
      </c>
      <c r="G131" s="2995">
        <v>8280</v>
      </c>
    </row>
    <row r="132" spans="1:7" s="2201" customFormat="1" ht="14.25" customHeight="1">
      <c r="A132" s="2336" t="s">
        <v>27</v>
      </c>
      <c r="B132" s="2336" t="s">
        <v>164</v>
      </c>
      <c r="C132" s="2995">
        <v>11910</v>
      </c>
      <c r="D132" s="2995">
        <v>11860</v>
      </c>
      <c r="E132" s="2995">
        <v>14730</v>
      </c>
      <c r="F132" s="2995">
        <v>2360</v>
      </c>
      <c r="G132" s="2995">
        <v>7630</v>
      </c>
    </row>
    <row r="133" spans="1:7" s="2201" customFormat="1" ht="14.25" customHeight="1">
      <c r="A133" s="2336" t="s">
        <v>27</v>
      </c>
      <c r="B133" s="2336" t="s">
        <v>170</v>
      </c>
      <c r="C133" s="2995">
        <v>12270</v>
      </c>
      <c r="D133" s="2995">
        <v>12210</v>
      </c>
      <c r="E133" s="2995">
        <v>15010</v>
      </c>
      <c r="F133" s="2995">
        <v>2580</v>
      </c>
      <c r="G133" s="2995">
        <v>7860</v>
      </c>
    </row>
    <row r="134" spans="1:7" s="2201" customFormat="1" ht="14.25" customHeight="1">
      <c r="A134" s="2336" t="s">
        <v>27</v>
      </c>
      <c r="B134" s="2336" t="s">
        <v>177</v>
      </c>
      <c r="C134" s="2995">
        <v>10800</v>
      </c>
      <c r="D134" s="2995">
        <v>10780</v>
      </c>
      <c r="E134" s="2995">
        <v>13640</v>
      </c>
      <c r="F134" s="2995">
        <v>2110</v>
      </c>
      <c r="G134" s="2995">
        <v>6930</v>
      </c>
    </row>
    <row r="135" spans="1:7" s="2201" customFormat="1" ht="14.25" customHeight="1">
      <c r="A135" s="2336" t="s">
        <v>27</v>
      </c>
      <c r="B135" s="2336" t="s">
        <v>187</v>
      </c>
      <c r="C135" s="2995">
        <v>10430</v>
      </c>
      <c r="D135" s="2995">
        <v>10390</v>
      </c>
      <c r="E135" s="2995">
        <v>13140</v>
      </c>
      <c r="F135" s="2995">
        <v>2240</v>
      </c>
      <c r="G135" s="2995">
        <v>6680</v>
      </c>
    </row>
    <row r="136" spans="1:7" s="2201" customFormat="1" ht="14.25" customHeight="1">
      <c r="A136" s="2336" t="s">
        <v>27</v>
      </c>
      <c r="B136" s="2336" t="s">
        <v>196</v>
      </c>
      <c r="C136" s="2995">
        <v>11930</v>
      </c>
      <c r="D136" s="2995">
        <v>11880</v>
      </c>
      <c r="E136" s="2995">
        <v>14770</v>
      </c>
      <c r="F136" s="2995">
        <v>1970</v>
      </c>
      <c r="G136" s="2995">
        <v>7640</v>
      </c>
    </row>
    <row r="137" spans="1:7" s="2201" customFormat="1" ht="14.25" customHeight="1">
      <c r="A137" s="2336" t="s">
        <v>27</v>
      </c>
      <c r="B137" s="2336" t="s">
        <v>203</v>
      </c>
      <c r="C137" s="2995">
        <v>10470</v>
      </c>
      <c r="D137" s="2995">
        <v>10430</v>
      </c>
      <c r="E137" s="2995">
        <v>13190</v>
      </c>
      <c r="F137" s="2995">
        <v>1990</v>
      </c>
      <c r="G137" s="2995">
        <v>6710</v>
      </c>
    </row>
    <row r="138" spans="1:7" s="2201" customFormat="1" ht="14.25" customHeight="1">
      <c r="A138" s="2336" t="s">
        <v>27</v>
      </c>
      <c r="B138" s="2336" t="s">
        <v>210</v>
      </c>
      <c r="C138" s="2995">
        <v>10410</v>
      </c>
      <c r="D138" s="2995">
        <v>10380</v>
      </c>
      <c r="E138" s="2995">
        <v>13130</v>
      </c>
      <c r="F138" s="2995">
        <v>2030</v>
      </c>
      <c r="G138" s="2995">
        <v>6680</v>
      </c>
    </row>
    <row r="139" spans="1:7" s="2201" customFormat="1" ht="14.25" customHeight="1">
      <c r="A139" s="2336" t="s">
        <v>27</v>
      </c>
      <c r="B139" s="2336" t="s">
        <v>216</v>
      </c>
      <c r="C139" s="2995">
        <v>9460</v>
      </c>
      <c r="D139" s="2995">
        <v>9410</v>
      </c>
      <c r="E139" s="2995">
        <v>12050</v>
      </c>
      <c r="F139" s="2995">
        <v>2140</v>
      </c>
      <c r="G139" s="2995">
        <v>6050</v>
      </c>
    </row>
    <row r="140" spans="1:7" s="2201" customFormat="1" ht="14.25" customHeight="1">
      <c r="A140" s="2336" t="s">
        <v>27</v>
      </c>
      <c r="B140" s="2336" t="s">
        <v>224</v>
      </c>
      <c r="C140" s="2995">
        <v>11030</v>
      </c>
      <c r="D140" s="2995">
        <v>10980</v>
      </c>
      <c r="E140" s="2995">
        <v>13880</v>
      </c>
      <c r="F140" s="2995">
        <v>2210</v>
      </c>
      <c r="G140" s="2995">
        <v>7060</v>
      </c>
    </row>
    <row r="141" spans="1:7" s="2201" customFormat="1" ht="14.25" customHeight="1">
      <c r="A141" s="2336" t="s">
        <v>27</v>
      </c>
      <c r="B141" s="2336" t="s">
        <v>232</v>
      </c>
      <c r="C141" s="2995">
        <v>11200</v>
      </c>
      <c r="D141" s="2995">
        <v>11150</v>
      </c>
      <c r="E141" s="2995">
        <v>14100</v>
      </c>
      <c r="F141" s="2995">
        <v>2470</v>
      </c>
      <c r="G141" s="2995">
        <v>7170</v>
      </c>
    </row>
    <row r="142" spans="1:7" s="2201" customFormat="1" ht="14.25" customHeight="1">
      <c r="A142" s="2336" t="s">
        <v>27</v>
      </c>
      <c r="B142" s="2336" t="s">
        <v>237</v>
      </c>
      <c r="C142" s="2995">
        <v>10780</v>
      </c>
      <c r="D142" s="2995">
        <v>10730</v>
      </c>
      <c r="E142" s="2995">
        <v>13540</v>
      </c>
      <c r="F142" s="2995">
        <v>2280</v>
      </c>
      <c r="G142" s="2995">
        <v>6900</v>
      </c>
    </row>
    <row r="143" spans="1:7" s="2201" customFormat="1" ht="14.25" customHeight="1">
      <c r="A143" s="2336" t="s">
        <v>27</v>
      </c>
      <c r="B143" s="2336" t="s">
        <v>246</v>
      </c>
      <c r="C143" s="2995">
        <v>11550</v>
      </c>
      <c r="D143" s="2995">
        <v>11490</v>
      </c>
      <c r="E143" s="2995">
        <v>14480</v>
      </c>
      <c r="F143" s="2995">
        <v>2070</v>
      </c>
      <c r="G143" s="2995">
        <v>7390</v>
      </c>
    </row>
    <row r="144" spans="1:7" s="2201" customFormat="1" ht="14.25" customHeight="1">
      <c r="A144" s="2336" t="s">
        <v>27</v>
      </c>
      <c r="B144" s="2336" t="s">
        <v>253</v>
      </c>
      <c r="C144" s="2995">
        <v>10720</v>
      </c>
      <c r="D144" s="2995">
        <v>10680</v>
      </c>
      <c r="E144" s="2995">
        <v>13480</v>
      </c>
      <c r="F144" s="2995">
        <v>2440</v>
      </c>
      <c r="G144" s="2995">
        <v>6870</v>
      </c>
    </row>
    <row r="145" spans="1:7" s="2201" customFormat="1" ht="14.25" customHeight="1">
      <c r="A145" s="2336" t="s">
        <v>27</v>
      </c>
      <c r="B145" s="2336" t="s">
        <v>261</v>
      </c>
      <c r="C145" s="2995">
        <v>10340</v>
      </c>
      <c r="D145" s="2995">
        <v>10290</v>
      </c>
      <c r="E145" s="2995">
        <v>12880</v>
      </c>
      <c r="F145" s="2995">
        <v>2650</v>
      </c>
      <c r="G145" s="2995">
        <v>6620</v>
      </c>
    </row>
    <row r="146" spans="1:7" s="2201" customFormat="1" ht="14.25" customHeight="1">
      <c r="A146" s="2336" t="s">
        <v>27</v>
      </c>
      <c r="B146" s="2336" t="s">
        <v>268</v>
      </c>
      <c r="C146" s="2995">
        <v>11890</v>
      </c>
      <c r="D146" s="2995">
        <v>11830</v>
      </c>
      <c r="E146" s="2995">
        <v>14670</v>
      </c>
      <c r="F146" s="2995"/>
      <c r="G146" s="2995">
        <v>7610</v>
      </c>
    </row>
    <row r="147" spans="1:7" s="2201" customFormat="1" ht="14.25" customHeight="1">
      <c r="A147" s="2336" t="s">
        <v>27</v>
      </c>
      <c r="B147" s="2336" t="s">
        <v>272</v>
      </c>
      <c r="C147" s="2995">
        <v>12650</v>
      </c>
      <c r="D147" s="2995">
        <v>12600</v>
      </c>
      <c r="E147" s="2995">
        <v>15440</v>
      </c>
      <c r="F147" s="2995"/>
      <c r="G147" s="2995">
        <v>8110</v>
      </c>
    </row>
    <row r="148" spans="1:7" s="2201" customFormat="1" ht="14.25" customHeight="1">
      <c r="A148" s="2336" t="s">
        <v>27</v>
      </c>
      <c r="B148" s="2336" t="s">
        <v>2969</v>
      </c>
      <c r="C148" s="2995">
        <v>10370</v>
      </c>
      <c r="D148" s="2995">
        <v>10310</v>
      </c>
      <c r="E148" s="2995">
        <v>12970</v>
      </c>
      <c r="F148" s="2995"/>
      <c r="G148" s="2995">
        <v>6630</v>
      </c>
    </row>
    <row r="149" spans="1:7" s="2201" customFormat="1" ht="14.25" customHeight="1">
      <c r="A149" s="2336" t="s">
        <v>27</v>
      </c>
      <c r="B149" s="2336" t="s">
        <v>2970</v>
      </c>
      <c r="C149" s="2995">
        <v>11600</v>
      </c>
      <c r="D149" s="2995">
        <v>11560</v>
      </c>
      <c r="E149" s="2995">
        <v>14540</v>
      </c>
      <c r="F149" s="2995">
        <v>2390</v>
      </c>
      <c r="G149" s="2995">
        <v>7430</v>
      </c>
    </row>
    <row r="150" spans="1:7" s="2201" customFormat="1" ht="14.25" customHeight="1">
      <c r="A150" s="2336" t="s">
        <v>27</v>
      </c>
      <c r="B150" s="2336" t="s">
        <v>290</v>
      </c>
      <c r="C150" s="2995">
        <v>9950</v>
      </c>
      <c r="D150" s="2995">
        <v>9890</v>
      </c>
      <c r="E150" s="2995">
        <v>12590</v>
      </c>
      <c r="F150" s="2995">
        <v>1970</v>
      </c>
      <c r="G150" s="2995">
        <v>6360</v>
      </c>
    </row>
    <row r="151" spans="1:7" s="2201" customFormat="1" ht="14.25" customHeight="1">
      <c r="A151" s="2336" t="s">
        <v>27</v>
      </c>
      <c r="B151" s="2336" t="s">
        <v>292</v>
      </c>
      <c r="C151" s="2995">
        <v>10700</v>
      </c>
      <c r="D151" s="2995">
        <v>10650</v>
      </c>
      <c r="E151" s="2995">
        <v>13420</v>
      </c>
      <c r="F151" s="2995">
        <v>2020</v>
      </c>
      <c r="G151" s="2995">
        <v>6850</v>
      </c>
    </row>
    <row r="152" spans="1:7" s="2201" customFormat="1" ht="14.25" customHeight="1">
      <c r="A152" s="2336" t="s">
        <v>27</v>
      </c>
      <c r="B152" s="2336" t="s">
        <v>295</v>
      </c>
      <c r="C152" s="2995">
        <v>10310</v>
      </c>
      <c r="D152" s="2995">
        <v>10260</v>
      </c>
      <c r="E152" s="2995">
        <v>12820</v>
      </c>
      <c r="F152" s="2995">
        <v>1980</v>
      </c>
      <c r="G152" s="2995">
        <v>6600</v>
      </c>
    </row>
    <row r="153" spans="1:7" s="2201" customFormat="1" ht="14.25" customHeight="1">
      <c r="A153" s="2336" t="s">
        <v>27</v>
      </c>
      <c r="B153" s="2336" t="s">
        <v>2844</v>
      </c>
      <c r="C153" s="2995">
        <v>10880</v>
      </c>
      <c r="D153" s="2995">
        <v>10820</v>
      </c>
      <c r="E153" s="2995">
        <v>13660</v>
      </c>
      <c r="F153" s="2995">
        <v>2260</v>
      </c>
      <c r="G153" s="2995">
        <v>6970</v>
      </c>
    </row>
    <row r="154" spans="1:7" s="2201" customFormat="1" ht="14.25" customHeight="1">
      <c r="A154" s="2336" t="s">
        <v>27</v>
      </c>
      <c r="B154" s="2336" t="s">
        <v>2971</v>
      </c>
      <c r="C154" s="2995">
        <v>11220</v>
      </c>
      <c r="D154" s="2995">
        <v>11160</v>
      </c>
      <c r="E154" s="2995">
        <v>14130</v>
      </c>
      <c r="F154" s="2995">
        <v>2230</v>
      </c>
      <c r="G154" s="2995">
        <v>7180</v>
      </c>
    </row>
    <row r="155" spans="1:7" s="2201" customFormat="1" ht="14.25" customHeight="1">
      <c r="A155" s="2336" t="s">
        <v>27</v>
      </c>
      <c r="B155" s="2336" t="s">
        <v>2857</v>
      </c>
      <c r="C155" s="2995">
        <v>10430</v>
      </c>
      <c r="D155" s="2995">
        <v>10380</v>
      </c>
      <c r="E155" s="2995">
        <v>13140</v>
      </c>
      <c r="F155" s="2995">
        <v>2080</v>
      </c>
      <c r="G155" s="2995">
        <v>6650</v>
      </c>
    </row>
    <row r="156" spans="1:7" s="2201" customFormat="1" ht="14.25" customHeight="1">
      <c r="A156" s="2336" t="s">
        <v>27</v>
      </c>
      <c r="B156" s="2336" t="s">
        <v>2972</v>
      </c>
      <c r="C156" s="2995">
        <v>10440</v>
      </c>
      <c r="D156" s="2995">
        <v>10400</v>
      </c>
      <c r="E156" s="2995">
        <v>13150</v>
      </c>
      <c r="F156" s="2995">
        <v>2490</v>
      </c>
      <c r="G156" s="2995">
        <v>6690</v>
      </c>
    </row>
    <row r="157" spans="1:7" s="2201" customFormat="1" ht="14.25" customHeight="1">
      <c r="A157" s="2336" t="s">
        <v>27</v>
      </c>
      <c r="B157" s="2336" t="s">
        <v>298</v>
      </c>
      <c r="C157" s="2995">
        <v>10970</v>
      </c>
      <c r="D157" s="2995">
        <v>10920</v>
      </c>
      <c r="E157" s="2995">
        <v>13840</v>
      </c>
      <c r="F157" s="2995">
        <v>2420</v>
      </c>
      <c r="G157" s="2995">
        <v>7020</v>
      </c>
    </row>
    <row r="158" spans="1:7" s="2201" customFormat="1" ht="14.25" customHeight="1">
      <c r="A158" s="2336" t="s">
        <v>27</v>
      </c>
      <c r="B158" s="2336" t="s">
        <v>299</v>
      </c>
      <c r="C158" s="2995">
        <v>9590</v>
      </c>
      <c r="D158" s="2995">
        <v>9540</v>
      </c>
      <c r="E158" s="2995">
        <v>12210</v>
      </c>
      <c r="F158" s="2995">
        <v>2100</v>
      </c>
      <c r="G158" s="2995">
        <v>6130</v>
      </c>
    </row>
    <row r="159" spans="1:7" s="2201" customFormat="1" ht="14.25" customHeight="1">
      <c r="A159" s="2336" t="s">
        <v>27</v>
      </c>
      <c r="B159" s="2336" t="s">
        <v>300</v>
      </c>
      <c r="C159" s="2995">
        <v>11190</v>
      </c>
      <c r="D159" s="2995">
        <v>11140</v>
      </c>
      <c r="E159" s="2995">
        <v>14090</v>
      </c>
      <c r="F159" s="2995">
        <v>2470</v>
      </c>
      <c r="G159" s="2995">
        <v>7170</v>
      </c>
    </row>
    <row r="160" spans="1:7" s="2201" customFormat="1" ht="14.25" customHeight="1">
      <c r="A160" s="2336" t="s">
        <v>27</v>
      </c>
      <c r="B160" s="2336" t="s">
        <v>2973</v>
      </c>
      <c r="C160" s="2995">
        <v>11180</v>
      </c>
      <c r="D160" s="2995">
        <v>11140</v>
      </c>
      <c r="E160" s="2995">
        <v>14050</v>
      </c>
      <c r="F160" s="2995">
        <v>2270</v>
      </c>
      <c r="G160" s="2995">
        <v>7170</v>
      </c>
    </row>
    <row r="161" spans="1:7" s="2201" customFormat="1" ht="14.25" customHeight="1">
      <c r="A161" s="2336" t="s">
        <v>27</v>
      </c>
      <c r="B161" s="2336" t="s">
        <v>2889</v>
      </c>
      <c r="C161" s="2995">
        <v>11160</v>
      </c>
      <c r="D161" s="2995">
        <v>11120</v>
      </c>
      <c r="E161" s="2995">
        <v>14020</v>
      </c>
      <c r="F161" s="2995">
        <v>2150</v>
      </c>
      <c r="G161" s="2995">
        <v>7160</v>
      </c>
    </row>
    <row r="162" spans="1:7" s="2201" customFormat="1" ht="14.25" customHeight="1">
      <c r="A162" s="2336" t="s">
        <v>27</v>
      </c>
      <c r="B162" s="2336" t="s">
        <v>2894</v>
      </c>
      <c r="C162" s="2995">
        <v>9620</v>
      </c>
      <c r="D162" s="2995">
        <v>9570</v>
      </c>
      <c r="E162" s="2995">
        <v>12320</v>
      </c>
      <c r="F162" s="2995">
        <v>2010</v>
      </c>
      <c r="G162" s="2995">
        <v>6160</v>
      </c>
    </row>
    <row r="163" spans="1:7" s="2201" customFormat="1" ht="14.25" customHeight="1">
      <c r="A163" s="2336" t="s">
        <v>27</v>
      </c>
      <c r="B163" s="2336" t="s">
        <v>2899</v>
      </c>
      <c r="C163" s="2995">
        <v>9320</v>
      </c>
      <c r="D163" s="2995">
        <v>9270</v>
      </c>
      <c r="E163" s="2995">
        <v>11790</v>
      </c>
      <c r="F163" s="2995">
        <v>1920</v>
      </c>
      <c r="G163" s="2995">
        <v>5960</v>
      </c>
    </row>
    <row r="164" spans="1:7" s="2201" customFormat="1" ht="14.25" customHeight="1">
      <c r="A164" s="2336" t="s">
        <v>27</v>
      </c>
      <c r="B164" s="2336" t="s">
        <v>2904</v>
      </c>
      <c r="C164" s="2995"/>
      <c r="D164" s="2995"/>
      <c r="E164" s="2995"/>
      <c r="F164" s="2995">
        <v>1980</v>
      </c>
      <c r="G164" s="2995"/>
    </row>
    <row r="165" spans="1:7" s="2201" customFormat="1" ht="14.25" customHeight="1">
      <c r="A165" s="2336" t="s">
        <v>27</v>
      </c>
      <c r="B165" s="2336" t="s">
        <v>2974</v>
      </c>
      <c r="C165" s="2995">
        <v>11060</v>
      </c>
      <c r="D165" s="2995">
        <v>11030</v>
      </c>
      <c r="E165" s="2995">
        <v>13850</v>
      </c>
      <c r="F165" s="2995">
        <v>2170</v>
      </c>
      <c r="G165" s="2995">
        <v>7090</v>
      </c>
    </row>
    <row r="166" spans="1:7" s="2201" customFormat="1" ht="14.25" customHeight="1">
      <c r="A166" s="2336" t="s">
        <v>27</v>
      </c>
      <c r="B166" s="2336" t="s">
        <v>2914</v>
      </c>
      <c r="C166" s="2995">
        <v>11050</v>
      </c>
      <c r="D166" s="2995">
        <v>11010</v>
      </c>
      <c r="E166" s="2995">
        <v>13920</v>
      </c>
      <c r="F166" s="2995">
        <v>2140</v>
      </c>
      <c r="G166" s="2995">
        <v>7080</v>
      </c>
    </row>
    <row r="167" spans="1:7" s="2201" customFormat="1" ht="14.25" customHeight="1">
      <c r="A167" s="2336" t="s">
        <v>27</v>
      </c>
      <c r="B167" s="2336" t="s">
        <v>2918</v>
      </c>
      <c r="C167" s="2995">
        <v>10930</v>
      </c>
      <c r="D167" s="2995">
        <v>10890</v>
      </c>
      <c r="E167" s="2995">
        <v>13790</v>
      </c>
      <c r="F167" s="2995">
        <v>2010</v>
      </c>
      <c r="G167" s="2995">
        <v>7000</v>
      </c>
    </row>
    <row r="168" spans="1:7" s="2201" customFormat="1" ht="14.25" customHeight="1">
      <c r="A168" s="2336" t="s">
        <v>27</v>
      </c>
      <c r="B168" s="2336" t="s">
        <v>2923</v>
      </c>
      <c r="C168" s="2995">
        <v>9420</v>
      </c>
      <c r="D168" s="2995">
        <v>9380</v>
      </c>
      <c r="E168" s="2995">
        <v>11970</v>
      </c>
      <c r="F168" s="2995"/>
      <c r="G168" s="2995">
        <v>6040</v>
      </c>
    </row>
    <row r="169" spans="1:7" s="2201" customFormat="1" ht="14.25" customHeight="1">
      <c r="A169" s="2336" t="s">
        <v>27</v>
      </c>
      <c r="B169" s="2336" t="s">
        <v>2975</v>
      </c>
      <c r="C169" s="2995"/>
      <c r="D169" s="2995"/>
      <c r="E169" s="2995"/>
      <c r="F169" s="2995">
        <v>2880</v>
      </c>
      <c r="G169" s="2995"/>
    </row>
    <row r="170" spans="1:7" s="2201" customFormat="1" ht="14.25" customHeight="1">
      <c r="A170" s="2336" t="s">
        <v>27</v>
      </c>
      <c r="B170" s="2336" t="s">
        <v>2931</v>
      </c>
      <c r="C170" s="2995"/>
      <c r="D170" s="2995"/>
      <c r="E170" s="2995"/>
      <c r="F170" s="2995">
        <v>2880</v>
      </c>
      <c r="G170" s="2995"/>
    </row>
    <row r="171" spans="1:7" s="2201" customFormat="1" ht="14.25" customHeight="1">
      <c r="A171" s="2336" t="s">
        <v>27</v>
      </c>
      <c r="B171" s="2336" t="s">
        <v>2934</v>
      </c>
      <c r="C171" s="2995"/>
      <c r="D171" s="2995"/>
      <c r="E171" s="2995"/>
      <c r="F171" s="2995">
        <v>2880</v>
      </c>
      <c r="G171" s="2995"/>
    </row>
    <row r="172" spans="1:7" s="2201" customFormat="1" ht="14.25" customHeight="1">
      <c r="A172" s="2336" t="s">
        <v>27</v>
      </c>
      <c r="B172" s="2336" t="s">
        <v>2936</v>
      </c>
      <c r="C172" s="2995"/>
      <c r="D172" s="2995"/>
      <c r="E172" s="2995"/>
      <c r="F172" s="2995">
        <v>2880</v>
      </c>
      <c r="G172" s="2995"/>
    </row>
    <row r="173" spans="1:7" s="2201" customFormat="1" ht="14.25" customHeight="1">
      <c r="A173" s="2336" t="s">
        <v>27</v>
      </c>
      <c r="B173" s="2336" t="s">
        <v>2938</v>
      </c>
      <c r="C173" s="2995"/>
      <c r="D173" s="2995"/>
      <c r="E173" s="2995"/>
      <c r="F173" s="2995">
        <v>2150</v>
      </c>
      <c r="G173" s="2995"/>
    </row>
    <row r="174" spans="1:7" s="2201" customFormat="1" ht="14.25" customHeight="1">
      <c r="A174" s="2336" t="s">
        <v>27</v>
      </c>
      <c r="B174" s="2336" t="s">
        <v>2940</v>
      </c>
      <c r="C174" s="2995"/>
      <c r="D174" s="2995"/>
      <c r="E174" s="2995"/>
      <c r="F174" s="2995">
        <v>2030</v>
      </c>
      <c r="G174" s="2995"/>
    </row>
    <row r="175" spans="1:7" s="2201" customFormat="1" ht="14.25" customHeight="1">
      <c r="A175" s="2336" t="s">
        <v>27</v>
      </c>
      <c r="B175" s="2336" t="s">
        <v>2942</v>
      </c>
      <c r="C175" s="2995"/>
      <c r="D175" s="2995"/>
      <c r="E175" s="2995"/>
      <c r="F175" s="2995">
        <v>2780</v>
      </c>
      <c r="G175" s="2995"/>
    </row>
    <row r="176" spans="1:7" s="2201" customFormat="1" ht="14.25" customHeight="1">
      <c r="A176" s="2336" t="s">
        <v>27</v>
      </c>
      <c r="B176" s="2336" t="s">
        <v>2944</v>
      </c>
      <c r="C176" s="2995"/>
      <c r="D176" s="2995"/>
      <c r="E176" s="2995"/>
      <c r="F176" s="2995">
        <v>2780</v>
      </c>
      <c r="G176" s="2995"/>
    </row>
    <row r="177" spans="1:7" s="2201" customFormat="1" ht="14.25" customHeight="1">
      <c r="A177" s="2336" t="s">
        <v>27</v>
      </c>
      <c r="B177" s="2336" t="s">
        <v>2976</v>
      </c>
      <c r="C177" s="2995"/>
      <c r="D177" s="2995"/>
      <c r="E177" s="2995"/>
      <c r="F177" s="2995">
        <v>2780</v>
      </c>
      <c r="G177" s="2995"/>
    </row>
    <row r="178" spans="1:7" s="2201" customFormat="1" ht="14.25" customHeight="1">
      <c r="A178" s="2336" t="s">
        <v>27</v>
      </c>
      <c r="B178" s="2336" t="s">
        <v>2977</v>
      </c>
      <c r="C178" s="2995"/>
      <c r="D178" s="2995"/>
      <c r="E178" s="2995"/>
      <c r="F178" s="2995">
        <v>2060</v>
      </c>
      <c r="G178" s="2995"/>
    </row>
    <row r="179" spans="1:7" s="2201" customFormat="1" ht="14.25" customHeight="1">
      <c r="A179" s="2336" t="s">
        <v>27</v>
      </c>
      <c r="B179" s="2336" t="s">
        <v>2978</v>
      </c>
      <c r="C179" s="2995"/>
      <c r="D179" s="2995"/>
      <c r="E179" s="2995"/>
      <c r="F179" s="2995">
        <v>2120</v>
      </c>
      <c r="G179" s="2995"/>
    </row>
    <row r="180" spans="1:7" s="2201" customFormat="1" ht="14.25" customHeight="1">
      <c r="A180" s="2336" t="s">
        <v>27</v>
      </c>
      <c r="B180" s="2336" t="s">
        <v>2950</v>
      </c>
      <c r="C180" s="2995"/>
      <c r="D180" s="2995"/>
      <c r="E180" s="2995"/>
      <c r="F180" s="2995">
        <v>2340</v>
      </c>
      <c r="G180" s="2995"/>
    </row>
    <row r="181" spans="1:7" s="2201" customFormat="1" ht="14.25" customHeight="1">
      <c r="A181" s="2336" t="s">
        <v>27</v>
      </c>
      <c r="B181" s="2336" t="s">
        <v>2951</v>
      </c>
      <c r="C181" s="2995"/>
      <c r="D181" s="2995"/>
      <c r="E181" s="2995"/>
      <c r="F181" s="2995">
        <v>2340</v>
      </c>
      <c r="G181" s="2995"/>
    </row>
    <row r="182" spans="1:7" s="2201" customFormat="1" ht="14.25" customHeight="1">
      <c r="A182" s="2336" t="s">
        <v>27</v>
      </c>
      <c r="B182" s="2336" t="s">
        <v>2952</v>
      </c>
      <c r="C182" s="2995"/>
      <c r="D182" s="2995"/>
      <c r="E182" s="2995"/>
      <c r="F182" s="2995">
        <v>2340</v>
      </c>
      <c r="G182" s="2995"/>
    </row>
    <row r="183" spans="1:7" s="2201" customFormat="1" ht="14.25" customHeight="1">
      <c r="A183" s="2336" t="s">
        <v>27</v>
      </c>
      <c r="B183" s="2336" t="s">
        <v>2953</v>
      </c>
      <c r="C183" s="2995"/>
      <c r="D183" s="2995"/>
      <c r="E183" s="2995"/>
      <c r="F183" s="2995">
        <v>2340</v>
      </c>
      <c r="G183" s="2995"/>
    </row>
    <row r="184" spans="1:7" s="2201" customFormat="1" ht="14.25" customHeight="1">
      <c r="A184" s="2336" t="s">
        <v>27</v>
      </c>
      <c r="B184" s="2336" t="s">
        <v>2954</v>
      </c>
      <c r="C184" s="2995"/>
      <c r="D184" s="2995"/>
      <c r="E184" s="2995"/>
      <c r="F184" s="2995">
        <v>2340</v>
      </c>
      <c r="G184" s="2995"/>
    </row>
    <row r="185" spans="1:7" s="2201" customFormat="1" ht="14.25" customHeight="1">
      <c r="A185" s="2336" t="s">
        <v>27</v>
      </c>
      <c r="B185" s="2336" t="s">
        <v>2955</v>
      </c>
      <c r="C185" s="2995"/>
      <c r="D185" s="2995"/>
      <c r="E185" s="2995"/>
      <c r="F185" s="2995">
        <v>2530</v>
      </c>
      <c r="G185" s="2995"/>
    </row>
    <row r="186" spans="1:7" s="2201" customFormat="1" ht="14.25" customHeight="1">
      <c r="A186" s="2336" t="s">
        <v>27</v>
      </c>
      <c r="B186" s="2336" t="s">
        <v>2956</v>
      </c>
      <c r="C186" s="2995"/>
      <c r="D186" s="2995"/>
      <c r="E186" s="2995"/>
      <c r="F186" s="2995">
        <v>2550</v>
      </c>
      <c r="G186" s="2995"/>
    </row>
    <row r="187" spans="1:7" s="2201" customFormat="1" ht="14.25" customHeight="1">
      <c r="A187" s="2336" t="s">
        <v>27</v>
      </c>
      <c r="B187" s="2336" t="s">
        <v>2957</v>
      </c>
      <c r="C187" s="2995"/>
      <c r="D187" s="2995"/>
      <c r="E187" s="2995"/>
      <c r="F187" s="2995">
        <v>2070</v>
      </c>
      <c r="G187" s="2995"/>
    </row>
    <row r="188" spans="1:7" s="2201" customFormat="1" ht="14.25" customHeight="1">
      <c r="A188" s="2336" t="s">
        <v>27</v>
      </c>
      <c r="B188" s="2336" t="s">
        <v>2958</v>
      </c>
      <c r="C188" s="2995"/>
      <c r="D188" s="2995"/>
      <c r="E188" s="2995"/>
      <c r="F188" s="2995">
        <v>2340</v>
      </c>
      <c r="G188" s="2995"/>
    </row>
    <row r="189" spans="1:7" s="2201" customFormat="1" ht="14.25" customHeight="1" thickBot="1">
      <c r="A189" s="2344" t="s">
        <v>27</v>
      </c>
      <c r="B189" s="2347" t="s">
        <v>2959</v>
      </c>
      <c r="C189" s="2997"/>
      <c r="D189" s="2997"/>
      <c r="E189" s="2997"/>
      <c r="F189" s="2997">
        <v>2050</v>
      </c>
      <c r="G189" s="2997"/>
    </row>
    <row r="190" spans="1:7" s="2201" customFormat="1" ht="14.25" customHeight="1">
      <c r="A190" s="2341" t="s">
        <v>302</v>
      </c>
      <c r="B190" s="2332" t="s">
        <v>2979</v>
      </c>
      <c r="C190" s="2994">
        <v>8830</v>
      </c>
      <c r="D190" s="2994">
        <v>8790</v>
      </c>
      <c r="E190" s="2994">
        <v>11630</v>
      </c>
      <c r="F190" s="2994">
        <v>1790</v>
      </c>
      <c r="G190" s="2998">
        <v>5550</v>
      </c>
    </row>
    <row r="191" spans="1:7" s="2201" customFormat="1" ht="14.25" customHeight="1">
      <c r="A191" s="2336" t="s">
        <v>302</v>
      </c>
      <c r="B191" s="2336" t="s">
        <v>131</v>
      </c>
      <c r="C191" s="2995">
        <v>9780</v>
      </c>
      <c r="D191" s="2995">
        <v>9710</v>
      </c>
      <c r="E191" s="2995">
        <v>12550</v>
      </c>
      <c r="F191" s="2995">
        <v>1980</v>
      </c>
      <c r="G191" s="2999">
        <v>6130</v>
      </c>
    </row>
    <row r="192" spans="1:7" s="2201" customFormat="1" ht="14.25" customHeight="1">
      <c r="A192" s="2336" t="s">
        <v>302</v>
      </c>
      <c r="B192" s="2336" t="s">
        <v>140</v>
      </c>
      <c r="C192" s="2995">
        <v>8180</v>
      </c>
      <c r="D192" s="2995">
        <v>8140</v>
      </c>
      <c r="E192" s="2995">
        <v>10870</v>
      </c>
      <c r="F192" s="2995">
        <v>1690</v>
      </c>
      <c r="G192" s="2999">
        <v>5140</v>
      </c>
    </row>
    <row r="193" spans="1:7" s="2201" customFormat="1" ht="14.25" customHeight="1">
      <c r="A193" s="2336" t="s">
        <v>302</v>
      </c>
      <c r="B193" s="2336" t="s">
        <v>149</v>
      </c>
      <c r="C193" s="2995">
        <v>8440</v>
      </c>
      <c r="D193" s="2995">
        <v>8390</v>
      </c>
      <c r="E193" s="2995">
        <v>11210</v>
      </c>
      <c r="F193" s="2995">
        <v>1600</v>
      </c>
      <c r="G193" s="2999">
        <v>5300</v>
      </c>
    </row>
    <row r="194" spans="1:7" s="2201" customFormat="1" ht="14.25" customHeight="1">
      <c r="A194" s="2336" t="s">
        <v>302</v>
      </c>
      <c r="B194" s="2336" t="s">
        <v>158</v>
      </c>
      <c r="C194" s="2995">
        <v>8780</v>
      </c>
      <c r="D194" s="2995">
        <v>8730</v>
      </c>
      <c r="E194" s="2995">
        <v>11550</v>
      </c>
      <c r="F194" s="2995">
        <v>1660</v>
      </c>
      <c r="G194" s="2999">
        <v>5520</v>
      </c>
    </row>
    <row r="195" spans="1:7" s="2201" customFormat="1" ht="14.25" customHeight="1">
      <c r="A195" s="2336" t="s">
        <v>302</v>
      </c>
      <c r="B195" s="2336" t="s">
        <v>165</v>
      </c>
      <c r="C195" s="2995">
        <v>8720</v>
      </c>
      <c r="D195" s="2995">
        <v>8670</v>
      </c>
      <c r="E195" s="2995">
        <v>11450</v>
      </c>
      <c r="F195" s="2995">
        <v>1720</v>
      </c>
      <c r="G195" s="2999">
        <v>5480</v>
      </c>
    </row>
    <row r="196" spans="1:7" s="2201" customFormat="1" ht="14.25" customHeight="1">
      <c r="A196" s="2336" t="s">
        <v>302</v>
      </c>
      <c r="B196" s="2336" t="s">
        <v>171</v>
      </c>
      <c r="C196" s="2995">
        <v>8460</v>
      </c>
      <c r="D196" s="2995">
        <v>8410</v>
      </c>
      <c r="E196" s="2995">
        <v>11230</v>
      </c>
      <c r="F196" s="2995">
        <v>1730</v>
      </c>
      <c r="G196" s="2999">
        <v>5310</v>
      </c>
    </row>
    <row r="197" spans="1:7" s="2201" customFormat="1" ht="14.25" customHeight="1">
      <c r="A197" s="2336" t="s">
        <v>302</v>
      </c>
      <c r="B197" s="2336" t="s">
        <v>178</v>
      </c>
      <c r="C197" s="2995">
        <v>8790</v>
      </c>
      <c r="D197" s="2995">
        <v>8730</v>
      </c>
      <c r="E197" s="2995">
        <v>11560</v>
      </c>
      <c r="F197" s="2995">
        <v>1750</v>
      </c>
      <c r="G197" s="2999">
        <v>5520</v>
      </c>
    </row>
    <row r="198" spans="1:7" s="2201" customFormat="1" ht="14.25" customHeight="1">
      <c r="A198" s="2336" t="s">
        <v>302</v>
      </c>
      <c r="B198" s="2336" t="s">
        <v>188</v>
      </c>
      <c r="C198" s="2995">
        <v>8720</v>
      </c>
      <c r="D198" s="2995">
        <v>8680</v>
      </c>
      <c r="E198" s="2995">
        <v>11470</v>
      </c>
      <c r="F198" s="2995"/>
      <c r="G198" s="2999">
        <v>5480</v>
      </c>
    </row>
    <row r="199" spans="1:7" s="2201" customFormat="1" ht="14.25" customHeight="1">
      <c r="A199" s="2336" t="s">
        <v>302</v>
      </c>
      <c r="B199" s="2336" t="s">
        <v>2980</v>
      </c>
      <c r="C199" s="2995">
        <v>8690</v>
      </c>
      <c r="D199" s="2995">
        <v>8630</v>
      </c>
      <c r="E199" s="2995">
        <v>11350</v>
      </c>
      <c r="F199" s="2995">
        <v>1600</v>
      </c>
      <c r="G199" s="2999">
        <v>5450</v>
      </c>
    </row>
    <row r="200" spans="1:7" s="2201" customFormat="1" ht="14.25" customHeight="1">
      <c r="A200" s="2336" t="s">
        <v>302</v>
      </c>
      <c r="B200" s="2336" t="s">
        <v>2791</v>
      </c>
      <c r="C200" s="2995"/>
      <c r="D200" s="2995"/>
      <c r="E200" s="2995"/>
      <c r="F200" s="2995">
        <v>1510</v>
      </c>
      <c r="G200" s="2999"/>
    </row>
    <row r="201" spans="1:7" s="2201" customFormat="1" ht="14.25" customHeight="1">
      <c r="A201" s="2336" t="s">
        <v>302</v>
      </c>
      <c r="B201" s="2336" t="s">
        <v>2981</v>
      </c>
      <c r="C201" s="2995">
        <v>8440</v>
      </c>
      <c r="D201" s="2995">
        <v>8390</v>
      </c>
      <c r="E201" s="2995">
        <v>10930</v>
      </c>
      <c r="F201" s="2995">
        <v>1500</v>
      </c>
      <c r="G201" s="2999">
        <v>5300</v>
      </c>
    </row>
    <row r="202" spans="1:7" s="2201" customFormat="1" ht="14.25" customHeight="1">
      <c r="A202" s="2336" t="s">
        <v>302</v>
      </c>
      <c r="B202" s="2336" t="s">
        <v>238</v>
      </c>
      <c r="C202" s="2995">
        <v>8530</v>
      </c>
      <c r="D202" s="2995">
        <v>8490</v>
      </c>
      <c r="E202" s="2995">
        <v>11160</v>
      </c>
      <c r="F202" s="2995">
        <v>1580</v>
      </c>
      <c r="G202" s="2999">
        <v>5360</v>
      </c>
    </row>
    <row r="203" spans="1:7" s="2201" customFormat="1" ht="14.25" customHeight="1">
      <c r="A203" s="2336" t="s">
        <v>302</v>
      </c>
      <c r="B203" s="2336" t="s">
        <v>2982</v>
      </c>
      <c r="C203" s="2995">
        <v>8130</v>
      </c>
      <c r="D203" s="2995">
        <v>8070</v>
      </c>
      <c r="E203" s="2995">
        <v>10820</v>
      </c>
      <c r="F203" s="2995">
        <v>1690</v>
      </c>
      <c r="G203" s="2999">
        <v>5100</v>
      </c>
    </row>
    <row r="204" spans="1:7" s="2201" customFormat="1" ht="14.25" customHeight="1">
      <c r="A204" s="2336" t="s">
        <v>302</v>
      </c>
      <c r="B204" s="2336" t="s">
        <v>2802</v>
      </c>
      <c r="C204" s="2995">
        <v>8350</v>
      </c>
      <c r="D204" s="2995">
        <v>8290</v>
      </c>
      <c r="E204" s="2995">
        <v>11080</v>
      </c>
      <c r="F204" s="2995">
        <v>1450</v>
      </c>
      <c r="G204" s="2999">
        <v>5240</v>
      </c>
    </row>
    <row r="205" spans="1:7" s="2201" customFormat="1" ht="14.25" customHeight="1">
      <c r="A205" s="2336" t="s">
        <v>302</v>
      </c>
      <c r="B205" s="2336" t="s">
        <v>2804</v>
      </c>
      <c r="C205" s="2995">
        <v>7190</v>
      </c>
      <c r="D205" s="2995">
        <v>7130</v>
      </c>
      <c r="E205" s="2995">
        <v>9490</v>
      </c>
      <c r="F205" s="2995">
        <v>1470</v>
      </c>
      <c r="G205" s="2999">
        <v>4510</v>
      </c>
    </row>
    <row r="206" spans="1:7" s="2201" customFormat="1" ht="14.25" customHeight="1">
      <c r="A206" s="2336" t="s">
        <v>302</v>
      </c>
      <c r="B206" s="2336" t="s">
        <v>2807</v>
      </c>
      <c r="C206" s="2995">
        <v>7000</v>
      </c>
      <c r="D206" s="2995">
        <v>6950</v>
      </c>
      <c r="E206" s="2995">
        <v>9170</v>
      </c>
      <c r="F206" s="2995">
        <v>1400</v>
      </c>
      <c r="G206" s="2999">
        <v>4380</v>
      </c>
    </row>
    <row r="207" spans="1:7" s="2201" customFormat="1" ht="14.25" customHeight="1">
      <c r="A207" s="2336" t="s">
        <v>302</v>
      </c>
      <c r="B207" s="2336" t="s">
        <v>2809</v>
      </c>
      <c r="C207" s="2995">
        <v>6950</v>
      </c>
      <c r="D207" s="2995">
        <v>6900</v>
      </c>
      <c r="E207" s="2995">
        <v>9110</v>
      </c>
      <c r="F207" s="2995">
        <v>1790</v>
      </c>
      <c r="G207" s="2999">
        <v>4360</v>
      </c>
    </row>
    <row r="208" spans="1:7" s="2201" customFormat="1" ht="14.25" customHeight="1">
      <c r="A208" s="2336" t="s">
        <v>302</v>
      </c>
      <c r="B208" s="2336" t="s">
        <v>2983</v>
      </c>
      <c r="C208" s="2995">
        <v>9470</v>
      </c>
      <c r="D208" s="2995">
        <v>9410</v>
      </c>
      <c r="E208" s="2995">
        <v>12330</v>
      </c>
      <c r="F208" s="2995">
        <v>1770</v>
      </c>
      <c r="G208" s="2999">
        <v>5940</v>
      </c>
    </row>
    <row r="209" spans="1:7" s="2201" customFormat="1" ht="14.25" customHeight="1">
      <c r="A209" s="2336" t="s">
        <v>302</v>
      </c>
      <c r="B209" s="2336" t="s">
        <v>262</v>
      </c>
      <c r="C209" s="2995">
        <v>8740</v>
      </c>
      <c r="D209" s="2995">
        <v>8700</v>
      </c>
      <c r="E209" s="2995">
        <v>11500</v>
      </c>
      <c r="F209" s="2995">
        <v>1730</v>
      </c>
      <c r="G209" s="2999">
        <v>5490</v>
      </c>
    </row>
    <row r="210" spans="1:7" s="2201" customFormat="1" ht="14.25" customHeight="1">
      <c r="A210" s="2336" t="s">
        <v>302</v>
      </c>
      <c r="B210" s="2336" t="s">
        <v>2819</v>
      </c>
      <c r="C210" s="2995">
        <v>8710</v>
      </c>
      <c r="D210" s="2995">
        <v>8660</v>
      </c>
      <c r="E210" s="2995">
        <v>11440</v>
      </c>
      <c r="F210" s="2995">
        <v>1740</v>
      </c>
      <c r="G210" s="2999">
        <v>5470</v>
      </c>
    </row>
    <row r="211" spans="1:7" s="2201" customFormat="1" ht="14.25" customHeight="1">
      <c r="A211" s="2336" t="s">
        <v>302</v>
      </c>
      <c r="B211" s="2336" t="s">
        <v>2984</v>
      </c>
      <c r="C211" s="2995">
        <v>9480</v>
      </c>
      <c r="D211" s="2995">
        <v>9430</v>
      </c>
      <c r="E211" s="2995">
        <v>12360</v>
      </c>
      <c r="F211" s="2995">
        <v>1820</v>
      </c>
      <c r="G211" s="2999">
        <v>5950</v>
      </c>
    </row>
    <row r="212" spans="1:7" s="2201" customFormat="1" ht="14.25" customHeight="1">
      <c r="A212" s="2336" t="s">
        <v>302</v>
      </c>
      <c r="B212" s="2336" t="s">
        <v>283</v>
      </c>
      <c r="C212" s="2995">
        <v>9070</v>
      </c>
      <c r="D212" s="2995">
        <v>9020</v>
      </c>
      <c r="E212" s="2995">
        <v>11720</v>
      </c>
      <c r="F212" s="2995">
        <v>1850</v>
      </c>
      <c r="G212" s="2999">
        <v>5700</v>
      </c>
    </row>
    <row r="213" spans="1:7" s="2201" customFormat="1" ht="14.25" customHeight="1">
      <c r="A213" s="2336" t="s">
        <v>302</v>
      </c>
      <c r="B213" s="2336" t="s">
        <v>286</v>
      </c>
      <c r="C213" s="2995">
        <v>9030</v>
      </c>
      <c r="D213" s="2995">
        <v>8980</v>
      </c>
      <c r="E213" s="2995">
        <v>11670</v>
      </c>
      <c r="F213" s="2995">
        <v>1690</v>
      </c>
      <c r="G213" s="2999">
        <v>5670</v>
      </c>
    </row>
    <row r="214" spans="1:7" s="2201" customFormat="1" ht="14.25" customHeight="1">
      <c r="A214" s="2336" t="s">
        <v>302</v>
      </c>
      <c r="B214" s="2336" t="s">
        <v>2985</v>
      </c>
      <c r="C214" s="2995">
        <v>8090</v>
      </c>
      <c r="D214" s="2995">
        <v>8030</v>
      </c>
      <c r="E214" s="2995">
        <v>10780</v>
      </c>
      <c r="F214" s="2995">
        <v>1570</v>
      </c>
      <c r="G214" s="2999">
        <v>5070</v>
      </c>
    </row>
    <row r="215" spans="1:7" s="2201" customFormat="1" ht="14.25" customHeight="1">
      <c r="A215" s="2336" t="s">
        <v>302</v>
      </c>
      <c r="B215" s="2336" t="s">
        <v>2986</v>
      </c>
      <c r="C215" s="2995">
        <v>7950</v>
      </c>
      <c r="D215" s="2995">
        <v>7900</v>
      </c>
      <c r="E215" s="2995">
        <v>10560</v>
      </c>
      <c r="F215" s="2995">
        <v>1630</v>
      </c>
      <c r="G215" s="2999">
        <v>4990</v>
      </c>
    </row>
    <row r="216" spans="1:7" s="2201" customFormat="1" ht="14.25" customHeight="1">
      <c r="A216" s="2336" t="s">
        <v>302</v>
      </c>
      <c r="B216" s="2336" t="s">
        <v>2987</v>
      </c>
      <c r="C216" s="2995">
        <v>8490</v>
      </c>
      <c r="D216" s="2995">
        <v>8440</v>
      </c>
      <c r="E216" s="2995">
        <v>11260</v>
      </c>
      <c r="F216" s="2995">
        <v>1690</v>
      </c>
      <c r="G216" s="2999">
        <v>5330</v>
      </c>
    </row>
    <row r="217" spans="1:7" s="2201" customFormat="1" ht="14.25" customHeight="1">
      <c r="A217" s="2336" t="s">
        <v>302</v>
      </c>
      <c r="B217" s="2336" t="s">
        <v>2852</v>
      </c>
      <c r="C217" s="2995">
        <v>8200</v>
      </c>
      <c r="D217" s="2995">
        <v>8150</v>
      </c>
      <c r="E217" s="2995">
        <v>10910</v>
      </c>
      <c r="F217" s="2995">
        <v>1670</v>
      </c>
      <c r="G217" s="2999">
        <v>5150</v>
      </c>
    </row>
    <row r="218" spans="1:7" s="2201" customFormat="1" ht="14.25" customHeight="1">
      <c r="A218" s="2336" t="s">
        <v>302</v>
      </c>
      <c r="B218" s="2336" t="s">
        <v>2988</v>
      </c>
      <c r="C218" s="2995"/>
      <c r="D218" s="2995"/>
      <c r="E218" s="2995"/>
      <c r="F218" s="2995">
        <v>2040</v>
      </c>
      <c r="G218" s="2999"/>
    </row>
    <row r="219" spans="1:7" s="2201" customFormat="1" ht="14.25" customHeight="1">
      <c r="A219" s="2336" t="s">
        <v>302</v>
      </c>
      <c r="B219" s="2336" t="s">
        <v>2989</v>
      </c>
      <c r="C219" s="2995"/>
      <c r="D219" s="2995"/>
      <c r="E219" s="2995"/>
      <c r="F219" s="2995">
        <v>2040</v>
      </c>
      <c r="G219" s="2999"/>
    </row>
    <row r="220" spans="1:7" s="2201" customFormat="1" ht="14.25" customHeight="1">
      <c r="A220" s="2336" t="s">
        <v>302</v>
      </c>
      <c r="B220" s="2336" t="s">
        <v>2990</v>
      </c>
      <c r="C220" s="2995"/>
      <c r="D220" s="2995"/>
      <c r="E220" s="2995"/>
      <c r="F220" s="2995">
        <v>2040</v>
      </c>
      <c r="G220" s="2999"/>
    </row>
    <row r="221" spans="1:7" s="2201" customFormat="1" ht="14.25" customHeight="1">
      <c r="A221" s="2336" t="s">
        <v>302</v>
      </c>
      <c r="B221" s="2336" t="s">
        <v>2991</v>
      </c>
      <c r="C221" s="2995"/>
      <c r="D221" s="2995"/>
      <c r="E221" s="2995"/>
      <c r="F221" s="2995">
        <v>2040</v>
      </c>
      <c r="G221" s="2999"/>
    </row>
    <row r="222" spans="1:7" s="2201" customFormat="1" ht="14.25" customHeight="1">
      <c r="A222" s="2336" t="s">
        <v>302</v>
      </c>
      <c r="B222" s="2336" t="s">
        <v>2992</v>
      </c>
      <c r="C222" s="2995"/>
      <c r="D222" s="2995"/>
      <c r="E222" s="2995"/>
      <c r="F222" s="2995">
        <v>2040</v>
      </c>
      <c r="G222" s="2999"/>
    </row>
    <row r="223" spans="1:7" s="2201" customFormat="1" ht="14.25" customHeight="1">
      <c r="A223" s="2336" t="s">
        <v>302</v>
      </c>
      <c r="B223" s="2336" t="s">
        <v>2993</v>
      </c>
      <c r="C223" s="2995"/>
      <c r="D223" s="2995"/>
      <c r="E223" s="2995"/>
      <c r="F223" s="2995">
        <v>1930</v>
      </c>
      <c r="G223" s="2999"/>
    </row>
    <row r="224" spans="1:7" s="2201" customFormat="1" ht="14.25" customHeight="1">
      <c r="A224" s="2336" t="s">
        <v>302</v>
      </c>
      <c r="B224" s="2336" t="s">
        <v>2994</v>
      </c>
      <c r="C224" s="2995"/>
      <c r="D224" s="2995"/>
      <c r="E224" s="2995"/>
      <c r="F224" s="2995">
        <v>1930</v>
      </c>
      <c r="G224" s="2999"/>
    </row>
    <row r="225" spans="1:7" s="2201" customFormat="1" ht="14.25" customHeight="1">
      <c r="A225" s="2336" t="s">
        <v>302</v>
      </c>
      <c r="B225" s="2336" t="s">
        <v>2995</v>
      </c>
      <c r="C225" s="2995"/>
      <c r="D225" s="2995"/>
      <c r="E225" s="2995"/>
      <c r="F225" s="2995">
        <v>1930</v>
      </c>
      <c r="G225" s="2999"/>
    </row>
    <row r="226" spans="1:7" s="2201" customFormat="1" ht="14.25" customHeight="1">
      <c r="A226" s="2336" t="s">
        <v>302</v>
      </c>
      <c r="B226" s="2336" t="s">
        <v>2996</v>
      </c>
      <c r="C226" s="2995"/>
      <c r="D226" s="2995"/>
      <c r="E226" s="2995"/>
      <c r="F226" s="2995">
        <v>1700</v>
      </c>
      <c r="G226" s="2999"/>
    </row>
    <row r="227" spans="1:7" s="2201" customFormat="1" ht="14.25" customHeight="1">
      <c r="A227" s="2336" t="s">
        <v>302</v>
      </c>
      <c r="B227" s="2336" t="s">
        <v>2997</v>
      </c>
      <c r="C227" s="2995"/>
      <c r="D227" s="2995"/>
      <c r="E227" s="2995"/>
      <c r="F227" s="2995">
        <v>1520</v>
      </c>
      <c r="G227" s="2999"/>
    </row>
    <row r="228" spans="1:7" s="2201" customFormat="1" ht="14.25" customHeight="1">
      <c r="A228" s="2336" t="s">
        <v>302</v>
      </c>
      <c r="B228" s="2336" t="s">
        <v>2998</v>
      </c>
      <c r="C228" s="2995"/>
      <c r="D228" s="2995"/>
      <c r="E228" s="2995"/>
      <c r="F228" s="2995">
        <v>1520</v>
      </c>
      <c r="G228" s="2999"/>
    </row>
    <row r="229" spans="1:7" s="2201" customFormat="1" ht="14.25" customHeight="1">
      <c r="A229" s="2336" t="s">
        <v>302</v>
      </c>
      <c r="B229" s="2336" t="s">
        <v>2915</v>
      </c>
      <c r="C229" s="2995"/>
      <c r="D229" s="2995"/>
      <c r="E229" s="2995"/>
      <c r="F229" s="2995">
        <v>1520</v>
      </c>
      <c r="G229" s="2999"/>
    </row>
    <row r="230" spans="1:7" s="2201" customFormat="1" ht="14.25" customHeight="1">
      <c r="A230" s="2336" t="s">
        <v>302</v>
      </c>
      <c r="B230" s="2336" t="s">
        <v>2999</v>
      </c>
      <c r="C230" s="2995"/>
      <c r="D230" s="2995"/>
      <c r="E230" s="2995"/>
      <c r="F230" s="2995">
        <v>1820</v>
      </c>
      <c r="G230" s="2999"/>
    </row>
    <row r="231" spans="1:7" s="2201" customFormat="1" ht="14.25" customHeight="1">
      <c r="A231" s="2336" t="s">
        <v>302</v>
      </c>
      <c r="B231" s="2336" t="s">
        <v>3000</v>
      </c>
      <c r="C231" s="2995"/>
      <c r="D231" s="2995"/>
      <c r="E231" s="2995"/>
      <c r="F231" s="2995">
        <v>1760</v>
      </c>
      <c r="G231" s="2999"/>
    </row>
    <row r="232" spans="1:7" s="2201" customFormat="1" ht="14.25" customHeight="1">
      <c r="A232" s="2336" t="s">
        <v>302</v>
      </c>
      <c r="B232" s="2336" t="s">
        <v>3001</v>
      </c>
      <c r="C232" s="2995"/>
      <c r="D232" s="2995"/>
      <c r="E232" s="2995"/>
      <c r="F232" s="2995">
        <v>1840</v>
      </c>
      <c r="G232" s="2999"/>
    </row>
    <row r="233" spans="1:7" s="2201" customFormat="1" ht="14.25" customHeight="1" thickBot="1">
      <c r="A233" s="2348" t="s">
        <v>302</v>
      </c>
      <c r="B233" s="2343" t="s">
        <v>2932</v>
      </c>
      <c r="C233" s="2996"/>
      <c r="D233" s="2996"/>
      <c r="E233" s="2996"/>
      <c r="F233" s="2996">
        <v>1770</v>
      </c>
      <c r="G233" s="3000"/>
    </row>
    <row r="234" spans="1:7" s="2201" customFormat="1" ht="14.25" customHeight="1">
      <c r="A234" s="2341" t="s">
        <v>303</v>
      </c>
      <c r="B234" s="2332" t="s">
        <v>3002</v>
      </c>
      <c r="C234" s="2995">
        <v>6980</v>
      </c>
      <c r="D234" s="2995">
        <v>6970</v>
      </c>
      <c r="E234" s="2995">
        <v>8720</v>
      </c>
      <c r="F234" s="2995">
        <v>1350</v>
      </c>
      <c r="G234" s="2995">
        <v>4280</v>
      </c>
    </row>
    <row r="235" spans="1:7" s="2201" customFormat="1" ht="14.25" customHeight="1">
      <c r="A235" s="2336" t="s">
        <v>303</v>
      </c>
      <c r="B235" s="2336" t="s">
        <v>132</v>
      </c>
      <c r="C235" s="2995">
        <v>7620</v>
      </c>
      <c r="D235" s="2995">
        <v>7580</v>
      </c>
      <c r="E235" s="2995">
        <v>9360</v>
      </c>
      <c r="F235" s="2995">
        <v>1490</v>
      </c>
      <c r="G235" s="2995">
        <v>4650</v>
      </c>
    </row>
    <row r="236" spans="1:7" s="2201" customFormat="1" ht="14.25" customHeight="1">
      <c r="A236" s="2336" t="s">
        <v>303</v>
      </c>
      <c r="B236" s="2336" t="s">
        <v>141</v>
      </c>
      <c r="C236" s="2995">
        <v>6650</v>
      </c>
      <c r="D236" s="2995">
        <v>6630</v>
      </c>
      <c r="E236" s="2995">
        <v>8330</v>
      </c>
      <c r="F236" s="2995">
        <v>1250</v>
      </c>
      <c r="G236" s="2995">
        <v>4070</v>
      </c>
    </row>
    <row r="237" spans="1:7" s="2201" customFormat="1" ht="14.25" customHeight="1">
      <c r="A237" s="2336" t="s">
        <v>303</v>
      </c>
      <c r="B237" s="2336" t="s">
        <v>150</v>
      </c>
      <c r="C237" s="2995">
        <v>5850</v>
      </c>
      <c r="D237" s="2995">
        <v>5820</v>
      </c>
      <c r="E237" s="2995">
        <v>7260</v>
      </c>
      <c r="F237" s="2995">
        <v>1140</v>
      </c>
      <c r="G237" s="2995">
        <v>3570</v>
      </c>
    </row>
    <row r="238" spans="1:7" s="2201" customFormat="1" ht="14.25" customHeight="1">
      <c r="A238" s="2336" t="s">
        <v>303</v>
      </c>
      <c r="B238" s="2336" t="s">
        <v>2773</v>
      </c>
      <c r="C238" s="2995">
        <v>6920</v>
      </c>
      <c r="D238" s="2995">
        <v>6890</v>
      </c>
      <c r="E238" s="2995">
        <v>8640</v>
      </c>
      <c r="F238" s="2995">
        <v>1310</v>
      </c>
      <c r="G238" s="2995">
        <v>4230</v>
      </c>
    </row>
    <row r="239" spans="1:7" s="2201" customFormat="1" ht="14.25" customHeight="1">
      <c r="A239" s="2336" t="s">
        <v>303</v>
      </c>
      <c r="B239" s="2336" t="s">
        <v>3003</v>
      </c>
      <c r="C239" s="2995">
        <v>6780</v>
      </c>
      <c r="D239" s="2995">
        <v>6750</v>
      </c>
      <c r="E239" s="2995">
        <v>8440</v>
      </c>
      <c r="F239" s="2995">
        <v>1160</v>
      </c>
      <c r="G239" s="2995">
        <v>4140</v>
      </c>
    </row>
    <row r="240" spans="1:7" s="2201" customFormat="1" ht="14.25" customHeight="1">
      <c r="A240" s="2336" t="s">
        <v>303</v>
      </c>
      <c r="B240" s="2336" t="s">
        <v>3004</v>
      </c>
      <c r="C240" s="2995">
        <v>5420</v>
      </c>
      <c r="D240" s="2995">
        <v>5380</v>
      </c>
      <c r="E240" s="2995">
        <v>6640</v>
      </c>
      <c r="F240" s="2995">
        <v>1020</v>
      </c>
      <c r="G240" s="2995">
        <v>3300</v>
      </c>
    </row>
    <row r="241" spans="1:7" s="2201" customFormat="1" ht="14.25" customHeight="1">
      <c r="A241" s="2336" t="s">
        <v>303</v>
      </c>
      <c r="B241" s="2336" t="s">
        <v>3005</v>
      </c>
      <c r="C241" s="2995">
        <v>6660</v>
      </c>
      <c r="D241" s="2995">
        <v>6640</v>
      </c>
      <c r="E241" s="2995">
        <v>8340</v>
      </c>
      <c r="F241" s="2995">
        <v>1130</v>
      </c>
      <c r="G241" s="2995">
        <v>4080</v>
      </c>
    </row>
    <row r="242" spans="1:7" s="2201" customFormat="1" ht="14.25" customHeight="1">
      <c r="A242" s="2336" t="s">
        <v>303</v>
      </c>
      <c r="B242" s="2336" t="s">
        <v>179</v>
      </c>
      <c r="C242" s="2995">
        <v>6580</v>
      </c>
      <c r="D242" s="2995">
        <v>6550</v>
      </c>
      <c r="E242" s="2995">
        <v>8090</v>
      </c>
      <c r="F242" s="2995">
        <v>1240</v>
      </c>
      <c r="G242" s="2995">
        <v>4020</v>
      </c>
    </row>
    <row r="243" spans="1:7" s="2201" customFormat="1" ht="14.25" customHeight="1">
      <c r="A243" s="2336" t="s">
        <v>303</v>
      </c>
      <c r="B243" s="2336" t="s">
        <v>189</v>
      </c>
      <c r="C243" s="2995">
        <v>6000</v>
      </c>
      <c r="D243" s="2995">
        <v>5970</v>
      </c>
      <c r="E243" s="2995">
        <v>7370</v>
      </c>
      <c r="F243" s="2995">
        <v>1070</v>
      </c>
      <c r="G243" s="2995">
        <v>3670</v>
      </c>
    </row>
    <row r="244" spans="1:7" s="2201" customFormat="1" ht="14.25" customHeight="1">
      <c r="A244" s="2336" t="s">
        <v>303</v>
      </c>
      <c r="B244" s="2336" t="s">
        <v>3006</v>
      </c>
      <c r="C244" s="2995">
        <v>5840</v>
      </c>
      <c r="D244" s="2995">
        <v>5810</v>
      </c>
      <c r="E244" s="2995">
        <v>7240</v>
      </c>
      <c r="F244" s="2995">
        <v>1100</v>
      </c>
      <c r="G244" s="2995">
        <v>3560</v>
      </c>
    </row>
    <row r="245" spans="1:7" s="2201" customFormat="1" ht="14.25" customHeight="1">
      <c r="A245" s="2336" t="s">
        <v>303</v>
      </c>
      <c r="B245" s="2336" t="s">
        <v>204</v>
      </c>
      <c r="C245" s="2995">
        <v>6040</v>
      </c>
      <c r="D245" s="2995">
        <v>6000</v>
      </c>
      <c r="E245" s="2995">
        <v>7420</v>
      </c>
      <c r="F245" s="2995">
        <v>1140</v>
      </c>
      <c r="G245" s="2995">
        <v>3690</v>
      </c>
    </row>
    <row r="246" spans="1:7" s="2201" customFormat="1" ht="14.25" customHeight="1">
      <c r="A246" s="2336" t="s">
        <v>303</v>
      </c>
      <c r="B246" s="2336" t="s">
        <v>211</v>
      </c>
      <c r="C246" s="2995">
        <v>5890</v>
      </c>
      <c r="D246" s="2995">
        <v>5860</v>
      </c>
      <c r="E246" s="2995">
        <v>7300</v>
      </c>
      <c r="F246" s="2995">
        <v>1110</v>
      </c>
      <c r="G246" s="2995">
        <v>3590</v>
      </c>
    </row>
    <row r="247" spans="1:7" s="2201" customFormat="1" ht="14.25" customHeight="1">
      <c r="A247" s="2336" t="s">
        <v>303</v>
      </c>
      <c r="B247" s="2336" t="s">
        <v>3007</v>
      </c>
      <c r="C247" s="2995">
        <v>6480</v>
      </c>
      <c r="D247" s="2995">
        <v>6450</v>
      </c>
      <c r="E247" s="2995">
        <v>8010</v>
      </c>
      <c r="F247" s="2995">
        <v>1170</v>
      </c>
      <c r="G247" s="2995">
        <v>3960</v>
      </c>
    </row>
    <row r="248" spans="1:7" s="2201" customFormat="1" ht="14.25" customHeight="1">
      <c r="A248" s="2336" t="s">
        <v>303</v>
      </c>
      <c r="B248" s="2336" t="s">
        <v>225</v>
      </c>
      <c r="C248" s="2995">
        <v>6860</v>
      </c>
      <c r="D248" s="2995">
        <v>6840</v>
      </c>
      <c r="E248" s="2995">
        <v>8520</v>
      </c>
      <c r="F248" s="2995">
        <v>1240</v>
      </c>
      <c r="G248" s="2995">
        <v>4200</v>
      </c>
    </row>
    <row r="249" spans="1:7" s="2201" customFormat="1" ht="14.25" customHeight="1">
      <c r="A249" s="2336" t="s">
        <v>303</v>
      </c>
      <c r="B249" s="2336" t="s">
        <v>3008</v>
      </c>
      <c r="C249" s="2995">
        <v>7180</v>
      </c>
      <c r="D249" s="2995">
        <v>7140</v>
      </c>
      <c r="E249" s="2995">
        <v>8900</v>
      </c>
      <c r="F249" s="2995">
        <v>1350</v>
      </c>
      <c r="G249" s="2995">
        <v>4380</v>
      </c>
    </row>
    <row r="250" spans="1:7" s="2201" customFormat="1" ht="14.25" customHeight="1">
      <c r="A250" s="2336" t="s">
        <v>303</v>
      </c>
      <c r="B250" s="2336" t="s">
        <v>239</v>
      </c>
      <c r="C250" s="2995">
        <v>6880</v>
      </c>
      <c r="D250" s="2995">
        <v>6860</v>
      </c>
      <c r="E250" s="2995">
        <v>8550</v>
      </c>
      <c r="F250" s="2995">
        <v>1220</v>
      </c>
      <c r="G250" s="2995">
        <v>4210</v>
      </c>
    </row>
    <row r="251" spans="1:7" s="2201" customFormat="1" ht="14.25" customHeight="1">
      <c r="A251" s="2336" t="s">
        <v>303</v>
      </c>
      <c r="B251" s="2336" t="s">
        <v>247</v>
      </c>
      <c r="C251" s="2995"/>
      <c r="D251" s="2995"/>
      <c r="E251" s="2995"/>
      <c r="F251" s="2995">
        <v>1100</v>
      </c>
      <c r="G251" s="2995"/>
    </row>
    <row r="252" spans="1:7" s="2201" customFormat="1" ht="14.25" customHeight="1">
      <c r="A252" s="2336" t="s">
        <v>303</v>
      </c>
      <c r="B252" s="2336" t="s">
        <v>3009</v>
      </c>
      <c r="C252" s="2995">
        <v>7240</v>
      </c>
      <c r="D252" s="2995">
        <v>7200</v>
      </c>
      <c r="E252" s="2995">
        <v>9040</v>
      </c>
      <c r="F252" s="2995">
        <v>1380</v>
      </c>
      <c r="G252" s="2995">
        <v>4420</v>
      </c>
    </row>
    <row r="253" spans="1:7" s="2201" customFormat="1" ht="14.25" customHeight="1">
      <c r="A253" s="2336" t="s">
        <v>303</v>
      </c>
      <c r="B253" s="2336" t="s">
        <v>281</v>
      </c>
      <c r="C253" s="2995">
        <v>6670</v>
      </c>
      <c r="D253" s="2995">
        <v>6650</v>
      </c>
      <c r="E253" s="2995">
        <v>8350</v>
      </c>
      <c r="F253" s="2995">
        <v>1260</v>
      </c>
      <c r="G253" s="2995">
        <v>4080</v>
      </c>
    </row>
    <row r="254" spans="1:7" s="2201" customFormat="1" ht="14.25" customHeight="1">
      <c r="A254" s="2336" t="s">
        <v>303</v>
      </c>
      <c r="B254" s="2336" t="s">
        <v>284</v>
      </c>
      <c r="C254" s="2995">
        <v>7630</v>
      </c>
      <c r="D254" s="2995">
        <v>7590</v>
      </c>
      <c r="E254" s="2995">
        <v>9380</v>
      </c>
      <c r="F254" s="2995">
        <v>1320</v>
      </c>
      <c r="G254" s="2995">
        <v>4660</v>
      </c>
    </row>
    <row r="255" spans="1:7" s="2201" customFormat="1" ht="14.25" customHeight="1">
      <c r="A255" s="2336" t="s">
        <v>303</v>
      </c>
      <c r="B255" s="2336" t="s">
        <v>287</v>
      </c>
      <c r="C255" s="2995">
        <v>6940</v>
      </c>
      <c r="D255" s="2995">
        <v>6890</v>
      </c>
      <c r="E255" s="2995">
        <v>8650</v>
      </c>
      <c r="F255" s="2995">
        <v>1210</v>
      </c>
      <c r="G255" s="2995">
        <v>4230</v>
      </c>
    </row>
    <row r="256" spans="1:7" s="2201" customFormat="1" ht="14.25" customHeight="1">
      <c r="A256" s="2336" t="s">
        <v>303</v>
      </c>
      <c r="B256" s="2336" t="s">
        <v>3010</v>
      </c>
      <c r="C256" s="2995">
        <v>7520</v>
      </c>
      <c r="D256" s="2995">
        <v>7490</v>
      </c>
      <c r="E256" s="2995">
        <v>9240</v>
      </c>
      <c r="F256" s="2995">
        <v>1270</v>
      </c>
      <c r="G256" s="2995">
        <v>4590</v>
      </c>
    </row>
    <row r="257" spans="1:7" s="2201" customFormat="1" ht="14.25" customHeight="1">
      <c r="A257" s="2336" t="s">
        <v>303</v>
      </c>
      <c r="B257" s="2336" t="s">
        <v>273</v>
      </c>
      <c r="C257" s="2995">
        <v>6280</v>
      </c>
      <c r="D257" s="2995">
        <v>6230</v>
      </c>
      <c r="E257" s="2995">
        <v>7740</v>
      </c>
      <c r="F257" s="2995">
        <v>1080</v>
      </c>
      <c r="G257" s="2995">
        <v>3830</v>
      </c>
    </row>
    <row r="258" spans="1:7" s="2201" customFormat="1" ht="14.25" customHeight="1">
      <c r="A258" s="2336" t="s">
        <v>303</v>
      </c>
      <c r="B258" s="2336" t="s">
        <v>2835</v>
      </c>
      <c r="C258" s="2995">
        <v>6190</v>
      </c>
      <c r="D258" s="2995">
        <v>6160</v>
      </c>
      <c r="E258" s="2995">
        <v>7680</v>
      </c>
      <c r="F258" s="2995">
        <v>1170</v>
      </c>
      <c r="G258" s="2995">
        <v>3780</v>
      </c>
    </row>
    <row r="259" spans="1:7" s="2201" customFormat="1" ht="14.25" customHeight="1">
      <c r="A259" s="2336" t="s">
        <v>303</v>
      </c>
      <c r="B259" s="2336" t="s">
        <v>3011</v>
      </c>
      <c r="C259" s="2995">
        <v>7610</v>
      </c>
      <c r="D259" s="2995">
        <v>7570</v>
      </c>
      <c r="E259" s="2995">
        <v>9350</v>
      </c>
      <c r="F259" s="2995">
        <v>1350</v>
      </c>
      <c r="G259" s="2995">
        <v>4650</v>
      </c>
    </row>
    <row r="260" spans="1:7" s="2201" customFormat="1" ht="14.25" customHeight="1">
      <c r="A260" s="2336" t="s">
        <v>303</v>
      </c>
      <c r="B260" s="2336" t="s">
        <v>3012</v>
      </c>
      <c r="C260" s="2995">
        <v>6920</v>
      </c>
      <c r="D260" s="2995">
        <v>6880</v>
      </c>
      <c r="E260" s="2995">
        <v>8380</v>
      </c>
      <c r="F260" s="2995">
        <v>1160</v>
      </c>
      <c r="G260" s="2995">
        <v>4220</v>
      </c>
    </row>
    <row r="261" spans="1:7" s="2201" customFormat="1" ht="14.25" customHeight="1">
      <c r="A261" s="2336" t="s">
        <v>303</v>
      </c>
      <c r="B261" s="2336" t="s">
        <v>3013</v>
      </c>
      <c r="C261" s="2995">
        <v>6850</v>
      </c>
      <c r="D261" s="2995">
        <v>6810</v>
      </c>
      <c r="E261" s="2995">
        <v>8290</v>
      </c>
      <c r="F261" s="2995">
        <v>1130</v>
      </c>
      <c r="G261" s="2995">
        <v>4180</v>
      </c>
    </row>
    <row r="262" spans="1:7" s="2201" customFormat="1" ht="14.25" customHeight="1">
      <c r="A262" s="2336" t="s">
        <v>303</v>
      </c>
      <c r="B262" s="2336" t="s">
        <v>3014</v>
      </c>
      <c r="C262" s="2995">
        <v>5860</v>
      </c>
      <c r="D262" s="2995">
        <v>5820</v>
      </c>
      <c r="E262" s="2995">
        <v>7640</v>
      </c>
      <c r="F262" s="2995">
        <v>1070</v>
      </c>
      <c r="G262" s="2995">
        <v>3570</v>
      </c>
    </row>
    <row r="263" spans="1:7" s="2201" customFormat="1" ht="14.25" customHeight="1">
      <c r="A263" s="2336" t="s">
        <v>303</v>
      </c>
      <c r="B263" s="2336" t="s">
        <v>3015</v>
      </c>
      <c r="C263" s="2995">
        <v>5870</v>
      </c>
      <c r="D263" s="2995">
        <v>5840</v>
      </c>
      <c r="E263" s="2995">
        <v>7270</v>
      </c>
      <c r="F263" s="2995">
        <v>1190</v>
      </c>
      <c r="G263" s="2995">
        <v>3580</v>
      </c>
    </row>
    <row r="264" spans="1:7" s="2201" customFormat="1" ht="14.25" customHeight="1">
      <c r="A264" s="2336" t="s">
        <v>303</v>
      </c>
      <c r="B264" s="2336" t="s">
        <v>297</v>
      </c>
      <c r="C264" s="2995">
        <v>6190</v>
      </c>
      <c r="D264" s="2995">
        <v>6150</v>
      </c>
      <c r="E264" s="2995">
        <v>7660</v>
      </c>
      <c r="F264" s="2995">
        <v>1160</v>
      </c>
      <c r="G264" s="2995">
        <v>3770</v>
      </c>
    </row>
    <row r="265" spans="1:7" s="2201" customFormat="1" ht="14.25" customHeight="1">
      <c r="A265" s="2336" t="s">
        <v>303</v>
      </c>
      <c r="B265" s="2336" t="s">
        <v>3016</v>
      </c>
      <c r="C265" s="2995"/>
      <c r="D265" s="2995"/>
      <c r="E265" s="2995"/>
      <c r="F265" s="2995">
        <v>1500</v>
      </c>
      <c r="G265" s="2995"/>
    </row>
    <row r="266" spans="1:7" s="2201" customFormat="1" ht="14.25" customHeight="1">
      <c r="A266" s="2336" t="s">
        <v>303</v>
      </c>
      <c r="B266" s="2336" t="s">
        <v>3017</v>
      </c>
      <c r="C266" s="2995"/>
      <c r="D266" s="2995"/>
      <c r="E266" s="2995"/>
      <c r="F266" s="2995">
        <v>1500</v>
      </c>
      <c r="G266" s="2995"/>
    </row>
    <row r="267" spans="1:7" s="2201" customFormat="1" ht="14.25" customHeight="1">
      <c r="A267" s="2336" t="s">
        <v>303</v>
      </c>
      <c r="B267" s="2336" t="s">
        <v>3018</v>
      </c>
      <c r="C267" s="2995"/>
      <c r="D267" s="2995"/>
      <c r="E267" s="2995"/>
      <c r="F267" s="2995">
        <v>1500</v>
      </c>
      <c r="G267" s="2995"/>
    </row>
    <row r="268" spans="1:7" s="2201" customFormat="1" ht="14.25" customHeight="1">
      <c r="A268" s="2336" t="s">
        <v>303</v>
      </c>
      <c r="B268" s="2336" t="s">
        <v>3019</v>
      </c>
      <c r="C268" s="2995"/>
      <c r="D268" s="2995"/>
      <c r="E268" s="2995"/>
      <c r="F268" s="2995">
        <v>1290</v>
      </c>
      <c r="G268" s="2995"/>
    </row>
    <row r="269" spans="1:7" s="2201" customFormat="1" ht="14.25" customHeight="1">
      <c r="A269" s="2336" t="s">
        <v>303</v>
      </c>
      <c r="B269" s="2336" t="s">
        <v>3020</v>
      </c>
      <c r="C269" s="2995"/>
      <c r="D269" s="2995"/>
      <c r="E269" s="2995"/>
      <c r="F269" s="2995">
        <v>1150</v>
      </c>
      <c r="G269" s="2995"/>
    </row>
    <row r="270" spans="1:7" s="2201" customFormat="1" ht="14.25" customHeight="1">
      <c r="A270" s="2336" t="s">
        <v>303</v>
      </c>
      <c r="B270" s="2336" t="s">
        <v>3021</v>
      </c>
      <c r="C270" s="2995"/>
      <c r="D270" s="2995"/>
      <c r="E270" s="2995"/>
      <c r="F270" s="2995">
        <v>1380</v>
      </c>
      <c r="G270" s="2995"/>
    </row>
    <row r="271" spans="1:7" s="2201" customFormat="1" ht="14.25" customHeight="1">
      <c r="A271" s="2336" t="s">
        <v>303</v>
      </c>
      <c r="B271" s="2336" t="s">
        <v>3022</v>
      </c>
      <c r="C271" s="2995"/>
      <c r="D271" s="2995"/>
      <c r="E271" s="2995"/>
      <c r="F271" s="2995">
        <v>1460</v>
      </c>
      <c r="G271" s="2995"/>
    </row>
    <row r="272" spans="1:7" s="2201" customFormat="1" ht="14.25" customHeight="1">
      <c r="A272" s="2336" t="s">
        <v>303</v>
      </c>
      <c r="B272" s="2336" t="s">
        <v>3023</v>
      </c>
      <c r="C272" s="2995"/>
      <c r="D272" s="2995"/>
      <c r="E272" s="2995"/>
      <c r="F272" s="2995">
        <v>1460</v>
      </c>
      <c r="G272" s="2995"/>
    </row>
    <row r="273" spans="1:7" s="2201" customFormat="1" ht="14.25" customHeight="1">
      <c r="A273" s="2336" t="s">
        <v>303</v>
      </c>
      <c r="B273" s="2336" t="s">
        <v>2916</v>
      </c>
      <c r="C273" s="2995"/>
      <c r="D273" s="2995"/>
      <c r="E273" s="2995"/>
      <c r="F273" s="2995">
        <v>1490</v>
      </c>
      <c r="G273" s="2995"/>
    </row>
    <row r="274" spans="1:7" s="2201" customFormat="1" ht="14.25" customHeight="1">
      <c r="A274" s="2336" t="s">
        <v>303</v>
      </c>
      <c r="B274" s="2336" t="s">
        <v>3024</v>
      </c>
      <c r="C274" s="2995"/>
      <c r="D274" s="2995"/>
      <c r="E274" s="2995"/>
      <c r="F274" s="2995">
        <v>1490</v>
      </c>
      <c r="G274" s="2995"/>
    </row>
    <row r="275" spans="1:7" s="2201" customFormat="1" ht="14.25" customHeight="1">
      <c r="A275" s="2336" t="s">
        <v>303</v>
      </c>
      <c r="B275" s="2336" t="s">
        <v>3025</v>
      </c>
      <c r="C275" s="2995"/>
      <c r="D275" s="2995"/>
      <c r="E275" s="2995"/>
      <c r="F275" s="2995">
        <v>1220</v>
      </c>
      <c r="G275" s="2995"/>
    </row>
    <row r="276" spans="1:7" s="2201" customFormat="1" ht="14.25" customHeight="1" thickBot="1">
      <c r="A276" s="2344" t="s">
        <v>303</v>
      </c>
      <c r="B276" s="2346" t="s">
        <v>3026</v>
      </c>
      <c r="C276" s="2997"/>
      <c r="D276" s="2997"/>
      <c r="E276" s="2997"/>
      <c r="F276" s="2997">
        <v>1380</v>
      </c>
      <c r="G276" s="2997"/>
    </row>
    <row r="277" spans="1:7" s="2201" customFormat="1" ht="14.25" customHeight="1">
      <c r="A277" s="2341" t="s">
        <v>304</v>
      </c>
      <c r="B277" s="2332" t="s">
        <v>3027</v>
      </c>
      <c r="C277" s="2994">
        <v>5790</v>
      </c>
      <c r="D277" s="2994">
        <v>5740</v>
      </c>
      <c r="E277" s="2994">
        <v>6730</v>
      </c>
      <c r="F277" s="2994">
        <v>1110</v>
      </c>
      <c r="G277" s="2998">
        <v>3460</v>
      </c>
    </row>
    <row r="278" spans="1:7" s="2201" customFormat="1" ht="14.25" customHeight="1">
      <c r="A278" s="2336" t="s">
        <v>304</v>
      </c>
      <c r="B278" s="2336" t="s">
        <v>133</v>
      </c>
      <c r="C278" s="2995">
        <v>5740</v>
      </c>
      <c r="D278" s="2995">
        <v>5670</v>
      </c>
      <c r="E278" s="2995">
        <v>6680</v>
      </c>
      <c r="F278" s="2995">
        <v>1070</v>
      </c>
      <c r="G278" s="2999">
        <v>3420</v>
      </c>
    </row>
    <row r="279" spans="1:7" s="2201" customFormat="1" ht="14.25" customHeight="1">
      <c r="A279" s="2336" t="s">
        <v>304</v>
      </c>
      <c r="B279" s="2336" t="s">
        <v>3028</v>
      </c>
      <c r="C279" s="2995">
        <v>4760</v>
      </c>
      <c r="D279" s="2995">
        <v>4720</v>
      </c>
      <c r="E279" s="2995">
        <v>5540</v>
      </c>
      <c r="F279" s="2995">
        <v>810</v>
      </c>
      <c r="G279" s="2999">
        <v>2850</v>
      </c>
    </row>
    <row r="280" spans="1:7" s="2201" customFormat="1" ht="14.25" customHeight="1">
      <c r="A280" s="2336" t="s">
        <v>304</v>
      </c>
      <c r="B280" s="2336" t="s">
        <v>3029</v>
      </c>
      <c r="C280" s="2995">
        <v>4010</v>
      </c>
      <c r="D280" s="2995">
        <v>3950</v>
      </c>
      <c r="E280" s="2995">
        <v>4710</v>
      </c>
      <c r="F280" s="2995">
        <v>800</v>
      </c>
      <c r="G280" s="2999">
        <v>2390</v>
      </c>
    </row>
    <row r="281" spans="1:7" s="2201" customFormat="1" ht="14.25" customHeight="1">
      <c r="A281" s="2336" t="s">
        <v>304</v>
      </c>
      <c r="B281" s="2336" t="s">
        <v>3030</v>
      </c>
      <c r="C281" s="2995">
        <v>4480</v>
      </c>
      <c r="D281" s="2995">
        <v>4420</v>
      </c>
      <c r="E281" s="2995">
        <v>5230</v>
      </c>
      <c r="F281" s="2995">
        <v>870</v>
      </c>
      <c r="G281" s="2999">
        <v>2660</v>
      </c>
    </row>
    <row r="282" spans="1:7" s="2201" customFormat="1" ht="14.25" customHeight="1">
      <c r="A282" s="2336" t="s">
        <v>304</v>
      </c>
      <c r="B282" s="2336" t="s">
        <v>3031</v>
      </c>
      <c r="C282" s="2995">
        <v>5360</v>
      </c>
      <c r="D282" s="2995">
        <v>5300</v>
      </c>
      <c r="E282" s="2995">
        <v>6190</v>
      </c>
      <c r="F282" s="2995">
        <v>950</v>
      </c>
      <c r="G282" s="2999">
        <v>3190</v>
      </c>
    </row>
    <row r="283" spans="1:7" s="2201" customFormat="1" ht="14.25" customHeight="1">
      <c r="A283" s="2336" t="s">
        <v>304</v>
      </c>
      <c r="B283" s="2336" t="s">
        <v>172</v>
      </c>
      <c r="C283" s="2995">
        <v>4950</v>
      </c>
      <c r="D283" s="2995">
        <v>4900</v>
      </c>
      <c r="E283" s="2995">
        <v>5720</v>
      </c>
      <c r="F283" s="2995">
        <v>920</v>
      </c>
      <c r="G283" s="2999">
        <v>2950</v>
      </c>
    </row>
    <row r="284" spans="1:7" s="2201" customFormat="1" ht="14.25" customHeight="1">
      <c r="A284" s="2336" t="s">
        <v>304</v>
      </c>
      <c r="B284" s="2336" t="s">
        <v>180</v>
      </c>
      <c r="C284" s="2995">
        <v>5610</v>
      </c>
      <c r="D284" s="2995">
        <v>5560</v>
      </c>
      <c r="E284" s="2995">
        <v>6520</v>
      </c>
      <c r="F284" s="2995">
        <v>1030</v>
      </c>
      <c r="G284" s="2999">
        <v>3360</v>
      </c>
    </row>
    <row r="285" spans="1:7" s="2201" customFormat="1" ht="14.25" customHeight="1">
      <c r="A285" s="2336" t="s">
        <v>304</v>
      </c>
      <c r="B285" s="2336" t="s">
        <v>190</v>
      </c>
      <c r="C285" s="2995">
        <v>5340</v>
      </c>
      <c r="D285" s="2995">
        <v>5290</v>
      </c>
      <c r="E285" s="2995">
        <v>6170</v>
      </c>
      <c r="F285" s="2995">
        <v>1080</v>
      </c>
      <c r="G285" s="2999">
        <v>3180</v>
      </c>
    </row>
    <row r="286" spans="1:7" s="2201" customFormat="1" ht="14.25" customHeight="1">
      <c r="A286" s="2336" t="s">
        <v>304</v>
      </c>
      <c r="B286" s="2336" t="s">
        <v>197</v>
      </c>
      <c r="C286" s="2995">
        <v>4890</v>
      </c>
      <c r="D286" s="2995">
        <v>4840</v>
      </c>
      <c r="E286" s="2995">
        <v>5640</v>
      </c>
      <c r="F286" s="2995">
        <v>960</v>
      </c>
      <c r="G286" s="2999">
        <v>2910</v>
      </c>
    </row>
    <row r="287" spans="1:7" s="2201" customFormat="1" ht="14.25" customHeight="1">
      <c r="A287" s="2336" t="s">
        <v>304</v>
      </c>
      <c r="B287" s="2336" t="s">
        <v>3032</v>
      </c>
      <c r="C287" s="2995">
        <v>4960</v>
      </c>
      <c r="D287" s="2995">
        <v>4920</v>
      </c>
      <c r="E287" s="2995">
        <v>5730</v>
      </c>
      <c r="F287" s="2995">
        <v>930</v>
      </c>
      <c r="G287" s="2999">
        <v>2960</v>
      </c>
    </row>
    <row r="288" spans="1:7" s="2201" customFormat="1" ht="14.25" customHeight="1">
      <c r="A288" s="2336" t="s">
        <v>304</v>
      </c>
      <c r="B288" s="2336" t="s">
        <v>217</v>
      </c>
      <c r="C288" s="2995">
        <v>4350</v>
      </c>
      <c r="D288" s="2995">
        <v>4300</v>
      </c>
      <c r="E288" s="2995">
        <v>4900</v>
      </c>
      <c r="F288" s="2995">
        <v>820</v>
      </c>
      <c r="G288" s="2999">
        <v>2590</v>
      </c>
    </row>
    <row r="289" spans="1:7" s="2201" customFormat="1" ht="14.25" customHeight="1">
      <c r="A289" s="2336" t="s">
        <v>304</v>
      </c>
      <c r="B289" s="2336" t="s">
        <v>3033</v>
      </c>
      <c r="C289" s="2995">
        <v>5230</v>
      </c>
      <c r="D289" s="2995">
        <v>5170</v>
      </c>
      <c r="E289" s="2995">
        <v>6060</v>
      </c>
      <c r="F289" s="2995">
        <v>900</v>
      </c>
      <c r="G289" s="2999">
        <v>3120</v>
      </c>
    </row>
    <row r="290" spans="1:7" s="2201" customFormat="1" ht="14.25" customHeight="1">
      <c r="A290" s="2336" t="s">
        <v>304</v>
      </c>
      <c r="B290" s="2336" t="s">
        <v>240</v>
      </c>
      <c r="C290" s="2995">
        <v>5550</v>
      </c>
      <c r="D290" s="2995">
        <v>5500</v>
      </c>
      <c r="E290" s="2995">
        <v>6440</v>
      </c>
      <c r="F290" s="2995">
        <v>960</v>
      </c>
      <c r="G290" s="2999">
        <v>3320</v>
      </c>
    </row>
    <row r="291" spans="1:7" s="2201" customFormat="1" ht="14.25" customHeight="1">
      <c r="A291" s="2336" t="s">
        <v>304</v>
      </c>
      <c r="B291" s="2336" t="s">
        <v>248</v>
      </c>
      <c r="C291" s="2995">
        <v>5440</v>
      </c>
      <c r="D291" s="2995">
        <v>5400</v>
      </c>
      <c r="E291" s="2995">
        <v>6320</v>
      </c>
      <c r="F291" s="2995">
        <v>930</v>
      </c>
      <c r="G291" s="2999">
        <v>3250</v>
      </c>
    </row>
    <row r="292" spans="1:7" s="2201" customFormat="1" ht="14.25" customHeight="1">
      <c r="A292" s="2336" t="s">
        <v>304</v>
      </c>
      <c r="B292" s="2336" t="s">
        <v>254</v>
      </c>
      <c r="C292" s="2995">
        <v>5400</v>
      </c>
      <c r="D292" s="2995">
        <v>5360</v>
      </c>
      <c r="E292" s="2995">
        <v>6270</v>
      </c>
      <c r="F292" s="2995">
        <v>1040</v>
      </c>
      <c r="G292" s="2999">
        <v>3230</v>
      </c>
    </row>
    <row r="293" spans="1:7" s="2201" customFormat="1" ht="14.25" customHeight="1">
      <c r="A293" s="2336" t="s">
        <v>304</v>
      </c>
      <c r="B293" s="2336" t="s">
        <v>2808</v>
      </c>
      <c r="C293" s="2995">
        <v>5320</v>
      </c>
      <c r="D293" s="2995">
        <v>5270</v>
      </c>
      <c r="E293" s="2995">
        <v>6160</v>
      </c>
      <c r="F293" s="2995">
        <v>990</v>
      </c>
      <c r="G293" s="2999">
        <v>3170</v>
      </c>
    </row>
    <row r="294" spans="1:7" s="2201" customFormat="1" ht="14.25" customHeight="1">
      <c r="A294" s="2336" t="s">
        <v>304</v>
      </c>
      <c r="B294" s="2336" t="s">
        <v>3034</v>
      </c>
      <c r="C294" s="2995">
        <v>5260</v>
      </c>
      <c r="D294" s="2995">
        <v>5210</v>
      </c>
      <c r="E294" s="2995">
        <v>6100</v>
      </c>
      <c r="F294" s="2995">
        <v>950</v>
      </c>
      <c r="G294" s="2999">
        <v>3150</v>
      </c>
    </row>
    <row r="295" spans="1:7" s="2201" customFormat="1" ht="14.25" customHeight="1">
      <c r="A295" s="2336" t="s">
        <v>304</v>
      </c>
      <c r="B295" s="2336" t="s">
        <v>288</v>
      </c>
      <c r="C295" s="2995">
        <v>5610</v>
      </c>
      <c r="D295" s="2995">
        <v>5570</v>
      </c>
      <c r="E295" s="2995">
        <v>6530</v>
      </c>
      <c r="F295" s="2995">
        <v>960</v>
      </c>
      <c r="G295" s="2999">
        <v>3360</v>
      </c>
    </row>
    <row r="296" spans="1:7" s="2201" customFormat="1" ht="14.25" customHeight="1">
      <c r="A296" s="2336" t="s">
        <v>304</v>
      </c>
      <c r="B296" s="2336" t="s">
        <v>291</v>
      </c>
      <c r="C296" s="2995">
        <v>5540</v>
      </c>
      <c r="D296" s="2995">
        <v>5490</v>
      </c>
      <c r="E296" s="2995">
        <v>6430</v>
      </c>
      <c r="F296" s="2995">
        <v>980</v>
      </c>
      <c r="G296" s="2999">
        <v>3310</v>
      </c>
    </row>
    <row r="297" spans="1:7" s="2201" customFormat="1" ht="14.25" customHeight="1">
      <c r="A297" s="2336" t="s">
        <v>304</v>
      </c>
      <c r="B297" s="2336" t="s">
        <v>293</v>
      </c>
      <c r="C297" s="2995">
        <v>5480</v>
      </c>
      <c r="D297" s="2995">
        <v>5420</v>
      </c>
      <c r="E297" s="2995">
        <v>6370</v>
      </c>
      <c r="F297" s="2995">
        <v>990</v>
      </c>
      <c r="G297" s="2999">
        <v>3270</v>
      </c>
    </row>
    <row r="298" spans="1:7" s="2201" customFormat="1" ht="14.25" customHeight="1">
      <c r="A298" s="2336" t="s">
        <v>304</v>
      </c>
      <c r="B298" s="2336" t="s">
        <v>296</v>
      </c>
      <c r="C298" s="2995">
        <v>5090</v>
      </c>
      <c r="D298" s="2995">
        <v>5050</v>
      </c>
      <c r="E298" s="2995">
        <v>5910</v>
      </c>
      <c r="F298" s="2995">
        <v>900</v>
      </c>
      <c r="G298" s="2999">
        <v>3040</v>
      </c>
    </row>
    <row r="299" spans="1:7" s="2201" customFormat="1" ht="14.25" customHeight="1">
      <c r="A299" s="2336" t="s">
        <v>304</v>
      </c>
      <c r="B299" s="2345" t="s">
        <v>2827</v>
      </c>
      <c r="C299" s="2995">
        <v>5430</v>
      </c>
      <c r="D299" s="2995">
        <v>5380</v>
      </c>
      <c r="E299" s="2995">
        <v>6280</v>
      </c>
      <c r="F299" s="2995">
        <v>1000</v>
      </c>
      <c r="G299" s="2999">
        <v>3240</v>
      </c>
    </row>
    <row r="300" spans="1:7" s="2201" customFormat="1" ht="14.25" customHeight="1">
      <c r="A300" s="2336" t="s">
        <v>304</v>
      </c>
      <c r="B300" s="2345" t="s">
        <v>269</v>
      </c>
      <c r="C300" s="2995">
        <v>4740</v>
      </c>
      <c r="D300" s="2995">
        <v>4680</v>
      </c>
      <c r="E300" s="2995">
        <v>5450</v>
      </c>
      <c r="F300" s="2995">
        <v>900</v>
      </c>
      <c r="G300" s="2999">
        <v>2830</v>
      </c>
    </row>
    <row r="301" spans="1:7" s="2201" customFormat="1" ht="14.25" customHeight="1">
      <c r="A301" s="2336" t="s">
        <v>304</v>
      </c>
      <c r="B301" s="2345" t="s">
        <v>274</v>
      </c>
      <c r="C301" s="2995">
        <v>4870</v>
      </c>
      <c r="D301" s="2995">
        <v>4810</v>
      </c>
      <c r="E301" s="2995">
        <v>5560</v>
      </c>
      <c r="F301" s="2995">
        <v>990</v>
      </c>
      <c r="G301" s="2999">
        <v>2910</v>
      </c>
    </row>
    <row r="302" spans="1:7" s="2201" customFormat="1" ht="14.25" customHeight="1">
      <c r="A302" s="2336" t="s">
        <v>304</v>
      </c>
      <c r="B302" s="2336" t="s">
        <v>3035</v>
      </c>
      <c r="C302" s="2995">
        <v>5520</v>
      </c>
      <c r="D302" s="2995">
        <v>5470</v>
      </c>
      <c r="E302" s="2995">
        <v>6410</v>
      </c>
      <c r="F302" s="2995">
        <v>950</v>
      </c>
      <c r="G302" s="2999">
        <v>3300</v>
      </c>
    </row>
    <row r="303" spans="1:7" s="2201" customFormat="1" ht="14.25" customHeight="1">
      <c r="A303" s="2336" t="s">
        <v>304</v>
      </c>
      <c r="B303" s="2336" t="s">
        <v>2847</v>
      </c>
      <c r="C303" s="2995">
        <v>5630</v>
      </c>
      <c r="D303" s="2995">
        <v>5590</v>
      </c>
      <c r="E303" s="2995">
        <v>6550</v>
      </c>
      <c r="F303" s="2995">
        <v>1010</v>
      </c>
      <c r="G303" s="2999">
        <v>3370</v>
      </c>
    </row>
    <row r="304" spans="1:7" s="2201" customFormat="1" ht="14.25" customHeight="1">
      <c r="A304" s="2336" t="s">
        <v>304</v>
      </c>
      <c r="B304" s="2336" t="s">
        <v>2854</v>
      </c>
      <c r="C304" s="2995">
        <v>5680</v>
      </c>
      <c r="D304" s="2995">
        <v>5620</v>
      </c>
      <c r="E304" s="2995">
        <v>6620</v>
      </c>
      <c r="F304" s="2995">
        <v>1050</v>
      </c>
      <c r="G304" s="2999">
        <v>3390</v>
      </c>
    </row>
    <row r="305" spans="1:7" s="2201" customFormat="1" ht="14.25" customHeight="1">
      <c r="A305" s="2336" t="s">
        <v>304</v>
      </c>
      <c r="B305" s="2336" t="s">
        <v>2860</v>
      </c>
      <c r="C305" s="2995">
        <v>5590</v>
      </c>
      <c r="D305" s="2995">
        <v>5530</v>
      </c>
      <c r="E305" s="2995">
        <v>6460</v>
      </c>
      <c r="F305" s="2995">
        <v>900</v>
      </c>
      <c r="G305" s="2999">
        <v>3340</v>
      </c>
    </row>
    <row r="306" spans="1:7" s="2201" customFormat="1" ht="14.25" customHeight="1">
      <c r="A306" s="2336" t="s">
        <v>304</v>
      </c>
      <c r="B306" s="2336" t="s">
        <v>3036</v>
      </c>
      <c r="C306" s="2995">
        <v>5560</v>
      </c>
      <c r="D306" s="2995">
        <v>5510</v>
      </c>
      <c r="E306" s="2995">
        <v>6440</v>
      </c>
      <c r="F306" s="2995">
        <v>900</v>
      </c>
      <c r="G306" s="2999">
        <v>3320</v>
      </c>
    </row>
    <row r="307" spans="1:7" s="2201" customFormat="1" ht="14.25" customHeight="1">
      <c r="A307" s="2336" t="s">
        <v>304</v>
      </c>
      <c r="B307" s="2336" t="s">
        <v>2872</v>
      </c>
      <c r="C307" s="2995">
        <v>5650</v>
      </c>
      <c r="D307" s="2995">
        <v>5600</v>
      </c>
      <c r="E307" s="2995">
        <v>6590</v>
      </c>
      <c r="F307" s="2995">
        <v>930</v>
      </c>
      <c r="G307" s="2999">
        <v>3380</v>
      </c>
    </row>
    <row r="308" spans="1:7" s="2201" customFormat="1" ht="14.25" customHeight="1">
      <c r="A308" s="2336" t="s">
        <v>304</v>
      </c>
      <c r="B308" s="2336" t="s">
        <v>3037</v>
      </c>
      <c r="C308" s="2995">
        <v>5620</v>
      </c>
      <c r="D308" s="2995">
        <v>5580</v>
      </c>
      <c r="E308" s="2995">
        <v>6540</v>
      </c>
      <c r="F308" s="2995">
        <v>910</v>
      </c>
      <c r="G308" s="2999">
        <v>3370</v>
      </c>
    </row>
    <row r="309" spans="1:7" s="2201" customFormat="1" ht="14.25" customHeight="1">
      <c r="A309" s="2336" t="s">
        <v>304</v>
      </c>
      <c r="B309" s="2336" t="s">
        <v>3038</v>
      </c>
      <c r="C309" s="2995">
        <v>5060</v>
      </c>
      <c r="D309" s="2995">
        <v>5020</v>
      </c>
      <c r="E309" s="2995">
        <v>6370</v>
      </c>
      <c r="F309" s="2995">
        <v>800</v>
      </c>
      <c r="G309" s="2999">
        <v>3020</v>
      </c>
    </row>
    <row r="310" spans="1:7" s="2201" customFormat="1" ht="14.25" customHeight="1">
      <c r="A310" s="2336" t="s">
        <v>304</v>
      </c>
      <c r="B310" s="2336" t="s">
        <v>2887</v>
      </c>
      <c r="C310" s="2995">
        <v>5150</v>
      </c>
      <c r="D310" s="2995">
        <v>5110</v>
      </c>
      <c r="E310" s="2995">
        <v>6500</v>
      </c>
      <c r="F310" s="2995">
        <v>880</v>
      </c>
      <c r="G310" s="2999">
        <v>3080</v>
      </c>
    </row>
    <row r="311" spans="1:7" s="2201" customFormat="1" ht="14.25" customHeight="1">
      <c r="A311" s="2336" t="s">
        <v>304</v>
      </c>
      <c r="B311" s="2336" t="s">
        <v>3039</v>
      </c>
      <c r="C311" s="2995">
        <v>4750</v>
      </c>
      <c r="D311" s="2995">
        <v>4710</v>
      </c>
      <c r="E311" s="2995">
        <v>5510</v>
      </c>
      <c r="F311" s="2995">
        <v>880</v>
      </c>
      <c r="G311" s="2999">
        <v>2840</v>
      </c>
    </row>
    <row r="312" spans="1:7" s="2201" customFormat="1" ht="14.25" customHeight="1">
      <c r="A312" s="2336" t="s">
        <v>304</v>
      </c>
      <c r="B312" s="2336" t="s">
        <v>2897</v>
      </c>
      <c r="C312" s="2995">
        <v>4690</v>
      </c>
      <c r="D312" s="2995">
        <v>4640</v>
      </c>
      <c r="E312" s="2995">
        <v>5420</v>
      </c>
      <c r="F312" s="2995">
        <v>800</v>
      </c>
      <c r="G312" s="2999">
        <v>2800</v>
      </c>
    </row>
    <row r="313" spans="1:7" s="2201" customFormat="1" ht="14.25" customHeight="1">
      <c r="A313" s="2336" t="s">
        <v>304</v>
      </c>
      <c r="B313" s="2336" t="s">
        <v>2902</v>
      </c>
      <c r="C313" s="2995">
        <v>4810</v>
      </c>
      <c r="D313" s="2995">
        <v>4760</v>
      </c>
      <c r="E313" s="2995">
        <v>5550</v>
      </c>
      <c r="F313" s="2995">
        <v>920</v>
      </c>
      <c r="G313" s="2999">
        <v>2870</v>
      </c>
    </row>
    <row r="314" spans="1:7" s="2201" customFormat="1" ht="14.25" customHeight="1">
      <c r="A314" s="2336" t="s">
        <v>304</v>
      </c>
      <c r="B314" s="2336" t="s">
        <v>3040</v>
      </c>
      <c r="C314" s="2995"/>
      <c r="D314" s="2995"/>
      <c r="E314" s="2995"/>
      <c r="F314" s="2995">
        <v>1020</v>
      </c>
      <c r="G314" s="2999"/>
    </row>
    <row r="315" spans="1:7" s="2201" customFormat="1" ht="14.25" customHeight="1">
      <c r="A315" s="2336" t="s">
        <v>304</v>
      </c>
      <c r="B315" s="2336" t="s">
        <v>3041</v>
      </c>
      <c r="C315" s="2995"/>
      <c r="D315" s="2995"/>
      <c r="E315" s="2995"/>
      <c r="F315" s="2995">
        <v>1050</v>
      </c>
      <c r="G315" s="2999"/>
    </row>
    <row r="316" spans="1:7" s="2201" customFormat="1" ht="14.25" customHeight="1">
      <c r="A316" s="2336" t="s">
        <v>304</v>
      </c>
      <c r="B316" s="2336" t="s">
        <v>2917</v>
      </c>
      <c r="C316" s="2995"/>
      <c r="D316" s="2995"/>
      <c r="E316" s="2995"/>
      <c r="F316" s="2995">
        <v>900</v>
      </c>
      <c r="G316" s="2999"/>
    </row>
    <row r="317" spans="1:7" s="2201" customFormat="1" ht="14.25" customHeight="1">
      <c r="A317" s="2336" t="s">
        <v>304</v>
      </c>
      <c r="B317" s="2336" t="s">
        <v>3042</v>
      </c>
      <c r="C317" s="2995"/>
      <c r="D317" s="2995"/>
      <c r="E317" s="2995"/>
      <c r="F317" s="2995">
        <v>920</v>
      </c>
      <c r="G317" s="2999"/>
    </row>
    <row r="318" spans="1:7" s="2201" customFormat="1" ht="14.25" customHeight="1">
      <c r="A318" s="2336" t="s">
        <v>304</v>
      </c>
      <c r="B318" s="2336" t="s">
        <v>3043</v>
      </c>
      <c r="C318" s="2995"/>
      <c r="D318" s="2995"/>
      <c r="E318" s="2995"/>
      <c r="F318" s="2995">
        <v>1080</v>
      </c>
      <c r="G318" s="2999"/>
    </row>
    <row r="319" spans="1:7" s="2201" customFormat="1" ht="14.25" customHeight="1">
      <c r="A319" s="2336" t="s">
        <v>304</v>
      </c>
      <c r="B319" s="2336" t="s">
        <v>2930</v>
      </c>
      <c r="C319" s="2995"/>
      <c r="D319" s="2995"/>
      <c r="E319" s="2995"/>
      <c r="F319" s="2995">
        <v>1020</v>
      </c>
      <c r="G319" s="2999"/>
    </row>
    <row r="320" spans="1:7" s="2201" customFormat="1" ht="14.25" customHeight="1">
      <c r="A320" s="2336" t="s">
        <v>304</v>
      </c>
      <c r="B320" s="2336" t="s">
        <v>2933</v>
      </c>
      <c r="C320" s="2995"/>
      <c r="D320" s="2995"/>
      <c r="E320" s="2995"/>
      <c r="F320" s="2995">
        <v>1050</v>
      </c>
      <c r="G320" s="2999"/>
    </row>
    <row r="321" spans="1:7" s="2201" customFormat="1" ht="14.25" customHeight="1">
      <c r="A321" s="2336" t="s">
        <v>304</v>
      </c>
      <c r="B321" s="2336" t="s">
        <v>2935</v>
      </c>
      <c r="C321" s="2995"/>
      <c r="D321" s="2995"/>
      <c r="E321" s="2995"/>
      <c r="F321" s="2995">
        <v>960</v>
      </c>
      <c r="G321" s="2999"/>
    </row>
    <row r="322" spans="1:7" s="2201" customFormat="1" ht="14.25" customHeight="1">
      <c r="A322" s="2336" t="s">
        <v>304</v>
      </c>
      <c r="B322" s="2336" t="s">
        <v>2937</v>
      </c>
      <c r="C322" s="2995"/>
      <c r="D322" s="2995"/>
      <c r="E322" s="2995"/>
      <c r="F322" s="2995">
        <v>960</v>
      </c>
      <c r="G322" s="2999"/>
    </row>
    <row r="323" spans="1:7" s="2201" customFormat="1" ht="14.25" customHeight="1">
      <c r="A323" s="2336" t="s">
        <v>304</v>
      </c>
      <c r="B323" s="2336" t="s">
        <v>2939</v>
      </c>
      <c r="C323" s="2995"/>
      <c r="D323" s="2995"/>
      <c r="E323" s="2995"/>
      <c r="F323" s="2995">
        <v>880</v>
      </c>
      <c r="G323" s="2999"/>
    </row>
    <row r="324" spans="1:7" s="2201" customFormat="1" ht="14.25" customHeight="1">
      <c r="A324" s="2336" t="s">
        <v>304</v>
      </c>
      <c r="B324" s="2336" t="s">
        <v>2941</v>
      </c>
      <c r="C324" s="2995"/>
      <c r="D324" s="2995"/>
      <c r="E324" s="2995"/>
      <c r="F324" s="2995">
        <v>930</v>
      </c>
      <c r="G324" s="2999"/>
    </row>
    <row r="325" spans="1:7" s="2201" customFormat="1" ht="14.25" customHeight="1">
      <c r="A325" s="2336" t="s">
        <v>304</v>
      </c>
      <c r="B325" s="2337" t="s">
        <v>2943</v>
      </c>
      <c r="C325" s="2995"/>
      <c r="D325" s="2995"/>
      <c r="E325" s="2995"/>
      <c r="F325" s="2995">
        <v>900</v>
      </c>
      <c r="G325" s="2999"/>
    </row>
    <row r="326" spans="1:7" s="2201" customFormat="1" ht="14.25" customHeight="1" thickBot="1">
      <c r="A326" s="2348" t="s">
        <v>304</v>
      </c>
      <c r="B326" s="2343" t="s">
        <v>2945</v>
      </c>
      <c r="C326" s="2996"/>
      <c r="D326" s="2996"/>
      <c r="E326" s="2996"/>
      <c r="F326" s="2996">
        <v>790</v>
      </c>
      <c r="G326" s="3000"/>
    </row>
    <row r="327" spans="1:7" s="2201" customFormat="1" ht="14.25" customHeight="1">
      <c r="A327" s="2341" t="s">
        <v>305</v>
      </c>
      <c r="B327" s="2332" t="s">
        <v>3044</v>
      </c>
      <c r="C327" s="2995">
        <v>3750</v>
      </c>
      <c r="D327" s="2995">
        <v>3710</v>
      </c>
      <c r="E327" s="2995">
        <v>4080</v>
      </c>
      <c r="F327" s="2995">
        <v>860</v>
      </c>
      <c r="G327" s="2995">
        <v>2210</v>
      </c>
    </row>
    <row r="328" spans="1:7" s="2201" customFormat="1" ht="14.25" customHeight="1">
      <c r="A328" s="2336" t="s">
        <v>305</v>
      </c>
      <c r="B328" s="2336" t="s">
        <v>134</v>
      </c>
      <c r="C328" s="2995">
        <v>3330</v>
      </c>
      <c r="D328" s="2995">
        <v>3290</v>
      </c>
      <c r="E328" s="2995">
        <v>3610</v>
      </c>
      <c r="F328" s="2995">
        <v>850</v>
      </c>
      <c r="G328" s="2995">
        <v>1960</v>
      </c>
    </row>
    <row r="329" spans="1:7" s="2201" customFormat="1" ht="14.25" customHeight="1">
      <c r="A329" s="2336" t="s">
        <v>305</v>
      </c>
      <c r="B329" s="2336" t="s">
        <v>3045</v>
      </c>
      <c r="C329" s="2995">
        <v>2730</v>
      </c>
      <c r="D329" s="2995">
        <v>2690</v>
      </c>
      <c r="E329" s="2995">
        <v>3100</v>
      </c>
      <c r="F329" s="2995">
        <v>660</v>
      </c>
      <c r="G329" s="2995">
        <v>1610</v>
      </c>
    </row>
    <row r="330" spans="1:7" s="2201" customFormat="1" ht="14.25" customHeight="1">
      <c r="A330" s="2336" t="s">
        <v>305</v>
      </c>
      <c r="B330" s="2336" t="s">
        <v>3046</v>
      </c>
      <c r="C330" s="2995">
        <v>3270</v>
      </c>
      <c r="D330" s="2995">
        <v>3240</v>
      </c>
      <c r="E330" s="2995">
        <v>3560</v>
      </c>
      <c r="F330" s="2995">
        <v>680</v>
      </c>
      <c r="G330" s="2995">
        <v>1940</v>
      </c>
    </row>
    <row r="331" spans="1:7" s="2201" customFormat="1" ht="14.25" customHeight="1">
      <c r="A331" s="2336" t="s">
        <v>305</v>
      </c>
      <c r="B331" s="2336" t="s">
        <v>159</v>
      </c>
      <c r="C331" s="2995">
        <v>3770</v>
      </c>
      <c r="D331" s="2995">
        <v>3740</v>
      </c>
      <c r="E331" s="2995">
        <v>4110</v>
      </c>
      <c r="F331" s="2995">
        <v>730</v>
      </c>
      <c r="G331" s="2995">
        <v>2230</v>
      </c>
    </row>
    <row r="332" spans="1:7" s="2201" customFormat="1" ht="14.25" customHeight="1">
      <c r="A332" s="2336" t="s">
        <v>305</v>
      </c>
      <c r="B332" s="2336" t="s">
        <v>2779</v>
      </c>
      <c r="C332" s="2995">
        <v>3520</v>
      </c>
      <c r="D332" s="2995">
        <v>3480</v>
      </c>
      <c r="E332" s="2995">
        <v>3830</v>
      </c>
      <c r="F332" s="2995">
        <v>720</v>
      </c>
      <c r="G332" s="2995">
        <v>2090</v>
      </c>
    </row>
    <row r="333" spans="1:7" s="2201" customFormat="1" ht="14.25" customHeight="1">
      <c r="A333" s="2336" t="s">
        <v>305</v>
      </c>
      <c r="B333" s="2336" t="s">
        <v>3047</v>
      </c>
      <c r="C333" s="2995">
        <v>3840</v>
      </c>
      <c r="D333" s="2995">
        <v>3800</v>
      </c>
      <c r="E333" s="2995">
        <v>4200</v>
      </c>
      <c r="F333" s="2995">
        <v>760</v>
      </c>
      <c r="G333" s="2995">
        <v>2270</v>
      </c>
    </row>
    <row r="334" spans="1:7" s="2201" customFormat="1" ht="14.25" customHeight="1">
      <c r="A334" s="2336" t="s">
        <v>305</v>
      </c>
      <c r="B334" s="2336" t="s">
        <v>181</v>
      </c>
      <c r="C334" s="2995">
        <v>3960</v>
      </c>
      <c r="D334" s="2995">
        <v>3910</v>
      </c>
      <c r="E334" s="2995">
        <v>4340</v>
      </c>
      <c r="F334" s="2995">
        <v>780</v>
      </c>
      <c r="G334" s="2995">
        <v>2340</v>
      </c>
    </row>
    <row r="335" spans="1:7" s="2201" customFormat="1" ht="14.25" customHeight="1">
      <c r="A335" s="2336" t="s">
        <v>305</v>
      </c>
      <c r="B335" s="2336" t="s">
        <v>191</v>
      </c>
      <c r="C335" s="2995">
        <v>3710</v>
      </c>
      <c r="D335" s="2995">
        <v>3670</v>
      </c>
      <c r="E335" s="2995">
        <v>4030</v>
      </c>
      <c r="F335" s="2995">
        <v>750</v>
      </c>
      <c r="G335" s="2995">
        <v>2200</v>
      </c>
    </row>
    <row r="336" spans="1:7" s="2201" customFormat="1" ht="14.25" customHeight="1">
      <c r="A336" s="2336" t="s">
        <v>305</v>
      </c>
      <c r="B336" s="2336" t="s">
        <v>2789</v>
      </c>
      <c r="C336" s="2995">
        <v>3570</v>
      </c>
      <c r="D336" s="2995">
        <v>3530</v>
      </c>
      <c r="E336" s="2995">
        <v>3880</v>
      </c>
      <c r="F336" s="2995">
        <v>770</v>
      </c>
      <c r="G336" s="2995">
        <v>2110</v>
      </c>
    </row>
    <row r="337" spans="1:10" s="2201" customFormat="1" ht="14.25" customHeight="1">
      <c r="A337" s="2336" t="s">
        <v>305</v>
      </c>
      <c r="B337" s="2336" t="s">
        <v>3048</v>
      </c>
      <c r="C337" s="2995">
        <v>3780</v>
      </c>
      <c r="D337" s="2995">
        <v>3750</v>
      </c>
      <c r="E337" s="2995">
        <v>4130</v>
      </c>
      <c r="F337" s="2995">
        <v>750</v>
      </c>
      <c r="G337" s="2995">
        <v>2240</v>
      </c>
    </row>
    <row r="338" spans="1:10" s="2201" customFormat="1" ht="14.25" customHeight="1">
      <c r="A338" s="2336" t="s">
        <v>305</v>
      </c>
      <c r="B338" s="2336" t="s">
        <v>218</v>
      </c>
      <c r="C338" s="2995">
        <v>3600</v>
      </c>
      <c r="D338" s="2995">
        <v>3570</v>
      </c>
      <c r="E338" s="2995">
        <v>3920</v>
      </c>
      <c r="F338" s="2995">
        <v>790</v>
      </c>
      <c r="G338" s="2995">
        <v>2140</v>
      </c>
    </row>
    <row r="339" spans="1:10" s="2201" customFormat="1" ht="14.25" customHeight="1">
      <c r="A339" s="2336" t="s">
        <v>305</v>
      </c>
      <c r="B339" s="2336" t="s">
        <v>226</v>
      </c>
      <c r="C339" s="2995">
        <v>3540</v>
      </c>
      <c r="D339" s="2995">
        <v>3500</v>
      </c>
      <c r="E339" s="2995">
        <v>3850</v>
      </c>
      <c r="F339" s="2995">
        <v>780</v>
      </c>
      <c r="G339" s="2995">
        <v>2100</v>
      </c>
    </row>
    <row r="340" spans="1:10" s="2201" customFormat="1" ht="14.25" customHeight="1">
      <c r="A340" s="2336" t="s">
        <v>305</v>
      </c>
      <c r="B340" s="2336" t="s">
        <v>3049</v>
      </c>
      <c r="C340" s="2995">
        <v>3850</v>
      </c>
      <c r="D340" s="2995">
        <v>3810</v>
      </c>
      <c r="E340" s="2995">
        <v>4210</v>
      </c>
      <c r="F340" s="2995">
        <v>750</v>
      </c>
      <c r="G340" s="2995">
        <v>2280</v>
      </c>
    </row>
    <row r="341" spans="1:10" s="2201" customFormat="1" ht="14.25" customHeight="1">
      <c r="A341" s="2336" t="s">
        <v>305</v>
      </c>
      <c r="B341" s="2336" t="s">
        <v>205</v>
      </c>
      <c r="C341" s="2995">
        <v>3780</v>
      </c>
      <c r="D341" s="2995">
        <v>3750</v>
      </c>
      <c r="E341" s="2995">
        <v>4140</v>
      </c>
      <c r="F341" s="2995">
        <v>720</v>
      </c>
      <c r="G341" s="2995">
        <v>2240</v>
      </c>
    </row>
    <row r="342" spans="1:10" s="2201" customFormat="1" ht="14.25" customHeight="1">
      <c r="A342" s="2336" t="s">
        <v>305</v>
      </c>
      <c r="B342" s="2336" t="s">
        <v>3050</v>
      </c>
      <c r="C342" s="2995">
        <v>3670</v>
      </c>
      <c r="D342" s="2995">
        <v>3620</v>
      </c>
      <c r="E342" s="2995">
        <v>3990</v>
      </c>
      <c r="F342" s="2995">
        <v>760</v>
      </c>
      <c r="G342" s="2995">
        <v>2170</v>
      </c>
    </row>
    <row r="343" spans="1:10" s="2201" customFormat="1" ht="14.25" customHeight="1">
      <c r="A343" s="2336" t="s">
        <v>305</v>
      </c>
      <c r="B343" s="2336" t="s">
        <v>255</v>
      </c>
      <c r="C343" s="2995">
        <v>3760</v>
      </c>
      <c r="D343" s="2995">
        <v>3720</v>
      </c>
      <c r="E343" s="2995">
        <v>4090</v>
      </c>
      <c r="F343" s="2995">
        <v>780</v>
      </c>
      <c r="G343" s="2995">
        <v>2220</v>
      </c>
    </row>
    <row r="344" spans="1:10" s="2201" customFormat="1" ht="14.25" customHeight="1">
      <c r="A344" s="2336" t="s">
        <v>305</v>
      </c>
      <c r="B344" s="2336" t="s">
        <v>263</v>
      </c>
      <c r="C344" s="2995">
        <v>3680</v>
      </c>
      <c r="D344" s="2995">
        <v>3640</v>
      </c>
      <c r="E344" s="2995">
        <v>4010</v>
      </c>
      <c r="F344" s="2995">
        <v>750</v>
      </c>
      <c r="G344" s="2995">
        <v>2180</v>
      </c>
    </row>
    <row r="345" spans="1:10">
      <c r="A345" s="2336" t="s">
        <v>305</v>
      </c>
      <c r="B345" s="2336" t="s">
        <v>2814</v>
      </c>
      <c r="C345" s="2995">
        <v>3190</v>
      </c>
      <c r="D345" s="2995">
        <v>3140</v>
      </c>
      <c r="E345" s="2995">
        <v>3450</v>
      </c>
      <c r="F345" s="2995">
        <v>720</v>
      </c>
      <c r="G345" s="2995">
        <v>1880</v>
      </c>
      <c r="J345" s="2201"/>
    </row>
    <row r="346" spans="1:10">
      <c r="A346" s="2336" t="s">
        <v>305</v>
      </c>
      <c r="B346" s="2336" t="s">
        <v>3051</v>
      </c>
      <c r="C346" s="2995">
        <v>3630</v>
      </c>
      <c r="D346" s="2995">
        <v>3590</v>
      </c>
      <c r="E346" s="2995">
        <v>3940</v>
      </c>
      <c r="F346" s="2995">
        <v>730</v>
      </c>
      <c r="G346" s="2995">
        <v>2150</v>
      </c>
      <c r="J346" s="2201"/>
    </row>
    <row r="347" spans="1:10">
      <c r="A347" s="2336" t="s">
        <v>305</v>
      </c>
      <c r="B347" s="2336" t="s">
        <v>241</v>
      </c>
      <c r="C347" s="2995">
        <v>3860</v>
      </c>
      <c r="D347" s="2995">
        <v>3820</v>
      </c>
      <c r="E347" s="2995">
        <v>4220</v>
      </c>
      <c r="F347" s="2995">
        <v>750</v>
      </c>
      <c r="G347" s="2995">
        <v>2280</v>
      </c>
      <c r="J347" s="2201"/>
    </row>
    <row r="348" spans="1:10">
      <c r="A348" s="2336" t="s">
        <v>305</v>
      </c>
      <c r="B348" s="2336" t="s">
        <v>2823</v>
      </c>
      <c r="C348" s="2995">
        <v>4000</v>
      </c>
      <c r="D348" s="2995">
        <v>3950</v>
      </c>
      <c r="E348" s="2995">
        <v>4430</v>
      </c>
      <c r="F348" s="2995">
        <v>760</v>
      </c>
      <c r="G348" s="2995">
        <v>2360</v>
      </c>
      <c r="J348" s="2201"/>
    </row>
    <row r="349" spans="1:10">
      <c r="A349" s="2336" t="s">
        <v>305</v>
      </c>
      <c r="B349" s="2336" t="s">
        <v>2828</v>
      </c>
      <c r="C349" s="2995">
        <v>3820</v>
      </c>
      <c r="D349" s="2995">
        <v>3780</v>
      </c>
      <c r="E349" s="2995">
        <v>4170</v>
      </c>
      <c r="F349" s="2995">
        <v>710</v>
      </c>
      <c r="G349" s="2995">
        <v>2260</v>
      </c>
      <c r="J349" s="2201"/>
    </row>
    <row r="350" spans="1:10">
      <c r="A350" s="2336" t="s">
        <v>305</v>
      </c>
      <c r="B350" s="2336" t="s">
        <v>3052</v>
      </c>
      <c r="C350" s="2995">
        <v>3760</v>
      </c>
      <c r="D350" s="2995">
        <v>3730</v>
      </c>
      <c r="E350" s="2995">
        <v>4100</v>
      </c>
      <c r="F350" s="2995">
        <v>800</v>
      </c>
      <c r="G350" s="2995">
        <v>2230</v>
      </c>
      <c r="J350" s="2201"/>
    </row>
    <row r="351" spans="1:10">
      <c r="A351" s="2336" t="s">
        <v>305</v>
      </c>
      <c r="B351" s="2336" t="s">
        <v>2836</v>
      </c>
      <c r="C351" s="2995">
        <v>3610</v>
      </c>
      <c r="D351" s="2995">
        <v>3580</v>
      </c>
      <c r="E351" s="2995">
        <v>3930</v>
      </c>
      <c r="F351" s="2995">
        <v>700</v>
      </c>
      <c r="G351" s="2995">
        <v>2140</v>
      </c>
      <c r="J351" s="2201"/>
    </row>
    <row r="352" spans="1:10">
      <c r="A352" s="2336" t="s">
        <v>305</v>
      </c>
      <c r="B352" s="2336" t="s">
        <v>2841</v>
      </c>
      <c r="C352" s="2995">
        <v>3670</v>
      </c>
      <c r="D352" s="2995">
        <v>3630</v>
      </c>
      <c r="E352" s="2995">
        <v>4000</v>
      </c>
      <c r="F352" s="2995">
        <v>750</v>
      </c>
      <c r="G352" s="2995">
        <v>2180</v>
      </c>
    </row>
    <row r="353" spans="1:7" s="2202" customFormat="1">
      <c r="A353" s="2336" t="s">
        <v>305</v>
      </c>
      <c r="B353" s="2336" t="s">
        <v>3053</v>
      </c>
      <c r="C353" s="2995">
        <v>3190</v>
      </c>
      <c r="D353" s="2995">
        <v>3150</v>
      </c>
      <c r="E353" s="2995">
        <v>3640</v>
      </c>
      <c r="F353" s="2995">
        <v>630</v>
      </c>
      <c r="G353" s="2995">
        <v>1890</v>
      </c>
    </row>
    <row r="354" spans="1:7" s="2202" customFormat="1">
      <c r="A354" s="2336" t="s">
        <v>305</v>
      </c>
      <c r="B354" s="2336" t="s">
        <v>278</v>
      </c>
      <c r="C354" s="2995">
        <v>3450</v>
      </c>
      <c r="D354" s="2995">
        <v>3420</v>
      </c>
      <c r="E354" s="2995">
        <v>3960</v>
      </c>
      <c r="F354" s="2995">
        <v>660</v>
      </c>
      <c r="G354" s="2995">
        <v>2050</v>
      </c>
    </row>
    <row r="355" spans="1:7" s="2202" customFormat="1">
      <c r="A355" s="2336" t="s">
        <v>305</v>
      </c>
      <c r="B355" s="2336" t="s">
        <v>2861</v>
      </c>
      <c r="C355" s="2995">
        <v>3650</v>
      </c>
      <c r="D355" s="2995">
        <v>3610</v>
      </c>
      <c r="E355" s="2995">
        <v>4200</v>
      </c>
      <c r="F355" s="2995">
        <v>640</v>
      </c>
      <c r="G355" s="2995">
        <v>2160</v>
      </c>
    </row>
    <row r="356" spans="1:7" s="2202" customFormat="1">
      <c r="A356" s="2336" t="s">
        <v>305</v>
      </c>
      <c r="B356" s="2336" t="s">
        <v>2868</v>
      </c>
      <c r="C356" s="2995">
        <v>3260</v>
      </c>
      <c r="D356" s="2995">
        <v>3230</v>
      </c>
      <c r="E356" s="2995">
        <v>3740</v>
      </c>
      <c r="F356" s="2995">
        <v>600</v>
      </c>
      <c r="G356" s="2995">
        <v>1930</v>
      </c>
    </row>
    <row r="357" spans="1:7" s="2202" customFormat="1" ht="12" thickBot="1">
      <c r="A357" s="2344" t="s">
        <v>305</v>
      </c>
      <c r="B357" s="2347" t="s">
        <v>3054</v>
      </c>
      <c r="C357" s="2997">
        <v>3690</v>
      </c>
      <c r="D357" s="2997">
        <v>3650</v>
      </c>
      <c r="E357" s="2997">
        <v>4020</v>
      </c>
      <c r="F357" s="2997">
        <v>700</v>
      </c>
      <c r="G357" s="2997">
        <v>2190</v>
      </c>
    </row>
    <row r="358" spans="1:7" s="2202" customFormat="1">
      <c r="A358" s="2341" t="s">
        <v>3055</v>
      </c>
      <c r="B358" s="2332" t="s">
        <v>3056</v>
      </c>
      <c r="C358" s="2994">
        <v>2080</v>
      </c>
      <c r="D358" s="2994">
        <v>2040</v>
      </c>
      <c r="E358" s="2994">
        <v>2010</v>
      </c>
      <c r="F358" s="2994">
        <v>530</v>
      </c>
      <c r="G358" s="2998">
        <v>1230</v>
      </c>
    </row>
    <row r="359" spans="1:7" s="2202" customFormat="1">
      <c r="A359" s="2336" t="s">
        <v>3055</v>
      </c>
      <c r="B359" s="2336" t="s">
        <v>3057</v>
      </c>
      <c r="C359" s="2995">
        <v>1850</v>
      </c>
      <c r="D359" s="2995">
        <v>1820</v>
      </c>
      <c r="E359" s="2995">
        <v>1780</v>
      </c>
      <c r="F359" s="2995">
        <v>520</v>
      </c>
      <c r="G359" s="2999">
        <v>1100</v>
      </c>
    </row>
    <row r="360" spans="1:7" s="2202" customFormat="1">
      <c r="A360" s="2336" t="s">
        <v>3055</v>
      </c>
      <c r="B360" s="2336" t="s">
        <v>3058</v>
      </c>
      <c r="C360" s="2995">
        <v>2020</v>
      </c>
      <c r="D360" s="2995">
        <v>1990</v>
      </c>
      <c r="E360" s="2995">
        <v>1950</v>
      </c>
      <c r="F360" s="2995">
        <v>500</v>
      </c>
      <c r="G360" s="2999">
        <v>1200</v>
      </c>
    </row>
    <row r="361" spans="1:7" s="2202" customFormat="1">
      <c r="A361" s="2336" t="s">
        <v>3055</v>
      </c>
      <c r="B361" s="2336" t="s">
        <v>151</v>
      </c>
      <c r="C361" s="2995">
        <v>2260</v>
      </c>
      <c r="D361" s="2995">
        <v>2220</v>
      </c>
      <c r="E361" s="2995">
        <v>2180</v>
      </c>
      <c r="F361" s="2995">
        <v>580</v>
      </c>
      <c r="G361" s="2999">
        <v>1340</v>
      </c>
    </row>
    <row r="362" spans="1:7" s="2202" customFormat="1">
      <c r="A362" s="2336" t="s">
        <v>3055</v>
      </c>
      <c r="B362" s="2336" t="s">
        <v>3059</v>
      </c>
      <c r="C362" s="2995">
        <v>2650</v>
      </c>
      <c r="D362" s="2995">
        <v>2610</v>
      </c>
      <c r="E362" s="2995">
        <v>2570</v>
      </c>
      <c r="F362" s="2995">
        <v>630</v>
      </c>
      <c r="G362" s="2999">
        <v>1570</v>
      </c>
    </row>
    <row r="363" spans="1:7" s="2202" customFormat="1">
      <c r="A363" s="2336" t="s">
        <v>3055</v>
      </c>
      <c r="B363" s="2336" t="s">
        <v>2780</v>
      </c>
      <c r="C363" s="2995">
        <v>2390</v>
      </c>
      <c r="D363" s="2995">
        <v>2360</v>
      </c>
      <c r="E363" s="2995">
        <v>2320</v>
      </c>
      <c r="F363" s="2995">
        <v>600</v>
      </c>
      <c r="G363" s="2999">
        <v>1420</v>
      </c>
    </row>
    <row r="364" spans="1:7" s="2202" customFormat="1">
      <c r="A364" s="2336" t="s">
        <v>3055</v>
      </c>
      <c r="B364" s="2336" t="s">
        <v>3060</v>
      </c>
      <c r="C364" s="2995">
        <v>2050</v>
      </c>
      <c r="D364" s="2995">
        <v>2030</v>
      </c>
      <c r="E364" s="2995">
        <v>1990</v>
      </c>
      <c r="F364" s="2995">
        <v>550</v>
      </c>
      <c r="G364" s="2999">
        <v>1220</v>
      </c>
    </row>
    <row r="365" spans="1:7" s="2202" customFormat="1">
      <c r="A365" s="2336" t="s">
        <v>3055</v>
      </c>
      <c r="B365" s="2336" t="s">
        <v>198</v>
      </c>
      <c r="C365" s="2995">
        <v>2140</v>
      </c>
      <c r="D365" s="2995">
        <v>2100</v>
      </c>
      <c r="E365" s="2995">
        <v>2060</v>
      </c>
      <c r="F365" s="2995">
        <v>540</v>
      </c>
      <c r="G365" s="2999">
        <v>1270</v>
      </c>
    </row>
    <row r="366" spans="1:7" s="2202" customFormat="1">
      <c r="A366" s="2336" t="s">
        <v>3055</v>
      </c>
      <c r="B366" s="2336" t="s">
        <v>2787</v>
      </c>
      <c r="C366" s="2995">
        <v>2410</v>
      </c>
      <c r="D366" s="2995">
        <v>2370</v>
      </c>
      <c r="E366" s="2995">
        <v>2330</v>
      </c>
      <c r="F366" s="2995">
        <v>570</v>
      </c>
      <c r="G366" s="2999">
        <v>1440</v>
      </c>
    </row>
    <row r="367" spans="1:7" s="2202" customFormat="1">
      <c r="A367" s="2336" t="s">
        <v>3055</v>
      </c>
      <c r="B367" s="2336" t="s">
        <v>3061</v>
      </c>
      <c r="C367" s="2995">
        <v>2300</v>
      </c>
      <c r="D367" s="2995">
        <v>2260</v>
      </c>
      <c r="E367" s="2995">
        <v>2220</v>
      </c>
      <c r="F367" s="2995">
        <v>560</v>
      </c>
      <c r="G367" s="2999">
        <v>1370</v>
      </c>
    </row>
    <row r="368" spans="1:7" s="2202" customFormat="1">
      <c r="A368" s="2336" t="s">
        <v>3055</v>
      </c>
      <c r="B368" s="2336" t="s">
        <v>3062</v>
      </c>
      <c r="C368" s="2995">
        <v>2430</v>
      </c>
      <c r="D368" s="2995">
        <v>2390</v>
      </c>
      <c r="E368" s="2995">
        <v>2350</v>
      </c>
      <c r="F368" s="2995">
        <v>570</v>
      </c>
      <c r="G368" s="2999">
        <v>1450</v>
      </c>
    </row>
    <row r="369" spans="1:7" s="2202" customFormat="1">
      <c r="A369" s="2336" t="s">
        <v>3055</v>
      </c>
      <c r="B369" s="2336" t="s">
        <v>212</v>
      </c>
      <c r="C369" s="2995">
        <v>2320</v>
      </c>
      <c r="D369" s="2995">
        <v>2290</v>
      </c>
      <c r="E369" s="2995">
        <v>2250</v>
      </c>
      <c r="F369" s="2995">
        <v>550</v>
      </c>
      <c r="G369" s="2999">
        <v>1380</v>
      </c>
    </row>
    <row r="370" spans="1:7" s="2202" customFormat="1">
      <c r="A370" s="2336" t="s">
        <v>3055</v>
      </c>
      <c r="B370" s="2336" t="s">
        <v>219</v>
      </c>
      <c r="C370" s="2995">
        <v>2190</v>
      </c>
      <c r="D370" s="2995">
        <v>2170</v>
      </c>
      <c r="E370" s="2995">
        <v>2130</v>
      </c>
      <c r="F370" s="2995">
        <v>530</v>
      </c>
      <c r="G370" s="2999">
        <v>1310</v>
      </c>
    </row>
    <row r="371" spans="1:7" s="2202" customFormat="1">
      <c r="A371" s="2336" t="s">
        <v>3055</v>
      </c>
      <c r="B371" s="2336" t="s">
        <v>227</v>
      </c>
      <c r="C371" s="2995">
        <v>2460</v>
      </c>
      <c r="D371" s="2995">
        <v>2420</v>
      </c>
      <c r="E371" s="2995">
        <v>2370</v>
      </c>
      <c r="F371" s="2995">
        <v>560</v>
      </c>
      <c r="G371" s="2999">
        <v>1470</v>
      </c>
    </row>
    <row r="372" spans="1:7" s="2202" customFormat="1">
      <c r="A372" s="2336" t="s">
        <v>3055</v>
      </c>
      <c r="B372" s="2336" t="s">
        <v>3063</v>
      </c>
      <c r="C372" s="2995">
        <v>2250</v>
      </c>
      <c r="D372" s="2995">
        <v>2210</v>
      </c>
      <c r="E372" s="2995">
        <v>2180</v>
      </c>
      <c r="F372" s="2995">
        <v>550</v>
      </c>
      <c r="G372" s="2999">
        <v>1340</v>
      </c>
    </row>
    <row r="373" spans="1:7" s="2202" customFormat="1">
      <c r="A373" s="2336" t="s">
        <v>3055</v>
      </c>
      <c r="B373" s="2336" t="s">
        <v>256</v>
      </c>
      <c r="C373" s="2995">
        <v>2210</v>
      </c>
      <c r="D373" s="2995">
        <v>2190</v>
      </c>
      <c r="E373" s="2995">
        <v>2150</v>
      </c>
      <c r="F373" s="2995">
        <v>530</v>
      </c>
      <c r="G373" s="2999">
        <v>1320</v>
      </c>
    </row>
    <row r="374" spans="1:7" s="2202" customFormat="1">
      <c r="A374" s="2336" t="s">
        <v>3055</v>
      </c>
      <c r="B374" s="2336" t="s">
        <v>264</v>
      </c>
      <c r="C374" s="2995">
        <v>2320</v>
      </c>
      <c r="D374" s="2995">
        <v>2280</v>
      </c>
      <c r="E374" s="2995">
        <v>2230</v>
      </c>
      <c r="F374" s="2995">
        <v>580</v>
      </c>
      <c r="G374" s="2999">
        <v>1380</v>
      </c>
    </row>
    <row r="375" spans="1:7" s="2202" customFormat="1">
      <c r="A375" s="2336" t="s">
        <v>3055</v>
      </c>
      <c r="B375" s="2336" t="s">
        <v>3064</v>
      </c>
      <c r="C375" s="2995">
        <v>2090</v>
      </c>
      <c r="D375" s="2995">
        <v>2050</v>
      </c>
      <c r="E375" s="2995">
        <v>2020</v>
      </c>
      <c r="F375" s="2995">
        <v>520</v>
      </c>
      <c r="G375" s="2999">
        <v>1240</v>
      </c>
    </row>
    <row r="376" spans="1:7" s="2202" customFormat="1">
      <c r="A376" s="2336" t="s">
        <v>3055</v>
      </c>
      <c r="B376" s="2336" t="s">
        <v>275</v>
      </c>
      <c r="C376" s="2995">
        <v>2010</v>
      </c>
      <c r="D376" s="2995">
        <v>1980</v>
      </c>
      <c r="E376" s="2995">
        <v>1940</v>
      </c>
      <c r="F376" s="2995">
        <v>540</v>
      </c>
      <c r="G376" s="2999">
        <v>1190</v>
      </c>
    </row>
    <row r="377" spans="1:7" s="2202" customFormat="1" ht="12" thickBot="1">
      <c r="A377" s="2344" t="s">
        <v>3055</v>
      </c>
      <c r="B377" s="2347" t="s">
        <v>2817</v>
      </c>
      <c r="C377" s="2997">
        <v>1930</v>
      </c>
      <c r="D377" s="2997">
        <v>1890</v>
      </c>
      <c r="E377" s="2997">
        <v>1860</v>
      </c>
      <c r="F377" s="2997">
        <v>530</v>
      </c>
      <c r="G377" s="3001">
        <v>1150</v>
      </c>
    </row>
    <row r="378" spans="1:7" s="2202" customFormat="1">
      <c r="A378" s="2349" t="s">
        <v>3065</v>
      </c>
      <c r="B378" s="2332" t="s">
        <v>3066</v>
      </c>
      <c r="C378" s="2994">
        <v>1520</v>
      </c>
      <c r="D378" s="2994">
        <v>1490</v>
      </c>
      <c r="E378" s="2994">
        <v>1460</v>
      </c>
      <c r="F378" s="2994">
        <v>460</v>
      </c>
      <c r="G378" s="2998">
        <v>940</v>
      </c>
    </row>
    <row r="379" spans="1:7" s="2202" customFormat="1">
      <c r="A379" s="2350" t="s">
        <v>3065</v>
      </c>
      <c r="B379" s="2336" t="s">
        <v>3067</v>
      </c>
      <c r="C379" s="2995">
        <v>1500</v>
      </c>
      <c r="D379" s="2995">
        <v>1470</v>
      </c>
      <c r="E379" s="2995">
        <v>1430</v>
      </c>
      <c r="F379" s="2995">
        <v>460</v>
      </c>
      <c r="G379" s="2999">
        <v>920</v>
      </c>
    </row>
    <row r="380" spans="1:7" s="2202" customFormat="1">
      <c r="A380" s="2350" t="s">
        <v>3065</v>
      </c>
      <c r="B380" s="2336" t="s">
        <v>3068</v>
      </c>
      <c r="C380" s="2995">
        <v>1620</v>
      </c>
      <c r="D380" s="2995">
        <v>1590</v>
      </c>
      <c r="E380" s="2995">
        <v>1560</v>
      </c>
      <c r="F380" s="2995">
        <v>480</v>
      </c>
      <c r="G380" s="2999">
        <v>1000</v>
      </c>
    </row>
    <row r="381" spans="1:7" s="2202" customFormat="1">
      <c r="A381" s="2350" t="s">
        <v>3065</v>
      </c>
      <c r="B381" s="2336" t="s">
        <v>3069</v>
      </c>
      <c r="C381" s="2995">
        <v>1460</v>
      </c>
      <c r="D381" s="2995">
        <v>1430</v>
      </c>
      <c r="E381" s="2995">
        <v>1390</v>
      </c>
      <c r="F381" s="2995">
        <v>450</v>
      </c>
      <c r="G381" s="2999">
        <v>900</v>
      </c>
    </row>
    <row r="382" spans="1:7" s="2202" customFormat="1">
      <c r="A382" s="2350" t="s">
        <v>3065</v>
      </c>
      <c r="B382" s="2336" t="s">
        <v>3070</v>
      </c>
      <c r="C382" s="2995">
        <v>1310</v>
      </c>
      <c r="D382" s="2995">
        <v>1280</v>
      </c>
      <c r="E382" s="2995">
        <v>1250</v>
      </c>
      <c r="F382" s="2995">
        <v>440</v>
      </c>
      <c r="G382" s="2999">
        <v>800</v>
      </c>
    </row>
    <row r="383" spans="1:7" s="2202" customFormat="1">
      <c r="A383" s="2350" t="s">
        <v>3065</v>
      </c>
      <c r="B383" s="2336" t="s">
        <v>3071</v>
      </c>
      <c r="C383" s="2995">
        <v>1260</v>
      </c>
      <c r="D383" s="2995">
        <v>1230</v>
      </c>
      <c r="E383" s="2995">
        <v>1200</v>
      </c>
      <c r="F383" s="2995">
        <v>420</v>
      </c>
      <c r="G383" s="2999">
        <v>770</v>
      </c>
    </row>
    <row r="384" spans="1:7" s="2202" customFormat="1" ht="12" thickBot="1">
      <c r="A384" s="2351" t="s">
        <v>3065</v>
      </c>
      <c r="B384" s="2343" t="s">
        <v>3072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46051</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4.25">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4.25">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4.25">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5">
      <c r="A18" s="859"/>
      <c r="B18" s="860"/>
      <c r="C18" s="865">
        <v>45097</v>
      </c>
      <c r="D18" s="3016">
        <v>3.55</v>
      </c>
      <c r="E18" s="3016">
        <f>D18</f>
        <v>3.55</v>
      </c>
      <c r="F18" s="3016">
        <f t="shared" si="0"/>
        <v>3.55</v>
      </c>
      <c r="G18" s="3016">
        <f t="shared" si="1"/>
        <v>3.55</v>
      </c>
      <c r="H18" s="3016">
        <v>4.2</v>
      </c>
      <c r="I18" s="3015"/>
      <c r="J18" s="3015"/>
      <c r="L18" s="2053"/>
      <c r="M18" s="2052">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4" customFormat="1" ht="14.25">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4.25">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4.25">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4.25">
      <c r="A23" s="2050"/>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4.25">
      <c r="B27" s="860" t="s">
        <v>2207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4.25">
      <c r="B28" s="2051"/>
      <c r="C28" s="2052">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6" t="str">
        <f>IF(项目基本情况!B9="房地产市场价值","估价结果一览表","结果表-2")</f>
        <v>结果表-2</v>
      </c>
      <c r="B1" s="4246"/>
      <c r="C1" s="4246"/>
      <c r="D1" s="4246"/>
      <c r="E1" s="4246"/>
      <c r="F1" s="4246"/>
      <c r="G1" s="4246"/>
      <c r="H1" s="4246"/>
      <c r="I1" s="4246"/>
    </row>
    <row r="2" spans="1:9" ht="30" customHeight="1" thickTop="1">
      <c r="A2" s="4247" t="s">
        <v>912</v>
      </c>
      <c r="B2" s="4247" t="s">
        <v>913</v>
      </c>
      <c r="C2" s="4247" t="s">
        <v>914</v>
      </c>
      <c r="D2" s="4247" t="str">
        <f>结果表!D116</f>
        <v>出让国有建设用地使用权价值</v>
      </c>
      <c r="E2" s="4247"/>
      <c r="F2" s="4247">
        <f>结果表!F116</f>
        <v>0</v>
      </c>
      <c r="G2" s="4247"/>
      <c r="H2" s="4247" t="str">
        <f>IF(项目基本情况!B9="房地产市场价值","房地产市场价值","房地产价值")</f>
        <v>房地产价值</v>
      </c>
      <c r="I2" s="4247"/>
    </row>
    <row r="3" spans="1:9" ht="15">
      <c r="A3" s="4248"/>
      <c r="B3" s="4248"/>
      <c r="C3" s="4248"/>
      <c r="D3" s="544" t="s">
        <v>909</v>
      </c>
      <c r="E3" s="544" t="s">
        <v>915</v>
      </c>
      <c r="F3" s="544" t="s">
        <v>909</v>
      </c>
      <c r="G3" s="544" t="s">
        <v>910</v>
      </c>
      <c r="H3" s="544" t="s">
        <v>909</v>
      </c>
      <c r="I3" s="544" t="s">
        <v>910</v>
      </c>
    </row>
    <row r="4" spans="1:9" ht="15">
      <c r="A4" s="1048" t="str">
        <f>项目基本情况!S2</f>
        <v>北京市房地产</v>
      </c>
      <c r="B4" s="544">
        <f>项目基本情况!C17</f>
        <v>109.4</v>
      </c>
      <c r="C4" s="544">
        <f>项目基本情况!C18</f>
        <v>0</v>
      </c>
      <c r="D4" s="544">
        <f>结果表!D118</f>
        <v>0</v>
      </c>
      <c r="E4" s="544">
        <f>结果表!E118</f>
        <v>0</v>
      </c>
      <c r="F4" s="544">
        <f>结果表!F118</f>
        <v>0</v>
      </c>
      <c r="G4" s="544">
        <f>结果表!G118</f>
        <v>0</v>
      </c>
      <c r="H4" s="544">
        <f ca="1">结果表!H118</f>
        <v>209.97139999999999</v>
      </c>
      <c r="I4" s="544">
        <f ca="1">结果表!I118</f>
        <v>19193</v>
      </c>
    </row>
    <row r="5" spans="1:9" ht="30" customHeight="1">
      <c r="A5" s="4248" t="s">
        <v>911</v>
      </c>
      <c r="B5" s="4248"/>
      <c r="C5" s="4248"/>
      <c r="D5" s="4248" t="str">
        <f>结果表!D119</f>
        <v>零元整</v>
      </c>
      <c r="E5" s="4248"/>
      <c r="F5" s="4248" t="str">
        <f>结果表!F119</f>
        <v>零元整</v>
      </c>
      <c r="G5" s="4248"/>
      <c r="H5" s="4248" t="str">
        <f ca="1">结果表!H119</f>
        <v>贰佰零玖万玖仟柒佰壹拾肆元整</v>
      </c>
      <c r="I5" s="4248"/>
    </row>
    <row r="6" spans="1:9" ht="15.75">
      <c r="A6" s="4249" t="str">
        <f>结果表!A120</f>
        <v>估价师知悉的法定优先受偿款</v>
      </c>
      <c r="B6" s="4249"/>
      <c r="C6" s="4249"/>
      <c r="D6" s="4249">
        <f>结果表!H120</f>
        <v>0</v>
      </c>
      <c r="E6" s="4249"/>
      <c r="F6" s="4249"/>
      <c r="G6" s="4249"/>
      <c r="H6" s="4249"/>
      <c r="I6" s="4249"/>
    </row>
    <row r="7" spans="1:9" ht="15">
      <c r="A7" s="4248" t="s">
        <v>911</v>
      </c>
      <c r="B7" s="4248"/>
      <c r="C7" s="4248"/>
      <c r="D7" s="4250" t="str">
        <f>结果表!H121</f>
        <v>零元整</v>
      </c>
      <c r="E7" s="4251"/>
      <c r="F7" s="4251"/>
      <c r="G7" s="4251"/>
      <c r="H7" s="4251"/>
      <c r="I7" s="4252"/>
    </row>
    <row r="8" spans="1:9" ht="15.75">
      <c r="A8" s="4249" t="str">
        <f>结果表!A122</f>
        <v>房地产抵押价值</v>
      </c>
      <c r="B8" s="4249"/>
      <c r="C8" s="4249"/>
      <c r="D8" s="4249">
        <f ca="1">结果表!H122</f>
        <v>209.97139999999999</v>
      </c>
      <c r="E8" s="4249"/>
      <c r="F8" s="4249"/>
      <c r="G8" s="4249"/>
      <c r="H8" s="4249"/>
      <c r="I8" s="4249"/>
    </row>
    <row r="9" spans="1:9" ht="15">
      <c r="A9" s="4248" t="s">
        <v>911</v>
      </c>
      <c r="B9" s="4248"/>
      <c r="C9" s="4248"/>
      <c r="D9" s="4248" t="str">
        <f ca="1">结果表!H123</f>
        <v>贰佰零玖万玖仟柒佰壹拾肆元整</v>
      </c>
      <c r="E9" s="4248"/>
      <c r="F9" s="4248"/>
      <c r="G9" s="4248"/>
      <c r="H9" s="4248"/>
      <c r="I9" s="4248"/>
    </row>
    <row r="10" spans="1:9" ht="15.75">
      <c r="A10" s="4249" t="str">
        <f>结果表!A124</f>
        <v/>
      </c>
      <c r="B10" s="4249"/>
      <c r="C10" s="4249"/>
      <c r="D10" s="4249" t="str">
        <f>结果表!H124</f>
        <v>——</v>
      </c>
      <c r="E10" s="4249"/>
      <c r="F10" s="4249"/>
      <c r="G10" s="4249"/>
      <c r="H10" s="4249"/>
      <c r="I10" s="4249"/>
    </row>
    <row r="11" spans="1:9" ht="15">
      <c r="A11" s="4248" t="s">
        <v>911</v>
      </c>
      <c r="B11" s="4248"/>
      <c r="C11" s="4248"/>
      <c r="D11" s="4248" t="e">
        <f>结果表!H125</f>
        <v>#VALUE!</v>
      </c>
      <c r="E11" s="4248"/>
      <c r="F11" s="4248"/>
      <c r="G11" s="4248"/>
      <c r="H11" s="4248"/>
      <c r="I11" s="4248"/>
    </row>
    <row r="12" spans="1:9" ht="15.75">
      <c r="A12" s="4249" t="str">
        <f>结果表!A126</f>
        <v/>
      </c>
      <c r="B12" s="4249"/>
      <c r="C12" s="4249"/>
      <c r="D12" s="4249" t="str">
        <f>结果表!H126</f>
        <v>——</v>
      </c>
      <c r="E12" s="4249"/>
      <c r="F12" s="4249"/>
      <c r="G12" s="4249"/>
      <c r="H12" s="4249"/>
      <c r="I12" s="4249"/>
    </row>
    <row r="13" spans="1:9" ht="15.75" thickBot="1">
      <c r="A13" s="4253" t="s">
        <v>911</v>
      </c>
      <c r="B13" s="4253"/>
      <c r="C13" s="4253"/>
      <c r="D13" s="4253" t="e">
        <f>结果表!H127</f>
        <v>#VALUE!</v>
      </c>
      <c r="E13" s="4253"/>
      <c r="F13" s="4253"/>
      <c r="G13" s="4253"/>
      <c r="H13" s="4253"/>
      <c r="I13" s="4253"/>
    </row>
    <row r="14" spans="1:9" ht="15" thickTop="1">
      <c r="A14" s="4254" t="s">
        <v>916</v>
      </c>
      <c r="B14" s="4254"/>
      <c r="C14" s="4254"/>
      <c r="D14" s="4254"/>
      <c r="E14" s="4254"/>
      <c r="F14" s="4254"/>
      <c r="G14" s="4254"/>
      <c r="H14" s="4254"/>
      <c r="I14" s="4254"/>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5" t="s">
        <v>933</v>
      </c>
      <c r="B1" s="4255"/>
      <c r="C1" s="4255"/>
      <c r="D1" s="4255"/>
    </row>
    <row r="2" spans="1:4" ht="18">
      <c r="A2" s="4256" t="s">
        <v>917</v>
      </c>
      <c r="B2" s="4256"/>
      <c r="C2" s="4256"/>
      <c r="D2" s="4256"/>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6" t="s">
        <v>923</v>
      </c>
      <c r="B6" s="4256"/>
      <c r="C6" s="4256"/>
      <c r="D6" s="4256"/>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7" t="s">
        <v>926</v>
      </c>
      <c r="B11" s="4258"/>
      <c r="C11" s="4258"/>
      <c r="D11" s="4258"/>
    </row>
    <row r="12" spans="1:4" ht="15.75">
      <c r="A12" s="4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8" t="str">
        <f>IF(项目基本情况!B8="抵押","4.本次评估估价师所知悉的法定优先受偿款情况说明如下：","——")</f>
        <v>4.本次评估估价师所知悉的法定优先受偿款情况说明如下：</v>
      </c>
      <c r="B14" s="4259"/>
      <c r="C14" s="4259"/>
      <c r="D14" s="4259"/>
    </row>
    <row r="15" spans="1:4" ht="42" customHeight="1">
      <c r="A15" s="4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8"/>
      <c r="C15" s="4258"/>
      <c r="D15" s="4258"/>
    </row>
    <row r="16" spans="1:4" ht="30" customHeight="1">
      <c r="A16" s="4261" t="s">
        <v>927</v>
      </c>
      <c r="B16" s="4261"/>
      <c r="C16" s="4261"/>
      <c r="D16" s="4261"/>
    </row>
    <row r="17" spans="1:4" ht="144" customHeight="1">
      <c r="A17" s="4261" t="s">
        <v>928</v>
      </c>
      <c r="B17" s="4261"/>
      <c r="C17" s="4261"/>
      <c r="D17" s="4261"/>
    </row>
    <row r="18" spans="1:4" ht="15.75" customHeight="1">
      <c r="A18" s="4258" t="str">
        <f>IF(项目基本情况!B8="抵押",结果表!K120,"——")</f>
        <v>故，本次评估不存在估价师知悉的法定优先受偿款</v>
      </c>
      <c r="B18" s="4258"/>
      <c r="C18" s="4258"/>
      <c r="D18" s="4258"/>
    </row>
    <row r="19" spans="1:4" ht="46.5" customHeight="1">
      <c r="A19" s="4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8"/>
      <c r="C19" s="4258"/>
      <c r="D19" s="4258"/>
    </row>
    <row r="20" spans="1:4" ht="57.75" customHeight="1">
      <c r="A20" s="4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8"/>
      <c r="C20" s="4258"/>
      <c r="D20" s="4258"/>
    </row>
    <row r="21" spans="1:4" ht="57.75" customHeight="1">
      <c r="A21" s="4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2"/>
      <c r="C21" s="4262"/>
      <c r="D21" s="4262"/>
    </row>
    <row r="22" spans="1:4" ht="18.75" customHeight="1">
      <c r="A22" s="4263" t="s">
        <v>929</v>
      </c>
      <c r="B22" s="4263"/>
      <c r="C22" s="4263"/>
      <c r="D22" s="4263"/>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0">
        <v>42551</v>
      </c>
      <c r="D31" s="426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9" t="s">
        <v>940</v>
      </c>
      <c r="B15" s="4264" t="s">
        <v>107</v>
      </c>
      <c r="C15" s="4265"/>
    </row>
    <row r="16" spans="1:7" ht="13.5">
      <c r="A16" s="4270"/>
      <c r="B16" s="4264" t="s">
        <v>40</v>
      </c>
      <c r="C16" s="4265"/>
    </row>
    <row r="17" spans="1:3" ht="13.5">
      <c r="A17" s="4270"/>
      <c r="B17" s="4267" t="s">
        <v>941</v>
      </c>
      <c r="C17" s="1074" t="s">
        <v>940</v>
      </c>
    </row>
    <row r="18" spans="1:3" ht="13.5">
      <c r="A18" s="4270"/>
      <c r="B18" s="4267"/>
      <c r="C18" s="1074" t="s">
        <v>942</v>
      </c>
    </row>
    <row r="19" spans="1:3" ht="13.5">
      <c r="A19" s="4270"/>
      <c r="B19" s="4267"/>
      <c r="C19" s="1074" t="s">
        <v>943</v>
      </c>
    </row>
    <row r="20" spans="1:3" ht="13.5">
      <c r="A20" s="4271"/>
      <c r="B20" s="4266" t="s">
        <v>944</v>
      </c>
      <c r="C20" s="4265"/>
    </row>
    <row r="21" spans="1:3" ht="13.5">
      <c r="A21" s="1075" t="s">
        <v>945</v>
      </c>
      <c r="B21" s="1076"/>
      <c r="C21" s="1077"/>
    </row>
    <row r="22" spans="1:3" ht="13.5">
      <c r="A22" s="4268" t="s">
        <v>946</v>
      </c>
      <c r="B22" s="4266" t="s">
        <v>947</v>
      </c>
      <c r="C22" s="4265"/>
    </row>
    <row r="23" spans="1:3" ht="13.5">
      <c r="A23" s="4268"/>
      <c r="B23" s="4266" t="s">
        <v>948</v>
      </c>
      <c r="C23" s="4265"/>
    </row>
    <row r="24" spans="1:3" ht="13.5">
      <c r="A24" s="4268"/>
      <c r="B24" s="4266" t="s">
        <v>949</v>
      </c>
      <c r="C24" s="4265"/>
    </row>
    <row r="25" spans="1:3" ht="13.5">
      <c r="A25" s="4268"/>
      <c r="B25" s="4267" t="s">
        <v>950</v>
      </c>
      <c r="C25" s="1074" t="s">
        <v>951</v>
      </c>
    </row>
    <row r="26" spans="1:3" ht="13.5">
      <c r="A26" s="4268"/>
      <c r="B26" s="4267"/>
      <c r="C26" s="1074" t="s">
        <v>952</v>
      </c>
    </row>
    <row r="27" spans="1:3" ht="13.5">
      <c r="A27" s="4268"/>
      <c r="B27" s="4267"/>
      <c r="C27" s="1074" t="s">
        <v>953</v>
      </c>
    </row>
    <row r="28" spans="1:3" ht="13.5">
      <c r="A28" s="4268"/>
      <c r="B28" s="4267"/>
      <c r="C28" s="1074" t="s">
        <v>954</v>
      </c>
    </row>
    <row r="29" spans="1:3" ht="13.5">
      <c r="A29" s="4268"/>
      <c r="B29" s="4267"/>
      <c r="C29" s="1074" t="s">
        <v>955</v>
      </c>
    </row>
    <row r="30" spans="1:3" ht="13.5">
      <c r="A30" s="4268"/>
      <c r="B30" s="4267"/>
      <c r="C30" s="1074" t="s">
        <v>956</v>
      </c>
    </row>
    <row r="31" spans="1:3" ht="13.5">
      <c r="A31" s="4268"/>
      <c r="B31" s="4267"/>
      <c r="C31" s="1074" t="s">
        <v>957</v>
      </c>
    </row>
    <row r="32" spans="1:3" ht="13.5">
      <c r="A32" s="4268"/>
      <c r="B32" s="4267"/>
      <c r="C32" s="1074" t="s">
        <v>958</v>
      </c>
    </row>
    <row r="33" spans="1:3" ht="13.5">
      <c r="A33" s="4268"/>
      <c r="B33" s="4267"/>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46059</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90" t="str">
        <f ca="1">IF(C4&lt;B2,"已过期",1119970066)</f>
        <v>已过期</v>
      </c>
      <c r="C4" s="877">
        <v>45937</v>
      </c>
      <c r="D4" s="1709" t="str">
        <f ca="1">A4&amp;"（注册号："&amp;B4&amp;"）"</f>
        <v>梁津（注册号：已过期）</v>
      </c>
      <c r="E4" s="1710" t="s">
        <v>2055</v>
      </c>
      <c r="F4" s="3490">
        <f ca="1">IF(G4&lt;B2,"已过期",96010014)</f>
        <v>96010014</v>
      </c>
      <c r="G4" s="1711">
        <v>47118</v>
      </c>
      <c r="H4" s="1712" t="str">
        <f ca="1">E4&amp;"（注册号："&amp;F4&amp;"）"</f>
        <v>梁津（注册号：96010014）</v>
      </c>
    </row>
    <row r="5" spans="1:8" ht="24" customHeight="1">
      <c r="A5" s="877" t="s">
        <v>2056</v>
      </c>
      <c r="B5" s="3490" t="str">
        <f ca="1">IF(C5&lt;B2,"已过期",1119970111)</f>
        <v>已过期</v>
      </c>
      <c r="C5" s="877">
        <v>45937</v>
      </c>
      <c r="D5" s="1709" t="str">
        <f t="shared" ref="D5:D15" ca="1" si="0">A5&amp;"（注册号："&amp;B5&amp;"）"</f>
        <v>叶凌（注册号：已过期）</v>
      </c>
      <c r="E5" s="1710" t="s">
        <v>2056</v>
      </c>
      <c r="F5" s="3490">
        <f ca="1">IF(G5&lt;B2,"已过期",94010078)</f>
        <v>94010078</v>
      </c>
      <c r="G5" s="1711">
        <v>46387</v>
      </c>
      <c r="H5" s="1712" t="str">
        <f t="shared" ref="H5:H16" ca="1" si="1">E5&amp;"（注册号："&amp;F5&amp;"）"</f>
        <v>叶凌（注册号：94010078）</v>
      </c>
    </row>
    <row r="6" spans="1:8" ht="24" customHeight="1">
      <c r="A6" s="877" t="s">
        <v>2057</v>
      </c>
      <c r="B6" s="3490" t="str">
        <f ca="1">IF(C6&lt;B2,"已过期",1120050019)</f>
        <v>已过期</v>
      </c>
      <c r="C6" s="877">
        <v>45410</v>
      </c>
      <c r="D6" s="1709" t="str">
        <f t="shared" ca="1" si="0"/>
        <v>王鹏（注册号：已过期）</v>
      </c>
      <c r="E6" s="1710" t="s">
        <v>2057</v>
      </c>
      <c r="F6" s="3490">
        <f ca="1">IF(G6&lt;B2,"已过期",2002110030)</f>
        <v>2002110030</v>
      </c>
      <c r="G6" s="1711">
        <v>46387</v>
      </c>
      <c r="H6" s="1712" t="str">
        <f t="shared" ca="1" si="1"/>
        <v>王鹏（注册号：2002110030）</v>
      </c>
    </row>
    <row r="7" spans="1:8" ht="24" customHeight="1">
      <c r="A7" s="877" t="s">
        <v>2058</v>
      </c>
      <c r="B7" s="3490" t="str">
        <f ca="1">IF(C7&lt;B2,"已过期",1120000080)</f>
        <v>已过期</v>
      </c>
      <c r="C7" s="877">
        <v>45937</v>
      </c>
      <c r="D7" s="1709" t="str">
        <f t="shared" ca="1" si="0"/>
        <v>欧红伟（注册号：已过期）</v>
      </c>
      <c r="E7" s="1710" t="s">
        <v>2058</v>
      </c>
      <c r="F7" s="3490">
        <f ca="1">IF(G7&lt;B2,"已过期",2000110082)</f>
        <v>2000110082</v>
      </c>
      <c r="G7" s="1711">
        <v>46387</v>
      </c>
      <c r="H7" s="1712" t="str">
        <f t="shared" ca="1" si="1"/>
        <v>欧红伟（注册号：2000110082）</v>
      </c>
    </row>
    <row r="8" spans="1:8" ht="24" customHeight="1">
      <c r="A8" s="877" t="s">
        <v>2059</v>
      </c>
      <c r="B8" s="3490" t="str">
        <f ca="1">IF(C8&lt;B2,"已过期",1419970001)</f>
        <v>已过期</v>
      </c>
      <c r="C8" s="877">
        <v>45937</v>
      </c>
      <c r="D8" s="1709" t="str">
        <f t="shared" ca="1" si="0"/>
        <v>吴薇（注册号：已过期）</v>
      </c>
      <c r="E8" s="1710" t="s">
        <v>2059</v>
      </c>
      <c r="F8" s="3490">
        <f ca="1">IF(G8&lt;B2,"已过期",2002110125)</f>
        <v>2002110125</v>
      </c>
      <c r="G8" s="1711">
        <v>47118</v>
      </c>
      <c r="H8" s="1712" t="str">
        <f t="shared" ca="1" si="1"/>
        <v>吴薇（注册号：2002110125）</v>
      </c>
    </row>
    <row r="9" spans="1:8" ht="24" customHeight="1">
      <c r="A9" s="877" t="s">
        <v>2060</v>
      </c>
      <c r="B9" s="3490" t="str">
        <f ca="1">IF(C9&lt;B2,"已过期",1120060040)</f>
        <v>已过期</v>
      </c>
      <c r="C9" s="1707">
        <v>45592</v>
      </c>
      <c r="D9" s="1709" t="str">
        <f t="shared" ca="1" si="0"/>
        <v>陈颖（注册号：已过期）</v>
      </c>
      <c r="E9" s="1710" t="s">
        <v>2060</v>
      </c>
      <c r="F9" s="3490">
        <f ca="1">IF(G9&lt;B2,"已过期",2004110096)</f>
        <v>2004110096</v>
      </c>
      <c r="G9" s="1711">
        <v>47118</v>
      </c>
      <c r="H9" s="1712" t="str">
        <f t="shared" ca="1" si="1"/>
        <v>陈颖（注册号：2004110096）</v>
      </c>
    </row>
    <row r="10" spans="1:8" ht="24" customHeight="1">
      <c r="A10" s="877" t="s">
        <v>2061</v>
      </c>
      <c r="B10" s="3490" t="str">
        <f ca="1">IF(C10&lt;B2,"已过期",1120100036)</f>
        <v>已过期</v>
      </c>
      <c r="C10" s="1707">
        <v>45752</v>
      </c>
      <c r="D10" s="1709" t="str">
        <f t="shared" ca="1" si="0"/>
        <v>崔锴（注册号：已过期）</v>
      </c>
      <c r="E10" s="1710" t="s">
        <v>2061</v>
      </c>
      <c r="F10" s="3490">
        <f ca="1">IF(G10&lt;B2,"已过期",2010110070)</f>
        <v>2010110070</v>
      </c>
      <c r="G10" s="1711">
        <v>47907</v>
      </c>
      <c r="H10" s="1712" t="str">
        <f t="shared" ca="1" si="1"/>
        <v>崔锴（注册号：2010110070）</v>
      </c>
    </row>
    <row r="11" spans="1:8" ht="24" customHeight="1">
      <c r="A11" s="877" t="s">
        <v>2062</v>
      </c>
      <c r="B11" s="3490" t="str">
        <f ca="1">IF(C11&lt;B2,"已过期",1120070131)</f>
        <v>已过期</v>
      </c>
      <c r="C11" s="877">
        <v>45937</v>
      </c>
      <c r="D11" s="1709" t="str">
        <f t="shared" ca="1" si="0"/>
        <v>郑燚（注册号：已过期）</v>
      </c>
      <c r="E11" s="1710" t="s">
        <v>2062</v>
      </c>
      <c r="F11" s="3490">
        <f ca="1">IF(G11&lt;B2,"已过期",2014110011)</f>
        <v>2014110011</v>
      </c>
      <c r="G11" s="1711">
        <v>49302</v>
      </c>
      <c r="H11" s="1712" t="str">
        <f t="shared" ca="1" si="1"/>
        <v>郑燚（注册号：2014110011）</v>
      </c>
    </row>
    <row r="12" spans="1:8" ht="24" customHeight="1">
      <c r="A12" s="877" t="s">
        <v>2063</v>
      </c>
      <c r="B12" s="3490" t="str">
        <f ca="1">IF(C12&lt;B2,"已过期",1120040230)</f>
        <v>已过期</v>
      </c>
      <c r="C12" s="1707">
        <v>45937</v>
      </c>
      <c r="D12" s="1709" t="str">
        <f t="shared" ca="1" si="0"/>
        <v>苏海（注册号：已过期）</v>
      </c>
      <c r="E12" s="1710" t="s">
        <v>2063</v>
      </c>
      <c r="F12" s="3490">
        <f ca="1">IF(G12&lt;B2,"已过期",98030020)</f>
        <v>98030020</v>
      </c>
      <c r="G12" s="1711">
        <v>47118</v>
      </c>
      <c r="H12" s="1712" t="str">
        <f t="shared" ca="1" si="1"/>
        <v>苏海（注册号：98030020）</v>
      </c>
    </row>
    <row r="13" spans="1:8" ht="24" customHeight="1">
      <c r="A13" s="877" t="s">
        <v>2064</v>
      </c>
      <c r="B13" s="3490" t="str">
        <f ca="1">IF(C13&lt;B2,"已过期",1120020033)</f>
        <v>已过期</v>
      </c>
      <c r="C13" s="877">
        <v>45375</v>
      </c>
      <c r="D13" s="1709" t="str">
        <f t="shared" ca="1" si="0"/>
        <v>刘敬东（注册号：已过期）</v>
      </c>
      <c r="E13" s="1710" t="s">
        <v>2064</v>
      </c>
      <c r="F13" s="3490">
        <f ca="1">IF(G13&lt;B2,"已过期",2000110137)</f>
        <v>2000110137</v>
      </c>
      <c r="G13" s="1711">
        <v>46387</v>
      </c>
      <c r="H13" s="1712" t="str">
        <f t="shared" ca="1" si="1"/>
        <v>刘敬东（注册号：2000110137）</v>
      </c>
    </row>
    <row r="14" spans="1:8" ht="24" customHeight="1">
      <c r="A14" s="877" t="s">
        <v>2065</v>
      </c>
      <c r="B14" s="3490" t="str">
        <f ca="1">IF(C14&lt;B2,"已过期",1119980106)</f>
        <v>已过期</v>
      </c>
      <c r="C14" s="1707">
        <v>44969</v>
      </c>
      <c r="D14" s="1709" t="str">
        <f t="shared" ca="1" si="0"/>
        <v>刘俊财（注册号：已过期）</v>
      </c>
      <c r="E14" s="1710" t="s">
        <v>2065</v>
      </c>
      <c r="F14" s="3490">
        <f ca="1">IF(G14&lt;B2,"已过期",96010063)</f>
        <v>96010063</v>
      </c>
      <c r="G14" s="1711">
        <v>47483</v>
      </c>
      <c r="H14" s="1712" t="str">
        <f t="shared" ca="1" si="1"/>
        <v>刘俊财（注册号：96010063）</v>
      </c>
    </row>
    <row r="15" spans="1:8" ht="24" customHeight="1">
      <c r="A15" s="877" t="s">
        <v>2329</v>
      </c>
      <c r="B15" s="3490">
        <v>1120210056</v>
      </c>
      <c r="C15" s="1707">
        <v>45410</v>
      </c>
      <c r="D15" s="1709" t="str">
        <f t="shared" si="0"/>
        <v>宁小鳗（注册号：1120210056）</v>
      </c>
      <c r="E15" s="1710" t="s">
        <v>2066</v>
      </c>
      <c r="F15" s="3490">
        <f ca="1">IF(G15&lt;B2,"已过期",2011110090)</f>
        <v>2011110090</v>
      </c>
      <c r="G15" s="1711">
        <v>48302</v>
      </c>
      <c r="H15" s="1712" t="str">
        <f t="shared" ca="1" si="1"/>
        <v>赵雯（注册号：2011110090）</v>
      </c>
    </row>
    <row r="16" spans="1:8" ht="24" customHeight="1">
      <c r="A16" s="877" t="s">
        <v>3988</v>
      </c>
      <c r="B16" s="877">
        <v>1120240051</v>
      </c>
      <c r="C16" s="877"/>
      <c r="D16" s="1709" t="str">
        <f>A16&amp;"（注册号："&amp;B16&amp;"）"</f>
        <v>赵雯（注册号：1120240051）</v>
      </c>
      <c r="E16" s="1710"/>
      <c r="F16" s="877"/>
      <c r="G16" s="877"/>
      <c r="H16" s="1713" t="str">
        <f t="shared" si="1"/>
        <v>（注册号：）</v>
      </c>
    </row>
    <row r="17" spans="1:8" ht="24" customHeight="1">
      <c r="A17" s="4272" t="s">
        <v>2067</v>
      </c>
      <c r="B17" s="4272"/>
      <c r="C17" s="4272"/>
      <c r="D17" s="4272"/>
      <c r="E17" s="4272"/>
      <c r="F17" s="4272"/>
      <c r="G17" s="4272"/>
      <c r="H17" s="4272"/>
    </row>
    <row r="18" spans="1:8" ht="24" customHeight="1">
      <c r="A18" s="4273" t="s">
        <v>2068</v>
      </c>
      <c r="B18" s="4273"/>
      <c r="C18" s="4273"/>
      <c r="D18" s="1707"/>
      <c r="E18" s="4274" t="s">
        <v>2069</v>
      </c>
      <c r="F18" s="4273"/>
      <c r="G18" s="4273"/>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2330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2026-02-06T01:48:34Z</dcterms:modified>
</cp:coreProperties>
</file>